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externalLinks/externalLink1.xml" ContentType="application/vnd.openxmlformats-officedocument.spreadsheetml.externalLink+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9.xml" ContentType="application/vnd.ms-excel.threadedcomments+xml"/>
  <Override PartName="/xl/threadedComments/threadedComment7.xml" ContentType="application/vnd.ms-excel.threadedcomments+xml"/>
  <Override PartName="/xl/threadedComments/threadedComment6.xml" ContentType="application/vnd.ms-excel.threadedcomments+xml"/>
  <Override PartName="/xl/threadedComments/threadedComment10.xml" ContentType="application/vnd.ms-excel.threadedcomments+xml"/>
  <Override PartName="/xl/threadedComments/threadedComment8.xml" ContentType="application/vnd.ms-excel.threadedcomments+xml"/>
  <Override PartName="/xl/threadedComments/threadedComment11.xml" ContentType="application/vnd.ms-excel.threadedcomments+xml"/>
  <Override PartName="/xl/threadedComments/threadedComment5.xml" ContentType="application/vnd.ms-excel.threadedcomments+xml"/>
  <Override PartName="/xl/threadedComments/threadedComment12.xml" ContentType="application/vnd.ms-excel.threadedcomments+xml"/>
  <Override PartName="/xl/persons/person.xml" ContentType="application/vnd.ms-excel.person+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6.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6"/>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December MPI - legislation" sheetId="62" state="visible" r:id="rId9"/>
    <sheet name="December MPI - PCE" sheetId="72" state="visible" r:id="rId10"/>
    <sheet name="historical overrides" sheetId="50" state="visible" r:id="rId11"/>
    <sheet name="deflators_override" sheetId="71" state="visible" r:id="rId12"/>
    <sheet name="mpc" sheetId="56" state="visible" r:id="rId13"/>
    <sheet name="Unemployment Insurance" sheetId="25" state="visible"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Student loans" sheetId="67" state="visible" r:id="rId20"/>
    <sheet name="Social Benefits" sheetId="59" state="visible" r:id="rId21"/>
    <sheet name="Taxes" sheetId="48" state="visible" r:id="rId22"/>
    <sheet name="PPP (expired)" sheetId="38" state="visible" r:id="rId23"/>
    <sheet name="Provider Relief (expired)" sheetId="40" state="visible" r:id="rId24"/>
    <sheet name="Rebate Checks (expired)" sheetId="29" state="visible" r:id="rId25"/>
    <sheet name="Deflators" sheetId="70" state="visible" r:id="rId26"/>
    <sheet name="Cares Act Scores" sheetId="36" state="visible" r:id="rId27"/>
    <sheet name="IRA and CHIPS" sheetId="65" state="visible" r:id="rId28"/>
    <sheet name="Response and Relief Act Score" sheetId="27" state="visible" r:id="rId29"/>
    <sheet name="ARP Score" sheetId="5" state="visible" r:id="rId30"/>
    <sheet name="ARP Timing" sheetId="6" state="visible" r:id="rId31"/>
    <sheet name="ARP Quarterly" sheetId="21" state="visible" r:id="rId32"/>
    <sheet name="Deflators_original" sheetId="63" state="hidden" r:id="rId33"/>
  </sheets>
  <externalReferences>
    <externalReference r:id="rId3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3.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tc={5F57B4C8-5707-4BD8-8E86-E1CB0F18F7C9}</author>
    <author>tc={6C3C78C4-E0DF-4566-BA72-63EC01450822}</author>
    <author>tc={B0A1A7C0-E540-45B5-9EF7-622FEFFBAE85}</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2"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S31" authorId="1"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9" authorId="2"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60" authorId="3"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61" authorId="4"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5" authorId="5"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7" authorId="6"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99" authorId="7"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99" authorId="8"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0" authorId="9"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t>
      </text>
    </comment>
    <comment ref="B24" authorId="2"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tc={7767431F-C6C3-4B53-95B9-8445F0C48EAA}</author>
    <author>tc={B5E978D5-CE65-4AE2-8DD7-1EF95BA9E399}</author>
    <author>tc={DB908DB8-ED36-4713-AE3C-B9DFD0F93D1E}</author>
    <author>tc={531C2B30-B748-4992-BA59-32A200D8CA7B}</author>
    <author>tc={02CD4DDF-2C52-45CC-A7C0-F81AC2D1A26A}</author>
    <author>tc={7010EE95-CECC-419E-AEDA-DD810575C98C}</author>
  </authors>
  <commentList>
    <comment ref="R19" authorId="0"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1" shapeId="0">
      <text>
        <t>[Threaded comment]
Your version of Excel allows you to read this threaded comment; however, any edits to it will get removed if the file is opened in a newer version of Excel. Learn more: https://go.microsoft.com/fwlink/?linkid=870924
Comment:
    Hard coded to account for higher data. Rest of forecast formulas maintained.</t>
      </text>
    </comment>
    <comment ref="R22" authorId="2"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3"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4"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5"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6"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tc={C3958D6E-5D0B-4757-8548-DC4AB51469BE}</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B17" authorId="1"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tc={3012ED06-42B4-440E-92A9-D4BCE51A80AC}</author>
    <author>tc={581A763D-69E7-4316-A641-33877C6ED334}</author>
    <author>tc={88370A64-FBDF-4CF1-9910-136364F7D354}</author>
    <author>tc={9CD67460-E1CB-4B53-9C37-E18E4A204770}</author>
    <author>tc={8624CBF8-0C25-4544-B55E-7210BBE07E41}</author>
    <author>tc={B38BAE8E-DF30-49E2-9F96-90A1041E4DF0}</author>
    <author>tc={FE50DF0B-94A1-45DC-903B-EE712149D3CA}</author>
  </authors>
  <commentList>
    <comment ref="T17" authorId="0"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S21"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2"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3"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J56" authorId="4"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6" authorId="5"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56" authorId="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tc={B5B608FF-A23A-451F-86C6-28ACC63CADC5}</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11" authorId="1" shapeId="0">
      <text>
        <t>[Threaded comment]
Your version of Excel allows you to read this threaded comment; however, any edits to it will get removed if the file is opened in a newer version of Excel. Learn more: https://go.microsoft.com/fwlink/?linkid=870924
Comment:
    This row, along with rows 14, 16, and 19 need their forecast periods to be updated quarterly</t>
      </text>
    </comment>
    <comment ref="D50" authorId="2"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11</t>
      </text>
    </comment>
    <comment ref="D51" authorId="3"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1-1 Row 12</t>
      </text>
    </comment>
    <comment ref="D53" authorId="4"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4" authorId="5"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55" authorId="6"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13</t>
      </text>
    </comment>
    <comment ref="D73" authorId="7"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t>
      </text>
    </comment>
    <comment ref="D74" authorId="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t>
      </text>
    </comment>
    <comment ref="D75" authorId="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t>
      </text>
    </comment>
    <comment ref="D76" authorId="1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t>
      </text>
    </comment>
    <comment ref="D97" authorId="11"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t>
      </text>
    </comment>
    <comment ref="D98" authorId="12"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t>
      </text>
    </comment>
    <comment ref="D99" authorId="13"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t>
      </text>
    </comment>
    <comment ref="D100" authorId="1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t>
      </text>
    </comment>
    <comment ref="D147" authorId="1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49" authorId="16"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1" authorId="17"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3" authorId="1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59" authorId="1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1" authorId="2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3" authorId="2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5" authorId="2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s>
  <commentList>
    <comment ref="B45"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<sst xmlns="http://schemas.openxmlformats.org/spreadsheetml/2006/main" count="2524" uniqueCount="2524">
  <si>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</si>
  <si>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</si>
  <si>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</si>
  <si>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</si>
  <si>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</si>
  <si>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</si>
  <si>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</si>
  <si>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</si>
  <si>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</si>
  <si>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</si>
  <si>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</si>
  <si>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</si>
  <si>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</si>
  <si>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</si>
  <si>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</si>
  <si>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</si>
  <si>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</si>
  <si>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</si>
  <si>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</si>
  <si>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</si>
  <si>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</si>
  <si>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</si>
  <si>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</si>
  <si>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</si>
  <si>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</si>
  <si>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</si>
  <si>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</si>
  <si>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</si>
  <si>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</si>
  <si>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</si>
  <si>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</si>
  <si>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</si>
  <si>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</si>
  <si>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</si>
  <si>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</si>
  <si>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</si>
  <si>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</si>
  <si>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</si>
  <si>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</si>
  <si>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</si>
  <si>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</si>
  <si>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</si>
  <si>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</si>
  <si>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</si>
  <si>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</si>
  <si>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</si>
  <si>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</si>
  <si>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</si>
  <si>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</si>
  <si>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</si>
  <si>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</si>
  <si>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</si>
  <si>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</si>
  <si>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</si>
  <si>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</si>
  <si>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</si>
  <si>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</si>
  <si>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</si>
  <si>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</si>
  <si>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</si>
  <si>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</si>
  <si>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</si>
  <si>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</si>
  <si>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</si>
  <si>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</si>
  <si>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</si>
  <si>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</si>
  <si>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</si>
  <si>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</si>
  <si>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</si>
  <si>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</si>
  <si>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</si>
  <si>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</si>
  <si>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</si>
  <si>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</si>
  <si>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</si>
  <si>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</si>
  <si>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</si>
  <si>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</si>
  <si>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</si>
  <si>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</si>
  <si>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</si>
  <si>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</si>
  <si>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</si>
  <si>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</si>
  <si>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</si>
  <si>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</si>
  <si>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</si>
  <si>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</si>
  <si>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</si>
  <si>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</si>
  <si>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</si>
  <si>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</si>
  <si>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</si>
  <si>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</si>
  <si>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</si>
  <si>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</si>
  <si>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</si>
  <si>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</si>
  <si>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</si>
  <si>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</si>
  <si>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</si>
  <si>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</si>
  <si>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</si>
  <si>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</si>
  <si>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</si>
  <si>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</si>
  <si>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</si>
  <si>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</si>
  <si>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</si>
  <si>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</si>
  <si>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</si>
  <si>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</si>
  <si>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</si>
  <si>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</si>
  <si>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</si>
  <si>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</si>
  <si>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</si>
  <si>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</si>
  <si>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</si>
  <si>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</si>
  <si>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</si>
  <si>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</si>
  <si>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</si>
  <si>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</si>
  <si>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</si>
  <si>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</si>
  <si>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</si>
  <si>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</si>
  <si>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</si>
  <si>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</si>
  <si>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</si>
  <si>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</si>
  <si>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</si>
  <si>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</si>
  <si>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</si>
  <si>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</si>
  <si>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</si>
  <si>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</si>
  <si>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</si>
  <si>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</si>
  <si>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</si>
  <si>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</si>
  <si>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</si>
  <si>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</si>
  <si>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</si>
  <si>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</si>
  <si>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</si>
  <si>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</si>
  <si>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</si>
  <si>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</si>
  <si>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</si>
  <si>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</si>
  <si>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</si>
  <si>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</si>
  <si>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</si>
  <si>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</si>
  <si>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</si>
  <si>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</si>
  <si>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</si>
  <si>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</si>
  <si>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</si>
  <si>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</si>
  <si>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</si>
  <si>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</si>
  <si>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</si>
  <si>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</si>
  <si>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</si>
  <si>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</si>
  <si>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</si>
  <si>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</si>
  <si>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</si>
  <si>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</si>
  <si>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</si>
  <si>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</si>
  <si>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</si>
  <si>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</si>
  <si>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</si>
  <si>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</si>
  <si>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</si>
  <si>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</si>
  <si>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</si>
  <si>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</si>
  <si>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</si>
  <si>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</si>
  <si>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</si>
  <si>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</si>
  <si>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</si>
  <si>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</si>
  <si>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</si>
  <si>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</si>
  <si>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</si>
  <si>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</si>
  <si>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</si>
  <si>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</si>
  <si>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</si>
  <si>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</si>
  <si>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</si>
  <si>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</si>
  <si>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</si>
  <si>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</si>
  <si>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</si>
  <si>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</si>
  <si>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</si>
  <si>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</si>
  <si>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</si>
  <si>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</si>
  <si>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</si>
  <si>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</si>
  <si>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</si>
  <si>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</si>
  <si>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</si>
  <si>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</si>
  <si>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</si>
  <si>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</si>
  <si>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</si>
  <si>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</si>
  <si>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</si>
  <si>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</si>
  <si>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</si>
  <si>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</si>
  <si>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</si>
  <si>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</si>
  <si>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</si>
  <si>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</si>
  <si>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</si>
  <si>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</si>
  <si>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</si>
  <si>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</si>
  <si>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</si>
  <si>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</si>
  <si>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</si>
  <si>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</si>
  <si>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</si>
  <si>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</si>
  <si>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</si>
  <si>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</si>
  <si>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</si>
  <si>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</si>
  <si>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</si>
  <si>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</si>
  <si>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</si>
  <si>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</si>
  <si>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</si>
  <si>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</si>
  <si>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</si>
  <si>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</si>
  <si>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</si>
  <si>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</si>
  <si>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</si>
  <si>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</si>
  <si>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</si>
  <si>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</si>
  <si>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</si>
  <si>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</si>
  <si>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</si>
  <si>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</si>
  <si>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</si>
  <si>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</si>
  <si>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</si>
  <si>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</si>
  <si>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</si>
  <si>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</si>
  <si>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</si>
  <si>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</si>
  <si>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</si>
  <si>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</si>
  <si>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</si>
  <si>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</si>
  <si>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</si>
  <si>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</si>
  <si>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</si>
  <si>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</si>
  <si>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</si>
  <si>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</si>
  <si>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</si>
  <si>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</si>
  <si>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</si>
  <si>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</si>
  <si>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</si>
  <si>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</si>
  <si>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</si>
  <si>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</si>
  <si>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</si>
  <si>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</si>
  <si>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</si>
  <si>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</si>
  <si>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</si>
  <si>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</si>
  <si>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</si>
  <si>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</si>
  <si>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</si>
  <si>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</si>
  <si>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</si>
  <si>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</si>
  <si>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</si>
  <si>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</si>
  <si>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</si>
  <si>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</si>
  <si>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</si>
  <si>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</si>
  <si>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</si>
  <si>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</si>
  <si>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</si>
  <si>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</si>
  <si>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</si>
  <si>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</si>
  <si>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</si>
  <si>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</si>
  <si>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</si>
  <si>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</si>
  <si>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</si>
  <si>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</si>
  <si>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</si>
  <si>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</si>
  <si>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</si>
  <si>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</si>
  <si>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</si>
  <si>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</si>
  <si>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</si>
  <si>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</si>
  <si>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</si>
  <si>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</si>
  <si>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</si>
  <si>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</si>
  <si>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</si>
  <si>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</si>
  <si>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</si>
  <si>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</si>
  <si>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</si>
  <si>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</si>
  <si>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</si>
  <si>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</si>
  <si>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</si>
  <si>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</si>
  <si>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</si>
  <si>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</si>
  <si>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</si>
  <si>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</si>
  <si>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</si>
  <si>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</si>
  <si>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</si>
  <si>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</si>
  <si>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</si>
  <si>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</si>
  <si>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</si>
  <si>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</si>
  <si>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</si>
  <si>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</si>
  <si>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</si>
  <si>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</si>
  <si>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</si>
  <si>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</si>
  <si>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</si>
  <si>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</si>
  <si>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</si>
  <si>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</si>
  <si>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</si>
  <si>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</si>
  <si>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</si>
  <si>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</si>
  <si>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</si>
  <si>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</si>
  <si>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</si>
  <si>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</si>
  <si>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</si>
  <si>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</si>
  <si>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</si>
  <si>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</si>
  <si>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</si>
  <si>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</si>
  <si>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</si>
  <si>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</si>
  <si>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</si>
  <si>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</si>
  <si>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</si>
  <si>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</si>
  <si>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</si>
  <si>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</si>
  <si>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</si>
  <si>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</si>
  <si>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</si>
  <si>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</si>
  <si>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</si>
  <si>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</si>
  <si>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</si>
  <si>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</si>
  <si>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</si>
  <si>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</si>
  <si>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</si>
  <si>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</si>
  <si>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</si>
  <si>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</si>
  <si>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</si>
  <si>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</si>
  <si>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</si>
  <si>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</si>
  <si>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</si>
  <si>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</si>
  <si>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</si>
  <si>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</si>
  <si>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</si>
  <si>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</si>
  <si>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</si>
  <si>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</si>
  <si>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</si>
  <si>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</si>
  <si>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</si>
  <si>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</si>
  <si>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</si>
  <si>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</si>
  <si>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</si>
  <si>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</si>
  <si>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</si>
  <si>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</si>
  <si>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</si>
  <si>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</si>
  <si>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</si>
  <si>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</si>
  <si>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</si>
  <si>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</si>
  <si>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</si>
  <si>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</si>
  <si>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</si>
  <si>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</si>
  <si>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</si>
  <si>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</si>
  <si>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</si>
  <si>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</si>
  <si>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</si>
  <si>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</si>
  <si>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</si>
  <si>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</si>
  <si>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</si>
  <si>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</si>
  <si>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</si>
  <si>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</si>
  <si>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</si>
  <si>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</si>
  <si>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</si>
  <si>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</si>
  <si>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</si>
  <si>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</si>
  <si>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</si>
  <si>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</si>
  <si>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</si>
  <si>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</si>
  <si>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</si>
  <si>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</si>
  <si>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</si>
  <si>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</si>
  <si>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</si>
  <si>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</si>
  <si>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</si>
  <si>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</si>
  <si>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</si>
  <si>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</si>
  <si>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</si>
  <si>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</si>
  <si>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</si>
  <si>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</si>
  <si>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</si>
  <si>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</si>
  <si>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</si>
  <si>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</si>
  <si>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</si>
  <si>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</si>
  <si>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</si>
  <si>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</si>
  <si>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</si>
  <si>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</si>
  <si>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</si>
  <si>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</si>
  <si>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</si>
  <si>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</si>
  <si>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</si>
  <si>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</si>
  <si>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</si>
  <si>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</si>
  <si>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</si>
  <si>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</si>
  <si>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</si>
  <si>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</si>
  <si>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</si>
  <si>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</si>
  <si>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</si>
  <si>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</si>
  <si>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</si>
  <si>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</si>
  <si>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</si>
  <si>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</si>
  <si>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</si>
  <si>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</si>
  <si>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</si>
  <si>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</si>
  <si>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</si>
  <si>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</si>
  <si>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</si>
  <si>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</si>
  <si>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</si>
  <si>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</si>
  <si>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</si>
  <si>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</si>
  <si>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</si>
  <si>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</si>
  <si>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</si>
  <si>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</si>
  <si>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</si>
  <si>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</si>
  <si>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</si>
  <si>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</si>
  <si>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</si>
  <si>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</si>
  <si>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</si>
  <si>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</si>
  <si>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</si>
  <si>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</si>
  <si>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</si>
  <si>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</si>
  <si>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</si>
  <si>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</si>
  <si>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</si>
  <si>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</si>
  <si>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</si>
  <si>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</si>
  <si>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</si>
  <si>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</si>
  <si>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</si>
  <si>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</si>
  <si>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</si>
  <si>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</si>
  <si>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</si>
  <si>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</si>
  <si>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</si>
  <si>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</si>
  <si>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</si>
  <si>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</si>
  <si>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</si>
  <si>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</si>
  <si>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</si>
  <si>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</si>
  <si>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</si>
  <si>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</si>
  <si>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</si>
  <si>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</si>
  <si>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</si>
  <si>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</si>
  <si>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</si>
  <si>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</si>
  <si>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</si>
  <si>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</si>
  <si>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</si>
  <si>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</si>
  <si>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</si>
  <si>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</si>
  <si>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</si>
  <si>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</si>
  <si>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</si>
  <si>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</si>
  <si>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</si>
  <si>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</si>
  <si>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</si>
  <si>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</si>
  <si>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</si>
  <si>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</si>
  <si>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</si>
  <si>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</si>
  <si>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</si>
  <si>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</si>
  <si>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</si>
  <si>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</si>
  <si>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</si>
  <si>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</si>
  <si>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</si>
  <si>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</si>
  <si>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</si>
  <si>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</si>
  <si>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</si>
  <si>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</si>
  <si>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</si>
  <si>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</si>
  <si>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</si>
  <si>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</si>
  <si>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</si>
  <si>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</si>
  <si>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</si>
  <si>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</si>
  <si>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</si>
  <si>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</si>
  <si>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</si>
  <si>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</si>
  <si>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</si>
  <si>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</si>
  <si>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</si>
  <si>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</si>
  <si>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</si>
  <si>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</si>
  <si>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</si>
  <si>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</si>
  <si>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</si>
  <si>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</si>
  <si>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</si>
  <si>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</si>
  <si>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</si>
  <si>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</si>
  <si>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</si>
  <si>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</si>
  <si>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</si>
  <si>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</si>
  <si>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</si>
  <si>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</si>
  <si>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</si>
  <si>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</si>
  <si>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</si>
  <si>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</si>
  <si>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</si>
  <si>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</si>
  <si>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</si>
  <si>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</si>
  <si>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</si>
  <si>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</si>
  <si>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</si>
  <si>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</si>
  <si>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</si>
  <si>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</si>
  <si>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</si>
  <si>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</si>
  <si>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</si>
  <si>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</si>
  <si>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</si>
  <si>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</si>
  <si>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</si>
  <si>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</si>
  <si>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</si>
  <si>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</si>
  <si>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</si>
  <si>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</si>
  <si>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</si>
  <si>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</si>
  <si>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</si>
  <si>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</si>
  <si>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</si>
  <si>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</si>
  <si>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</si>
  <si>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</si>
  <si>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</si>
  <si>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</si>
  <si>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</si>
  <si>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</si>
  <si>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</si>
  <si>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</si>
  <si>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</si>
  <si>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</si>
  <si>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</si>
  <si>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</si>
  <si>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</si>
  <si>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</si>
  <si>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</si>
  <si>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</si>
  <si>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</si>
  <si>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</si>
  <si>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</si>
  <si>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</si>
  <si>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</si>
  <si>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</si>
  <si>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</si>
  <si>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</si>
  <si>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</si>
  <si>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</si>
  <si>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</si>
  <si>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</si>
  <si>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</si>
  <si>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</si>
  <si>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</si>
  <si>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</si>
  <si>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</si>
  <si>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</si>
  <si>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</si>
  <si>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</si>
  <si>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</si>
  <si>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</si>
  <si>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</si>
  <si>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</si>
  <si>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</si>
  <si>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</si>
  <si>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</si>
  <si>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</si>
  <si>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</si>
  <si>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</si>
  <si>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</si>
  <si>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</si>
  <si>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</si>
  <si>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</si>
  <si>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</si>
  <si>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</si>
  <si>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</si>
  <si>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</si>
  <si>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</si>
  <si>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</si>
  <si>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</si>
  <si>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</si>
  <si>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</si>
  <si>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</si>
  <si>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</si>
  <si>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</si>
  <si>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</si>
  <si>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</si>
  <si>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</si>
  <si>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</si>
  <si>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</si>
  <si>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</si>
  <si>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</si>
  <si>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</si>
  <si>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</si>
  <si>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</si>
  <si>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</si>
  <si>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</si>
  <si>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</si>
  <si>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</si>
  <si>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</si>
  <si>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</si>
  <si>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</si>
  <si>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</si>
  <si>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</si>
  <si>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</si>
  <si>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</si>
  <si>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</si>
  <si>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</si>
  <si>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</si>
  <si>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</si>
  <si>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</si>
  <si>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</si>
  <si>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</si>
  <si>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</si>
  <si>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</si>
  <si>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</si>
  <si>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</si>
  <si>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</si>
  <si>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</si>
  <si>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</si>
  <si>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</si>
  <si>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</si>
  <si>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</si>
  <si>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</si>
  <si>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</si>
  <si>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</si>
  <si>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</si>
  <si>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</si>
  <si>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</si>
  <si>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</si>
  <si>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</si>
  <si>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</si>
  <si>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</si>
  <si>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</si>
  <si>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</si>
  <si>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</si>
  <si>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</si>
  <si>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</si>
  <si>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</si>
  <si>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</si>
  <si>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</si>
  <si>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</si>
  <si>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</si>
  <si>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</si>
  <si>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</si>
  <si>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</si>
  <si>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</si>
  <si>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</si>
  <si>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</si>
  <si>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</si>
  <si>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</si>
  <si>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</si>
  <si>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</si>
  <si>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</si>
  <si>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</si>
  <si>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</si>
  <si>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</si>
  <si>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</si>
  <si>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</si>
  <si>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</si>
  <si>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</si>
  <si>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</si>
  <si>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</si>
  <si>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</si>
  <si>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</si>
  <si>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</si>
  <si>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</si>
  <si>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</si>
  <si>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</si>
  <si>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</si>
  <si>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</si>
  <si>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</si>
  <si>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</si>
  <si>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</si>
  <si>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</si>
  <si>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</si>
  <si>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</si>
  <si>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</si>
  <si>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</si>
  <si>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</si>
  <si>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</si>
  <si>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</si>
  <si>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</si>
  <si>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</si>
  <si>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</si>
  <si>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</si>
  <si>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</si>
  <si>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</si>
  <si>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</si>
  <si>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</si>
  <si>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</si>
  <si>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</si>
  <si>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</si>
  <si>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</si>
  <si>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</si>
  <si>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</si>
  <si>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</si>
  <si>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</si>
  <si>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</si>
  <si>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</si>
  <si>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</si>
  <si>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</si>
  <si>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</si>
  <si>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</si>
  <si>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</si>
  <si>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</si>
  <si>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</si>
  <si>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</si>
  <si>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</si>
  <si>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</si>
  <si>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</si>
  <si>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</si>
  <si>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</si>
  <si>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</si>
  <si>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</si>
  <si>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</si>
  <si>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</si>
  <si>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</si>
  <si>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</si>
  <si>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</si>
  <si>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</si>
  <si>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</si>
  <si>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</si>
  <si>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</si>
  <si>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</si>
  <si>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</si>
  <si>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</si>
  <si>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</si>
  <si>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</si>
  <si>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</si>
  <si>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</si>
  <si>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</si>
  <si>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</si>
  <si>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</si>
  <si>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</si>
  <si>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</si>
  <si>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</si>
  <si>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</si>
  <si>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</si>
  <si>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</si>
  <si>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</si>
  <si>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</si>
  <si>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</si>
  <si>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</si>
  <si>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</si>
  <si>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</si>
  <si>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</si>
  <si>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</si>
  <si>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</si>
  <si>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</si>
  <si>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</si>
  <si>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</si>
  <si>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</si>
  <si>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</si>
  <si>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</si>
  <si>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</si>
  <si>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</si>
  <si>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</si>
  <si>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</si>
  <si>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</si>
  <si>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</si>
  <si>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</si>
  <si>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</si>
  <si>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</si>
  <si>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</si>
  <si>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</si>
  <si>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</si>
  <si>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</si>
  <si>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</si>
  <si>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</si>
  <si>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</si>
  <si>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</si>
  <si>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</si>
  <si>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</si>
  <si>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</si>
  <si>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</si>
  <si>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</si>
  <si>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</si>
  <si>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</si>
  <si>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</si>
  <si>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</si>
  <si>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</si>
  <si>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</si>
  <si>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</si>
  <si>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</si>
  <si>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</si>
  <si>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</si>
  <si>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</si>
  <si>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</si>
  <si>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</si>
  <si>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</si>
  <si>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</si>
  <si>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</si>
  <si>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</si>
  <si>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</si>
  <si>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</si>
  <si>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</si>
  <si>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</si>
  <si>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</si>
  <si>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</si>
  <si>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</si>
  <si>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</si>
  <si>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</si>
  <si>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</si>
  <si>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</si>
  <si>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</si>
  <si>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</si>
  <si>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</si>
  <si>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</si>
  <si>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</si>
  <si>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</si>
  <si>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</si>
  <si>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</si>
  <si>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</si>
  <si>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</si>
  <si>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</si>
  <si>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</si>
  <si>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</si>
  <si>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</si>
  <si>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</si>
  <si>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</si>
  <si>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</si>
  <si>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</si>
  <si>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</si>
  <si>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</si>
  <si>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</si>
  <si>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</si>
  <si>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</si>
  <si>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</si>
  <si>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</si>
  <si>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</si>
  <si>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</si>
  <si>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</si>
  <si>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</si>
  <si>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</si>
  <si>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</si>
  <si>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</si>
  <si>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</si>
  <si>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</si>
  <si>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</si>
  <si>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</si>
  <si>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</si>
  <si>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</si>
  <si>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</si>
  <si>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</si>
  <si>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</si>
  <si>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</si>
  <si>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</si>
  <si>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</si>
  <si>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</si>
  <si>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</si>
  <si>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</si>
  <si>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</si>
  <si>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</si>
  <si>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</si>
  <si>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</si>
  <si>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</si>
  <si>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</si>
  <si>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</si>
  <si>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</si>
  <si>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</si>
  <si>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</si>
  <si>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</si>
  <si>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</si>
  <si>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</si>
  <si>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</si>
  <si>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</si>
  <si>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</si>
  <si>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</si>
  <si>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</si>
  <si>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</si>
  <si>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</si>
  <si>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</si>
  <si>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</si>
  <si>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</si>
  <si>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</si>
  <si>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</si>
  <si>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</si>
  <si>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</si>
  <si>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Jun.</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</si>
  <si>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</si>
  <si>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</si>
  <si>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</si>
  <si>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</si>
  <si>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</si>
  <si>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</si>
  <si>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</si>
  <si>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</si>
  <si>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</si>
  <si>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</si>
  <si>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</si>
  <si>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</si>
  <si>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</si>
  <si>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</si>
  <si>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</si>
  <si>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</si>
  <si>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</si>
  <si>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</si>
  <si>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</si>
  <si>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</si>
  <si>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</si>
  <si>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</si>
  <si>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</si>
  <si>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</si>
  <si>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</si>
  <si>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</si>
  <si>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</si>
  <si>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</si>
  <si>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</si>
  <si>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</si>
  <si>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</si>
  <si>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</si>
  <si>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</si>
  <si>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</si>
  <si>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</si>
  <si>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</si>
  <si>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</si>
  <si>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</si>
  <si>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</si>
  <si>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</si>
  <si>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</si>
  <si>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</si>
  <si>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</si>
  <si>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</si>
  <si>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</si>
  <si>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</si>
  <si>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</si>
  <si>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</si>
  <si>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</si>
  <si>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</si>
  <si>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</si>
  <si>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</si>
  <si>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</si>
  <si>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</si>
  <si>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</si>
  <si>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</si>
  <si>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</si>
  <si>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</si>
  <si>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</si>
  <si>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</si>
  <si>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</si>
  <si>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</si>
  <si>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</si>
  <si>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</si>
  <si>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</si>
  <si>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</si>
  <si>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</si>
  <si>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</si>
  <si>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</si>
  <si>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</si>
  <si>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</si>
  <si>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</si>
  <si>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</si>
  <si>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</si>
  <si>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</si>
  <si>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</si>
  <si>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</si>
  <si>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</si>
  <si>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</si>
  <si>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</si>
  <si>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</si>
  <si>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</si>
  <si>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</si>
  <si>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</si>
  <si>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</si>
  <si>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</si>
  <si>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</si>
  <si>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</si>
  <si>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</si>
  <si>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</si>
  <si>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</si>
  <si>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</si>
  <si>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</si>
  <si>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</si>
  <si>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</si>
  <si>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</si>
  <si>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</si>
  <si>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</si>
  <si>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</si>
  <si>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</si>
  <si>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</si>
  <si>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</si>
  <si>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</si>
  <si>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</si>
  <si>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</si>
  <si>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</si>
  <si>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</si>
  <si>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</si>
  <si>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</si>
  <si>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</si>
  <si>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</si>
  <si>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</si>
  <si>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</si>
  <si>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</si>
  <si>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</si>
  <si>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</si>
  <si>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</si>
  <si>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</si>
  <si>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</si>
  <si>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</si>
  <si>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</si>
  <si>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</si>
  <si>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</si>
  <si>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</si>
  <si>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</si>
  <si>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</si>
  <si>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</si>
  <si>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</si>
  <si>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</si>
  <si>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</si>
  <si>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</si>
  <si>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</si>
  <si>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</si>
  <si>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</si>
  <si>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</si>
  <si>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</si>
  <si>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</si>
  <si>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</si>
  <si>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</si>
  <si>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</si>
  <si>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</si>
  <si>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</si>
  <si>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</si>
  <si>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</si>
  <si>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</si>
  <si>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</si>
  <si>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</si>
  <si>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</si>
  <si>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</si>
  <si>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</si>
  <si>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</si>
  <si>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</si>
  <si>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</si>
  <si>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</si>
  <si>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</si>
  <si>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</si>
  <si>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</si>
  <si>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</si>
  <si>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</si>
  <si>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</si>
  <si>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</si>
  <si>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</si>
  <si>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</si>
  <si>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</si>
  <si>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</si>
  <si>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</si>
  <si>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</si>
  <si>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</si>
  <si>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</si>
  <si>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</si>
  <si>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</si>
  <si>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</si>
  <si>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</si>
  <si>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</si>
  <si>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</si>
  <si>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</si>
  <si>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</si>
  <si>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</si>
  <si>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</si>
  <si>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</si>
  <si>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</si>
  <si>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</si>
  <si>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</si>
  <si>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</si>
  <si>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</si>
  <si>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</si>
  <si>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</si>
  <si>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</si>
  <si>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</si>
  <si>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</si>
  <si>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</si>
  <si>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</si>
  <si>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</si>
  <si>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</si>
  <si>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</si>
  <si>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</si>
  <si>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</si>
  <si>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</si>
  <si>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</si>
  <si>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</si>
  <si>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</si>
  <si>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</si>
  <si>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</si>
  <si>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</si>
  <si>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</si>
  <si>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</si>
  <si>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</si>
  <si>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</si>
  <si>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</si>
  <si>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</si>
  <si>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</si>
  <si>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</si>
  <si>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</si>
  <si>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</si>
  <si>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</si>
  <si>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</si>
  <si>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</si>
  <si>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</si>
  <si>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</si>
  <si>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</si>
  <si>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</si>
  <si>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</si>
  <si>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</si>
  <si>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</si>
  <si>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</si>
  <si>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</si>
  <si>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</si>
  <si>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</si>
  <si>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</si>
  <si>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</si>
  <si>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</si>
  <si>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</si>
  <si>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</si>
  <si>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</si>
  <si>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</si>
  <si>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</si>
  <si>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</si>
  <si>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</si>
  <si>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</si>
  <si>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</si>
  <si>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</si>
  <si>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</si>
  <si>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</si>
  <si>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</si>
  <si>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</si>
  <si>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</si>
  <si>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</si>
  <si>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</si>
  <si>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</si>
  <si>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</si>
  <si>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</si>
  <si>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</si>
  <si>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</si>
  <si>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</si>
  <si>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</si>
  <si>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</si>
  <si>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</si>
  <si>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</si>
  <si>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</si>
  <si>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Jul.</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</si>
  <si>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</si>
  <si>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</si>
  <si>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</si>
  <si>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</si>
  <si>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</si>
  <si>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</si>
  <si>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</si>
  <si>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</si>
  <si>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</si>
  <si>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</si>
  <si>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</si>
  <si>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</si>
  <si>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</si>
  <si>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</si>
  <si>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</si>
  <si>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</si>
  <si>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</si>
  <si>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</si>
  <si>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</si>
  <si>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</si>
  <si>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</si>
  <si>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</si>
  <si>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</si>
  <si>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</si>
  <si>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</si>
  <si>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</si>
  <si>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</si>
  <si>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</si>
  <si>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</si>
  <si>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</si>
  <si>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</si>
  <si>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</si>
  <si>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</si>
  <si>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</si>
  <si>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</si>
  <si>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</si>
  <si>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</si>
  <si>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</si>
  <si>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</si>
  <si>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</si>
  <si>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</si>
  <si>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</si>
  <si>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</si>
  <si>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</si>
  <si>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</si>
  <si>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</si>
  <si>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</si>
  <si>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</si>
  <si>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</si>
  <si>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</si>
  <si>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</si>
  <si>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</si>
  <si>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</si>
  <si>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</si>
  <si>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</si>
  <si>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</si>
  <si>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</si>
  <si>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</si>
  <si>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</si>
  <si>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</si>
  <si>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</si>
  <si>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</si>
  <si>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</si>
  <si>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</si>
  <si>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</si>
  <si>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</si>
  <si>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</si>
  <si>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</si>
  <si>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</si>
  <si>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</si>
  <si>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</si>
  <si>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</si>
  <si>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</si>
  <si>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</si>
  <si>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</si>
  <si>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</si>
  <si>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</si>
  <si>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</si>
  <si>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</si>
  <si>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</si>
  <si>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</si>
  <si>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</si>
  <si>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</si>
  <si>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</si>
  <si>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</si>
  <si>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</si>
  <si>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</si>
  <si>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</si>
  <si>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</si>
  <si>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</si>
  <si>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</si>
  <si>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</si>
  <si>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</si>
  <si>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</si>
  <si>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</si>
  <si>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</si>
  <si>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</si>
  <si>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</si>
  <si>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</si>
  <si>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</si>
  <si>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</si>
  <si>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</si>
  <si>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</si>
  <si>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</si>
  <si>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</si>
  <si>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</si>
  <si>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</si>
  <si>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</si>
  <si>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</si>
  <si>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</si>
  <si>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</si>
  <si>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</si>
  <si>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</si>
  <si>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</si>
  <si>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</si>
  <si>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</si>
  <si>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</si>
  <si>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</si>
  <si>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</si>
  <si>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</si>
  <si>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</si>
  <si>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</si>
  <si>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</si>
  <si>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</si>
  <si>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</si>
  <si>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</si>
  <si>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</si>
  <si>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</si>
  <si>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</si>
  <si>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</si>
  <si>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</si>
  <si>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</si>
  <si>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</si>
  <si>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</si>
  <si>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</si>
  <si>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</si>
  <si>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</si>
  <si>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</si>
  <si>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</si>
  <si>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</si>
  <si>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</si>
  <si>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</si>
  <si>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</si>
  <si>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</si>
  <si>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</si>
  <si>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</si>
  <si>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</si>
  <si>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</si>
  <si>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</si>
  <si>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</si>
  <si>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</si>
  <si>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</si>
  <si>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</si>
  <si>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</si>
  <si>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</si>
  <si>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</si>
  <si>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</si>
  <si>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</si>
  <si>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</si>
  <si>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</si>
  <si>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</si>
  <si>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</si>
  <si>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</si>
  <si>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</si>
  <si>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</si>
  <si>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</si>
  <si>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</si>
  <si>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</si>
  <si>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</si>
  <si>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</si>
  <si>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</si>
  <si>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</si>
  <si>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</si>
  <si>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</si>
  <si>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</si>
  <si>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</si>
  <si>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</si>
  <si>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</si>
  <si>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</si>
  <si>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</si>
  <si>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</si>
  <si>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</si>
  <si>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</si>
  <si>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</si>
  <si>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</si>
  <si>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</si>
  <si>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</si>
  <si>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</si>
  <si>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</si>
  <si>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</si>
  <si>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</si>
  <si>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</si>
  <si>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</si>
  <si>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</si>
  <si>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</si>
  <si>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</si>
  <si>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</si>
  <si>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</si>
  <si>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</si>
  <si>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</si>
  <si>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</si>
  <si>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</si>
  <si>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</si>
  <si>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</si>
  <si>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</si>
  <si>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Aug.</t>
  </si>
  <si>
    <t>NA</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</si>
  <si>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</si>
  <si>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</si>
  <si>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</si>
  <si>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</si>
  <si>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</si>
  <si>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</si>
  <si>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</si>
  <si>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</si>
  <si>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</si>
  <si>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</si>
  <si>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</si>
  <si>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</si>
  <si>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</si>
  <si>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</si>
  <si>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</si>
  <si>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</si>
  <si>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</si>
  <si>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</si>
  <si>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</si>
  <si>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</si>
  <si>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</si>
  <si>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</si>
  <si>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</si>
  <si>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</si>
  <si>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</si>
  <si>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</si>
  <si>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</si>
  <si>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</si>
  <si>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</si>
  <si>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</si>
  <si>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</si>
  <si>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</si>
  <si>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</si>
  <si>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</si>
  <si>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</si>
  <si>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</si>
  <si>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</si>
  <si>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</si>
  <si>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</si>
  <si>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</si>
  <si>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</si>
  <si>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</si>
  <si>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</si>
  <si>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</si>
  <si>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</si>
  <si>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</si>
  <si>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Updated Nov-21</t>
  </si>
  <si>
    <t>Other legislation (what we haven't accounted for to make our underlying social benefits equal to the counterfactual underlying benefits) and add factor to match history</t>
  </si>
  <si>
    <t>NA</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</si>
  <si>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</si>
  <si>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</si>
  <si>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</si>
  <si>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Oct.</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</si>
  <si>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</si>
  <si>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</si>
  <si>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</si>
  <si>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</si>
  <si>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</si>
  <si>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</si>
  <si>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</si>
  <si>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</si>
  <si>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</si>
  <si>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</si>
  <si>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</si>
  <si>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</si>
  <si>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</si>
  <si>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</si>
  <si>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</si>
  <si>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</si>
  <si>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</si>
  <si>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</si>
  <si>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</si>
  <si>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</si>
  <si>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</si>
  <si>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</si>
  <si>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</si>
  <si>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</si>
  <si>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</si>
  <si>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</si>
  <si>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</si>
  <si>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</si>
  <si>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</si>
  <si>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</si>
  <si>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</si>
  <si>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</si>
  <si>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</si>
  <si>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</si>
  <si>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</si>
  <si>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</si>
  <si>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</si>
  <si>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</si>
  <si>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</si>
  <si>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</si>
  <si>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</si>
  <si>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</si>
  <si>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</si>
  <si>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</si>
  <si>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</si>
  <si>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</si>
  <si>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</si>
  <si>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</si>
  <si>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</si>
  <si>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</si>
  <si>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</si>
  <si>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</si>
  <si>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</si>
  <si>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</si>
  <si>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</si>
  <si>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</si>
  <si>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</si>
  <si>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</si>
  <si>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</si>
  <si>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</si>
  <si>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</si>
  <si>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</si>
  <si>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</si>
  <si>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</si>
  <si>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</si>
  <si>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</si>
  <si>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</si>
  <si>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</si>
  <si>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</si>
  <si>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</si>
  <si>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</si>
  <si>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</si>
  <si>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</si>
  <si>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</si>
  <si>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</si>
  <si>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</si>
  <si>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</si>
  <si>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</si>
  <si>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</si>
  <si>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</si>
  <si>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</si>
  <si>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</si>
  <si>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</si>
  <si>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</si>
  <si>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</si>
  <si>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</si>
  <si>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</si>
  <si>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</si>
  <si>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</si>
  <si>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</si>
  <si>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</si>
  <si>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</si>
  <si>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</si>
  <si>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</si>
  <si>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</si>
  <si>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</si>
  <si>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</si>
  <si>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</si>
  <si>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</si>
  <si>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</si>
  <si>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</si>
  <si>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</si>
  <si>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</si>
  <si>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</si>
  <si>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</si>
  <si>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</si>
  <si>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</si>
  <si>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</si>
  <si>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</si>
  <si>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</si>
  <si>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</si>
  <si>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</si>
  <si>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</si>
  <si>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</si>
  <si>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</si>
  <si>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</si>
  <si>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</si>
  <si>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</si>
  <si>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</si>
  <si>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</si>
  <si>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</si>
  <si>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</si>
  <si>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</si>
  <si>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</si>
  <si>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</si>
  <si>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</si>
  <si>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</si>
  <si>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</si>
  <si>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</si>
  <si>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</si>
  <si>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</si>
  <si>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</si>
  <si>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</si>
  <si>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</si>
  <si>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</si>
  <si>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</si>
  <si>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</si>
  <si>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</si>
  <si>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</si>
  <si>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</si>
  <si>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</si>
  <si>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</si>
  <si>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</si>
  <si>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</si>
  <si>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</si>
  <si>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</si>
  <si>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</si>
  <si>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</si>
  <si>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</si>
  <si>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</si>
  <si>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</si>
  <si>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</si>
  <si>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</si>
  <si>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</si>
  <si>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</si>
  <si>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</si>
  <si>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</si>
  <si>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</si>
  <si>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</si>
  <si>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</si>
  <si>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</si>
  <si>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</si>
  <si>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</si>
  <si>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</si>
  <si>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</si>
  <si>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</si>
  <si>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</si>
  <si>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</si>
  <si>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</si>
  <si>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</si>
  <si>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</si>
  <si>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</si>
  <si>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</si>
  <si>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</si>
  <si>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</si>
  <si>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</si>
  <si>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</si>
  <si>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</si>
  <si>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</si>
  <si>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</si>
  <si>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</si>
  <si>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</si>
  <si>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</si>
  <si>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</si>
  <si>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</si>
  <si>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</si>
  <si>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</si>
  <si>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</si>
  <si>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</si>
  <si>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</si>
  <si>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</si>
  <si>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</si>
  <si>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</si>
  <si>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</si>
  <si>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</si>
  <si>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</si>
  <si>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</si>
  <si>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</si>
  <si>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</si>
  <si>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</si>
  <si>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</si>
  <si>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</si>
  <si>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</si>
  <si>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</si>
  <si>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</si>
  <si>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</si>
  <si>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</si>
  <si>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</si>
  <si>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</si>
  <si>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</si>
  <si>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</si>
  <si>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</si>
  <si>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</si>
  <si>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</si>
  <si>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</si>
  <si>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</si>
  <si>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</si>
  <si>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</si>
  <si>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</si>
  <si>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</si>
  <si>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</si>
  <si>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</si>
  <si>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</si>
  <si>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</si>
  <si>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</si>
  <si>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</si>
  <si>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</si>
  <si>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</si>
  <si>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</si>
  <si>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</si>
  <si>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</si>
  <si>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</si>
  <si>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</si>
  <si>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</si>
  <si>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</si>
  <si>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</si>
  <si>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</si>
  <si>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</si>
  <si>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</si>
  <si>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</si>
  <si>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</si>
  <si>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</si>
  <si>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</si>
  <si>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</si>
  <si>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</si>
  <si>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</si>
  <si>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</si>
  <si>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</si>
  <si>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</si>
  <si>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</si>
  <si>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</si>
  <si>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</si>
  <si>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</si>
  <si>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</si>
  <si>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</si>
  <si>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</si>
  <si>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</si>
  <si>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</si>
  <si>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</si>
  <si>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</si>
  <si>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NA</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</si>
  <si>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</si>
  <si>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</si>
  <si>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</si>
  <si>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</si>
  <si>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</si>
  <si>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</si>
  <si>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</si>
  <si>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</si>
  <si>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</si>
  <si>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</si>
  <si>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</si>
  <si>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</si>
  <si>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</si>
  <si>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</si>
  <si>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</si>
  <si>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</si>
  <si>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</si>
  <si>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</si>
  <si>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</si>
  <si>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</si>
  <si>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May 2022 CBO economic release</t>
  </si>
  <si>
    <t>Personal consumption expenditures</t>
  </si>
  <si>
    <t>Federal government consumption expenditures</t>
  </si>
  <si>
    <t>State and local government consumption expenditures</t>
  </si>
  <si>
    <t xml:space="preserve">    "c"</t>
  </si>
  <si>
    <t xml:space="preserve">    "gf"</t>
  </si>
  <si>
    <t xml:space="preserve">    "gs"</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</si>
  <si>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</si>
  <si>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</si>
  <si>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</si>
  <si>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</si>
  <si>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</si>
  <si>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</si>
  <si>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</si>
  <si>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</si>
  <si>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</si>
  <si>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</si>
  <si>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</si>
  <si>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</si>
  <si>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</si>
  <si>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</si>
  <si>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</si>
  <si>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Table 1: BEA and CBO (for record keeping)</t>
  </si>
  <si>
    <t>HISTORY - BEA data</t>
  </si>
  <si>
    <t>Table 1a (uses cbo variables for forecast period in table 1)</t>
  </si>
  <si>
    <t>Quarterly (do not touch)</t>
  </si>
  <si>
    <t>Nov.</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</si>
  <si>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</si>
  <si>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</si>
  <si>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</si>
  <si>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</si>
  <si>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</si>
  <si>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</si>
  <si>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</si>
  <si>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</si>
  <si>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</si>
  <si>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</si>
  <si>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</si>
  <si>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</si>
  <si>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</si>
  <si>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</si>
  <si>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</si>
  <si>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</si>
  <si>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</si>
  <si>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</si>
  <si>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</si>
  <si>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</si>
  <si>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</si>
  <si>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</si>
  <si>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</si>
  <si>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</si>
  <si>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</si>
  <si>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</si>
  <si>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</si>
  <si>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</si>
  <si>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</si>
  <si>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</si>
  <si>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</si>
  <si>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</si>
  <si>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</si>
  <si>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</si>
  <si>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</si>
  <si>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</si>
  <si>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</si>
  <si>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</si>
  <si>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</si>
  <si>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</si>
  <si>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</si>
  <si>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</si>
  <si>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</si>
  <si>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</si>
  <si>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</si>
  <si>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</si>
  <si>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</si>
  <si>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</si>
  <si>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</si>
  <si>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2022 Q4 update</t>
  </si>
  <si>
    <t>Sept.</t>
  </si>
  <si>
    <t>Dec.</t>
  </si>
  <si>
    <t>NA</t>
  </si>
  <si>
    <t>Our forecast for Q1</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</si>
  <si>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</si>
  <si>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</si>
  <si>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</si>
  <si>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</si>
  <si>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</si>
  <si>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</si>
  <si>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</si>
  <si>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https://fred.stlouisfed.org/series/UNRATE</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</si>
  <si>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</si>
  <si>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</si>
  <si>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</si>
  <si>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</si>
  <si>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Projection of Federal Purchases</t>
  </si>
  <si>
    <t>February 2023 CBO Federal Purchases Growth</t>
  </si>
  <si>
    <t>February 2023 CBO Projection of State and Local purchases</t>
  </si>
  <si>
    <t>February 2023 CBO Annual Medicare Spending</t>
  </si>
  <si>
    <t>February 2023 Individual Income</t>
  </si>
  <si>
    <t>February 2023 CBO Projections of Federal Taxes (Fiscal Years)</t>
  </si>
  <si>
    <t>February 2023 Payroll</t>
  </si>
  <si>
    <t>February 2023 CBO Excise</t>
  </si>
  <si>
    <t>February 2023 CBO Customs</t>
  </si>
  <si>
    <t>February 2023 Corporate Taxes</t>
  </si>
  <si>
    <t>February 2023 Taxable Personal Income</t>
  </si>
  <si>
    <t>February 2023 Wages and Salaries</t>
  </si>
  <si>
    <t>February 2023 Personal Consumption</t>
  </si>
  <si>
    <t>February 2023 Corporate Profits</t>
  </si>
  <si>
    <t>February 2023 Corporate Profits with IVA and CCAdj</t>
  </si>
  <si>
    <t>February 2023 Nonwage Income</t>
  </si>
  <si>
    <t>February 2023 Personal Consumption Expenditures</t>
  </si>
  <si>
    <t>February 2023 Federal government consumption expenditures</t>
  </si>
  <si>
    <t>February 2023 state and local government consumption expenditures</t>
  </si>
  <si>
    <t>February 2023 Personal consumption expenditures</t>
  </si>
  <si>
    <t>February 2023 State and local government consumption expenditures</t>
  </si>
  <si>
    <t>February 2023 CBO Projection of Federal Medicaid Outlays</t>
  </si>
  <si>
    <t>Add factor for corporate income tax</t>
  </si>
  <si>
    <t>NOT USED (DOES NOT INCLUDE PAYMENT DELAYS)</t>
  </si>
  <si>
    <t>Personal income add factor</t>
  </si>
  <si>
    <t>February 2023 CBO Tax Base Quarterly Projections</t>
  </si>
  <si>
    <t>Previous Forecast (2022 Q4 plus CBO update (Feb 2022))</t>
  </si>
  <si>
    <t xml:space="preserve"> 2022 Q4 first revision (Feb 2022)</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</si>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</sst>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60">
    <font>
      <sz val="11"/>
      <color theme="1"/>
      <name val="Calibri"/>
      <family val="2"/>
      <scheme val="minor"/>
    </font>
    <font>
      <sz val="11"/>
      <color theme="1"/>
      <name val="Calibri"/>
      <family val="2"/>
    </font>
    <font>
      <sz val="11"/>
      <color theme="1"/>
      <name val="Arial"/>
      <family val="2"/>
    </font>
    <font>
      <sz val="11"/>
      <color theme="1"/>
      <name val="Calibri"/>
      <family val="2"/>
      <b/>
    </font>
    <font>
      <sz val="11"/>
      <color theme="1"/>
      <name val="Calibri"/>
      <family val="2"/>
      <i/>
    </font>
    <font>
      <sz val="11"/>
      <color theme="1"/>
      <name val="Calibri"/>
      <family val="2"/>
      <b/>
      <i/>
    </font>
    <font>
      <sz val="11"/>
      <color rgb="FF000000"/>
      <name val="Calibri"/>
      <family val="2"/>
      <b/>
      <i/>
    </font>
    <font>
      <sz val="11"/>
      <color rgb="FF000000"/>
      <name val="Calibri"/>
      <family val="2"/>
    </font>
    <font>
      <sz val="11"/>
      <color rgb="FF000000"/>
      <name val="Calibri"/>
      <family val="2"/>
      <b/>
    </font>
    <font>
      <sz val="11"/>
      <color rgb="FF44546A"/>
      <name val="Arial"/>
      <family val="2"/>
    </font>
    <font>
      <sz val="7"/>
      <color theme="1"/>
      <name val="Segoe UI"/>
      <family val="2"/>
    </font>
    <font>
      <sz val="11"/>
      <color theme="3"/>
      <name val="Arial"/>
      <family val="2"/>
    </font>
    <font>
      <sz val="11"/>
      <color theme="1"/>
      <name val="Arial"/>
      <family val="2"/>
      <b/>
    </font>
    <font>
      <sz val="11"/>
      <color theme="10"/>
      <name val="Calibri"/>
      <family val="2"/>
      <u val="single"/>
    </font>
    <font>
      <sz val="11"/>
      <color theme="1"/>
      <name val="Calibri"/>
      <family val="2"/>
      <scheme val="minor"/>
      <b/>
    </font>
    <font>
      <sz val="14"/>
      <color theme="1"/>
      <name val="Calibri"/>
      <family val="2"/>
      <b/>
    </font>
    <font>
      <sz val="11"/>
      <color indexed="8"/>
      <name val="Calibri"/>
      <family val="2"/>
      <scheme val="minor"/>
    </font>
    <font>
      <sz val="13"/>
      <color theme="1"/>
      <name val="Calibri"/>
      <family val="2"/>
    </font>
    <font>
      <sz val="15"/>
      <color theme="1"/>
      <name val="Calibri"/>
      <family val="2"/>
      <b/>
      <i/>
    </font>
    <font>
      <sz val="11"/>
      <color indexed="9"/>
      <name val="Calibri"/>
      <family val="2"/>
      <b/>
    </font>
    <font>
      <sz val="11"/>
      <color theme="1"/>
      <name val="Calibri"/>
      <family val="2"/>
      <scheme val="minor"/>
      <i/>
    </font>
    <font>
      <sz val="12"/>
      <color theme="1"/>
      <name val="Calibri"/>
      <family val="2"/>
    </font>
    <font>
      <sz val="12"/>
      <color theme="1"/>
      <name val="Calibri"/>
      <family val="2"/>
      <b/>
    </font>
    <font>
      <sz val="11"/>
      <color theme="1"/>
      <name val="Arial"/>
      <family val="2"/>
      <i/>
    </font>
    <font>
      <sz val="11"/>
      <color rgb="FFFF0000"/>
      <name val="Arial"/>
      <family val="2"/>
    </font>
    <font>
      <sz val="11"/>
      <color rgb="FF393B3E"/>
      <name val="Arial"/>
      <family val="2"/>
    </font>
    <font>
      <sz val="11"/>
      <color theme="1"/>
      <name val="Arial"/>
      <family val="2"/>
      <b/>
      <i/>
    </font>
    <font>
      <sz val="12"/>
      <color rgb="FF000000"/>
      <name val="Courier New"/>
      <family val="3"/>
    </font>
    <font>
      <sz val="11"/>
      <color rgb="FF000000"/>
      <name val="Arial"/>
      <family val="2"/>
    </font>
    <font>
      <sz val="7"/>
      <color rgb="FF242424"/>
      <name val="Segoe UI"/>
      <family val="2"/>
    </font>
    <font>
      <sz val="10"/>
      <color theme="1"/>
      <name val="Arial"/>
      <family val="2"/>
      <b/>
    </font>
    <font>
      <sz val="10"/>
      <color theme="1"/>
      <name val="Arial"/>
      <family val="2"/>
      <b/>
      <i/>
    </font>
    <font>
      <sz val="9"/>
      <color theme="1"/>
      <name val="Arial"/>
      <family val="2"/>
      <b/>
    </font>
    <font>
      <sz val="11"/>
      <color indexed="8"/>
      <name val="Arial"/>
      <family val="2"/>
    </font>
    <font>
      <sz val="11"/>
      <color theme="1"/>
      <name val="Calibri"/>
      <family val="2"/>
      <scheme val="minor"/>
      <b/>
      <i/>
    </font>
    <font>
      <sz val="11"/>
      <color rgb="FF000000"/>
      <name val="Arial"/>
      <family val="2"/>
      <b/>
    </font>
    <font>
      <sz val="11"/>
      <color rgb="FF242424"/>
      <name val="Arial"/>
      <family val="2"/>
    </font>
    <font>
      <sz val="11"/>
      <color theme="0"/>
      <name val="Arial"/>
      <family val="2"/>
      <b/>
    </font>
    <font>
      <sz val="11"/>
      <color rgb="FF000000"/>
      <name val="Arial"/>
      <family val="2"/>
      <i/>
    </font>
    <font>
      <sz val="11"/>
      <color theme="1"/>
      <name val="Calibri Light"/>
      <family val="2"/>
    </font>
    <font>
      <sz val="10"/>
      <color theme="1"/>
      <name val="Arial"/>
      <family val="2"/>
    </font>
    <font>
      <sz val="10"/>
      <color theme="1"/>
      <name val="Arial"/>
      <family val="2"/>
      <i/>
    </font>
    <font>
      <sz val="10"/>
      <color theme="1"/>
      <name val="Calibri"/>
      <family val="2"/>
      <scheme val="minor"/>
    </font>
    <font>
      <sz val="11"/>
      <color rgb="FF1F497D"/>
      <name val="Arial"/>
      <family val="2"/>
    </font>
    <font>
      <sz val="9"/>
      <color rgb="FF000000"/>
      <name val="Arial"/>
      <family val="2"/>
    </font>
    <font>
      <sz val="9"/>
      <color theme="1"/>
      <name val="Arial"/>
      <family val="2"/>
    </font>
    <font>
      <sz val="9"/>
      <color theme="10"/>
      <name val="Arial"/>
      <family val="2"/>
      <u val="single"/>
    </font>
    <font>
      <sz val="8.5"/>
      <color rgb="FF000000"/>
      <name val="Arial"/>
      <family val="2"/>
    </font>
    <font>
      <sz val="8.5"/>
      <color theme="1"/>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sz val="8"/>
      <color rgb="FF980000"/>
      <name val="Arial"/>
      <family val="2"/>
      <b/>
      <i/>
    </font>
    <font>
      <sz val="10"/>
      <color rgb="FF000000"/>
      <name val="Arial"/>
      <family val="2"/>
    </font>
    <font>
      <sz val="10"/>
      <color rgb="FF980000"/>
      <name val="Arial"/>
      <family val="2"/>
    </font>
    <font>
      <sz val="8"/>
      <color rgb="FF000000"/>
      <name val="Arial"/>
      <family val="2"/>
      <b/>
      <i/>
    </font>
    <font>
      <sz val="10"/>
      <color theme="1"/>
      <name val="Calibri"/>
      <family val="2"/>
    </font>
    <font>
      <sz val="11"/>
      <color rgb="FF980000"/>
      <name val="Calibri"/>
      <family val="2"/>
    </font>
  </fonts>
  <fills count="39">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73">
    <border>
      <left/>
      <right/>
      <top/>
      <bottom/>
      <diagonal/>
    </border>
    <border>
      <left style="thin">
        <color indexed="64"/>
      </left>
    </border>
    <border>
      <right style="thin">
        <color indexed="64"/>
      </right>
      <top style="thin">
        <color indexed="64"/>
      </top>
    </border>
    <border>
      <right style="thin">
        <color indexed="64"/>
      </right>
    </border>
    <border>
      <left style="thin">
        <color indexed="64"/>
      </left>
      <top style="thin">
        <color indexed="64"/>
      </top>
    </border>
    <border>
      <top style="thin">
        <color auto="1"/>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left style="medium">
        <color theme="0" tint="-0.499984740745262"/>
      </left>
    </border>
    <border>
      <left style="medium">
        <color theme="0" tint="-0.499984740745262"/>
      </left>
      <bottom style="medium">
        <color theme="0" tint="-0.499984740745262"/>
      </bottom>
    </border>
    <border>
      <top style="medium">
        <color theme="0" tint="-0.499984740745262"/>
      </top>
    </border>
    <border>
      <right style="thin">
        <color indexed="64"/>
      </right>
      <top style="thin">
        <color theme="0" tint="-0.14999847407452621"/>
      </top>
      <bottom style="thin">
        <color theme="0" tint="-0.14999847407452621"/>
      </bottom>
    </border>
    <border>
      <left style="medium">
        <color theme="0" tint="-0.499984740745262"/>
      </left>
      <right style="thin">
        <color theme="0" tint="-0.499984740745262"/>
      </right>
      <top style="thin">
        <color theme="0" tint="-0.499984740745262"/>
      </top>
      <bottom style="medium">
        <color theme="0" tint="-0.499984740745262"/>
      </bottom>
    </border>
    <border>
      <left style="thin">
        <color theme="0" tint="-0.499984740745262"/>
      </left>
      <top style="thin">
        <color theme="0" tint="-0.499984740745262"/>
      </top>
    </border>
    <border>
      <left style="thin">
        <color theme="0" tint="-0.499984740745262"/>
      </left>
      <right style="medium">
        <color theme="0" tint="-0.499984740745262"/>
      </right>
      <top style="thin">
        <color theme="0" tint="-0.499984740745262"/>
      </top>
      <bottom style="medium">
        <color theme="0" tint="-0.499984740745262"/>
      </bottom>
    </border>
    <border>
      <bottom style="medium">
        <color theme="0" tint="-0.499984740745262"/>
      </bottom>
    </border>
    <border>
      <top style="medium">
        <color theme="0" tint="-0.499984740745262"/>
      </top>
      <bottom style="thin">
        <color theme="0" tint="-0.499984740745262"/>
      </bottom>
    </border>
    <border>
      <top style="thin">
        <color theme="0" tint="-0.499984740745262"/>
      </top>
      <bottom style="thin">
        <color theme="0" tint="-0.499984740745262"/>
      </bottom>
    </border>
    <border>
      <right style="thin">
        <color theme="0" tint="-0.499984740745262"/>
      </right>
      <top style="thin">
        <color theme="0" tint="-0.499984740745262"/>
      </top>
      <bottom style="thin">
        <color theme="0" tint="-0.499984740745262"/>
      </bottom>
    </border>
    <border>
      <right style="medium">
        <color indexed="64"/>
      </right>
      <top style="thin">
        <color theme="0" tint="-0.499984740745262"/>
      </top>
      <bottom style="thin">
        <color theme="0" tint="-0.499984740745262"/>
      </bottom>
    </border>
    <border>
      <left style="medium">
        <color theme="0" tint="-0.499984740745262"/>
      </left>
      <right style="thin">
        <color theme="0" tint="-0.499984740745262"/>
      </right>
      <top style="medium">
        <color theme="0" tint="-0.499984740745262"/>
      </top>
    </border>
    <border>
      <left style="thin">
        <color theme="0" tint="-0.499984740745262"/>
      </left>
      <right style="thin">
        <color theme="0" tint="-0.499984740745262"/>
      </right>
      <top style="medium">
        <color theme="0" tint="-0.499984740745262"/>
      </top>
    </border>
    <border>
      <right style="thin">
        <color theme="0" tint="-0.499984740745262"/>
      </right>
      <top style="medium">
        <color theme="0" tint="-0.499984740745262"/>
      </top>
    </border>
    <border>
      <left style="medium">
        <color theme="0" tint="-0.499984740745262"/>
      </left>
      <right style="thin">
        <color theme="0" tint="-0.499984740745262"/>
      </right>
    </border>
    <border>
      <left style="thin">
        <color theme="0" tint="-0.499984740745262"/>
      </left>
      <right style="thin">
        <color theme="0" tint="-0.499984740745262"/>
      </right>
    </border>
    <border>
      <right style="thin">
        <color theme="0" tint="-0.499984740745262"/>
      </right>
    </border>
    <border>
      <left style="medium">
        <color theme="0" tint="-0.499984740745262"/>
      </left>
      <right style="medium">
        <color theme="0" tint="-0.499984740745262"/>
      </right>
      <top style="medium">
        <color theme="0" tint="-0.499984740745262"/>
      </top>
    </border>
    <border>
      <left style="medium">
        <color theme="0" tint="-0.499984740745262"/>
      </left>
      <right style="medium">
        <color theme="0" tint="-0.499984740745262"/>
      </right>
    </border>
    <border>
      <left style="medium">
        <color theme="0" tint="-0.499984740745262"/>
      </left>
      <right style="thin">
        <color theme="0" tint="-0.499984740745262"/>
      </right>
      <bottom style="medium">
        <color theme="0" tint="-0.499984740745262"/>
      </bottom>
    </border>
    <border>
      <left style="thin">
        <color theme="0" tint="-0.499984740745262"/>
      </left>
      <right style="thin">
        <color theme="0" tint="-0.499984740745262"/>
      </right>
      <bottom style="medium">
        <color theme="0" tint="-0.499984740745262"/>
      </bottom>
    </border>
    <border>
      <right style="thin">
        <color theme="0" tint="-0.499984740745262"/>
      </right>
      <bottom style="medium">
        <color theme="0" tint="-0.499984740745262"/>
      </bottom>
    </border>
    <border>
      <bottom style="thin">
        <color theme="0" tint="-0.499984740745262"/>
      </bottom>
    </border>
    <border>
      <left style="thin">
        <color theme="0" tint="-0.499984740745262"/>
      </left>
      <top style="thin">
        <color theme="0" tint="-0.499984740745262"/>
      </top>
      <bottom style="thin">
        <color theme="0" tint="-0.499984740745262"/>
      </bottom>
    </border>
    <border>
      <left style="medium">
        <color theme="0" tint="-0.499984740745262"/>
      </left>
      <bottom style="thin">
        <color theme="0" tint="-0.499984740745262"/>
      </bottom>
    </border>
    <border>
      <left style="medium">
        <color theme="2" tint="-0.499984740745262"/>
      </left>
    </border>
    <border>
      <left style="medium">
        <color theme="0" tint="-0.499984740745262"/>
      </left>
      <top style="thin">
        <color theme="0" tint="-0.499984740745262"/>
      </top>
    </border>
    <border>
      <left style="thin">
        <color indexed="9"/>
      </left>
      <right style="thin">
        <color indexed="9"/>
      </right>
      <top style="thin">
        <color indexed="9"/>
      </top>
      <bottom style="thin">
        <color indexed="9"/>
      </bottom>
    </border>
    <border>
      <top style="thin">
        <color indexed="64"/>
      </top>
    </border>
    <border>
      <right style="thin">
        <color indexed="9"/>
      </right>
    </border>
    <border>
      <left style="thin">
        <color indexed="9"/>
      </left>
      <right style="thin">
        <color indexed="9"/>
      </right>
    </border>
    <border>
      <left style="thin">
        <color indexed="64"/>
      </left>
      <right style="thin">
        <color indexed="9"/>
      </right>
    </border>
    <border>
      <left style="thin">
        <color indexed="64"/>
      </left>
      <right style="thin">
        <color indexed="64"/>
      </right>
      <top style="thin">
        <color indexed="64"/>
      </top>
      <bottom style="thin">
        <color indexed="64"/>
      </bottom>
    </border>
    <border>
      <left style="thin">
        <color rgb="FFFFFF00"/>
      </left>
      <top style="thin">
        <color rgb="FFFFFF00"/>
      </top>
      <bottom style="thin">
        <color rgb="FFFFFF00"/>
      </bottom>
    </border>
    <border>
      <top style="thin">
        <color rgb="FFFFFF00"/>
      </top>
      <bottom style="thin">
        <color rgb="FFFFFF00"/>
      </bottom>
    </border>
    <border>
      <left style="thin">
        <color indexed="64"/>
      </left>
      <top style="thin">
        <color rgb="FFFFFF00"/>
      </top>
      <bottom style="thin">
        <color rgb="FFFFFF00"/>
      </bottom>
    </border>
    <border>
      <right style="thin">
        <color rgb="FFFFFF00"/>
      </right>
      <top style="thin">
        <color rgb="FFFFFF00"/>
      </top>
      <bottom style="thin">
        <color rgb="FFFFFF00"/>
      </bottom>
    </border>
    <border>
      <right style="thin">
        <color indexed="64"/>
      </right>
      <top style="thin">
        <color rgb="FFFFFF00"/>
      </top>
      <bottom style="thin">
        <color rgb="FFFFFF00"/>
      </bottom>
    </border>
    <border>
      <left style="thin">
        <color indexed="64"/>
      </left>
      <top style="thin">
        <color auto="1"/>
      </top>
      <bottom style="thin">
        <color indexed="64"/>
      </bottom>
    </border>
    <border>
      <top style="thin">
        <color auto="1"/>
      </top>
      <bottom style="thin">
        <color indexed="64"/>
      </bottom>
    </border>
    <border>
      <right style="thin">
        <color indexed="64"/>
      </right>
      <top style="thin">
        <color auto="1"/>
      </top>
      <bottom style="thin">
        <color indexed="64"/>
      </bottom>
    </border>
    <border>
      <left style="thin">
        <color auto="1"/>
      </left>
      <right style="thin">
        <color auto="1"/>
      </right>
      <top style="thin">
        <color auto="1"/>
      </top>
      <bottom style="thin">
        <color auto="1"/>
      </bottom>
    </border>
    <border>
      <left style="thin">
        <color indexed="64"/>
      </left>
      <right style="thin">
        <color indexed="64"/>
      </right>
      <top style="thin">
        <color auto="1"/>
      </top>
      <bottom style="thin">
        <color indexed="64"/>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left style="thin">
        <color indexed="64"/>
      </left>
      <top style="hair">
        <color auto="1"/>
      </top>
      <bottom style="hair">
        <color auto="1"/>
      </bottom>
    </border>
    <border>
      <left style="thin">
        <color indexed="64"/>
      </left>
      <bottom style="hair">
        <color indexed="64"/>
      </bottom>
    </border>
    <border>
      <bottom style="hair">
        <color indexed="64"/>
      </bottom>
    </border>
    <border>
      <right style="hair">
        <color auto="1"/>
      </right>
    </border>
    <border>
      <left style="hair">
        <color auto="1"/>
      </left>
      <right style="hair">
        <color auto="1"/>
      </right>
      <top style="hair">
        <color auto="1"/>
      </top>
      <bottom style="hair">
        <color auto="1"/>
      </bottom>
    </border>
    <border>
      <left style="hair">
        <color auto="1"/>
      </left>
      <right style="hair">
        <color auto="1"/>
      </right>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374">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1" fillId="2" borderId="0" xfId="0" applyFont="1" applyFill="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3" fillId="2" borderId="4" xfId="0" applyFont="1" applyFill="1" applyBorder="1" applyAlignment="1">
      <alignment vertical="top"/>
    </xf>
    <xf numFmtId="0" fontId="3" fillId="2" borderId="1" xfId="0" applyFont="1" applyFill="1" applyBorder="1" applyAlignment="1">
      <alignment vertical="top"/>
    </xf>
    <xf numFmtId="0" fontId="1" fillId="2" borderId="3"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4" fillId="2" borderId="1"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3"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3" fillId="6" borderId="9" xfId="0" applyFont="1" applyFill="1" applyBorder="1" applyAlignment="1">
      <alignment horizontal="center" wrapText="1"/>
    </xf>
    <xf numFmtId="0" fontId="3" fillId="6" borderId="10" xfId="0" applyFont="1" applyFill="1" applyBorder="1" applyAlignment="1">
      <alignment horizontal="center" wrapText="1"/>
    </xf>
    <xf numFmtId="0" fontId="3" fillId="6" borderId="11" xfId="0" applyFont="1" applyFill="1" applyBorder="1" applyAlignment="1">
      <alignment horizontal="center" wrapText="1"/>
    </xf>
    <xf numFmtId="0" fontId="1" fillId="0" borderId="1" xfId="0" applyFont="1" applyBorder="1"/>
    <xf numFmtId="0" fontId="4" fillId="0" borderId="0" xfId="0" applyFont="1" applyAlignment="1">
      <alignment vertical="center" wrapText="1"/>
    </xf>
    <xf numFmtId="3" fontId="2" fillId="0" borderId="0" xfId="0" applyFont="1" applyNumberFormat="1" applyAlignment="1">
      <alignment horizontal="center" vertical="top" wrapText="1"/>
    </xf>
    <xf numFmtId="3" fontId="2" fillId="0" borderId="0" xfId="0" applyFont="1" applyNumberFormat="1" applyAlignment="1">
      <alignment horizontal="center" wrapText="1"/>
    </xf>
    <xf numFmtId="164" fontId="1" fillId="0" borderId="0" xfId="0" applyFont="1" applyNumberFormat="1" applyAlignment="1">
      <alignment horizontal="left"/>
    </xf>
    <xf numFmtId="165" fontId="2"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3"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5" xfId="0" applyFont="1" applyBorder="1" applyAlignment="1">
      <alignment horizontal="left"/>
    </xf>
    <xf numFmtId="165" fontId="1" fillId="0" borderId="0" xfId="0" applyFont="1" applyNumberFormat="1" applyAlignment="1">
      <alignment horizontal="left"/>
    </xf>
    <xf numFmtId="1" fontId="2" fillId="0" borderId="0" xfId="0" applyFont="1" applyNumberFormat="1" applyAlignment="1">
      <alignment horizontal="center" wrapText="1"/>
    </xf>
    <xf numFmtId="0" fontId="12" fillId="0" borderId="0" xfId="0" applyFont="1" applyAlignment="1">
      <alignment horizontal="center" vertical="top" wrapText="1"/>
    </xf>
    <xf numFmtId="0" fontId="3" fillId="3" borderId="0" xfId="0" applyFont="1" applyFill="1" applyAlignment="1">
      <alignment horizontal="center"/>
    </xf>
    <xf numFmtId="167" fontId="1" fillId="0" borderId="0" xfId="0" applyFont="1" applyNumberFormat="1"/>
    <xf numFmtId="1" fontId="1" fillId="0" borderId="0" xfId="0" applyFont="1" applyNumberFormat="1" applyAlignment="1">
      <alignment horizontal="center"/>
    </xf>
    <xf numFmtId="10" fontId="1" fillId="0" borderId="1" xfId="0" applyFont="1" applyNumberFormat="1" applyBorder="1"/>
    <xf numFmtId="167" fontId="1" fillId="0" borderId="0" xfId="0" applyFont="1" applyNumberFormat="1" applyAlignment="1">
      <alignment horizontal="center"/>
    </xf>
    <xf numFmtId="0" fontId="3" fillId="0" borderId="0" xfId="0" applyFont="1"/>
    <xf numFmtId="0" fontId="3" fillId="7" borderId="0" xfId="0" applyFont="1" applyFill="1" applyAlignment="1">
      <alignment horizontal="center"/>
    </xf>
    <xf numFmtId="0" fontId="3" fillId="8" borderId="15" xfId="0" applyFont="1" applyFill="1" applyBorder="1"/>
    <xf numFmtId="0" fontId="4" fillId="8" borderId="15" xfId="0" applyFont="1" applyFill="1" applyBorder="1"/>
    <xf numFmtId="0" fontId="4" fillId="0" borderId="15" xfId="0" applyFont="1" applyBorder="1"/>
    <xf numFmtId="0" fontId="4" fillId="0" borderId="15" xfId="0" applyFont="1" applyBorder="1" applyAlignment="1">
      <alignment horizontal="left"/>
    </xf>
    <xf numFmtId="0" fontId="1" fillId="0" borderId="15" xfId="0" applyFont="1" applyBorder="1" applyAlignment="1">
      <alignment horizontal="left"/>
    </xf>
    <xf numFmtId="0" fontId="1" fillId="8" borderId="15" xfId="0" applyFont="1" applyFill="1" applyBorder="1" applyAlignment="1">
      <alignment horizontal="left"/>
    </xf>
    <xf numFmtId="0" fontId="4" fillId="0" borderId="15" xfId="0" applyFont="1" applyBorder="1" applyAlignment="1">
      <alignment horizontal="left" indent="3"/>
    </xf>
    <xf numFmtId="0" fontId="3" fillId="0" borderId="16" xfId="0" applyFont="1" applyBorder="1"/>
    <xf numFmtId="0" fontId="1" fillId="9" borderId="15" xfId="0" applyFont="1" applyFill="1" applyBorder="1"/>
    <xf numFmtId="0" fontId="3" fillId="0" borderId="17" xfId="0" applyFont="1" applyBorder="1"/>
    <xf numFmtId="0" fontId="1" fillId="0" borderId="2" xfId="0" applyFont="1" applyBorder="1"/>
    <xf numFmtId="0" fontId="1" fillId="0" borderId="3" xfId="0" applyFont="1" applyBorder="1" applyAlignment="1">
      <alignment horizontal="center"/>
    </xf>
    <xf numFmtId="9" fontId="1" fillId="0" borderId="3" xfId="0" applyFont="1" applyNumberFormat="1" applyBorder="1"/>
    <xf numFmtId="9" fontId="1" fillId="10" borderId="3" xfId="0" applyFont="1" applyNumberFormat="1" applyFill="1" applyBorder="1"/>
    <xf numFmtId="2" fontId="1" fillId="10" borderId="18" xfId="0" applyFont="1" applyNumberFormat="1" applyFill="1" applyBorder="1"/>
    <xf numFmtId="2" fontId="1" fillId="9" borderId="18" xfId="0" applyFont="1" applyNumberFormat="1" applyFill="1" applyBorder="1"/>
    <xf numFmtId="165" fontId="1" fillId="0" borderId="0" xfId="0" applyFont="1" applyNumberFormat="1"/>
    <xf numFmtId="9" fontId="1" fillId="0" borderId="8" xfId="0" applyFont="1" applyNumberFormat="1" applyBorder="1"/>
    <xf numFmtId="0" fontId="1" fillId="0" borderId="0" xfId="0" applyFont="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3" fillId="0" borderId="0" xfId="0" applyFont="1" applyAlignment="1">
      <alignment horizontal="center"/>
    </xf>
    <xf numFmtId="0" fontId="3"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wrapText="1"/>
    </xf>
    <xf numFmtId="0" fontId="1" fillId="0" borderId="26" xfId="0" applyFont="1" applyBorder="1" applyAlignment="1">
      <alignment horizontal="center"/>
    </xf>
    <xf numFmtId="165" fontId="14" fillId="8" borderId="27" xfId="0" applyFont="1" applyNumberFormat="1" applyFill="1" applyBorder="1" applyAlignment="1">
      <alignment horizontal="right"/>
    </xf>
    <xf numFmtId="165" fontId="14" fillId="8" borderId="17" xfId="0" applyFont="1" applyNumberFormat="1" applyFill="1" applyBorder="1" applyAlignment="1">
      <alignment horizontal="right"/>
    </xf>
    <xf numFmtId="165" fontId="14" fillId="8" borderId="28" xfId="0" applyFont="1" applyNumberFormat="1" applyFill="1" applyBorder="1" applyAlignment="1">
      <alignment horizontal="right"/>
    </xf>
    <xf numFmtId="165" fontId="14" fillId="8" borderId="29" xfId="0" applyFont="1" applyNumberFormat="1" applyFill="1" applyBorder="1" applyAlignment="1">
      <alignment horizontal="right"/>
    </xf>
    <xf numFmtId="165" fontId="14" fillId="0" borderId="30" xfId="0" applyFont="1" applyNumberFormat="1" applyBorder="1" applyAlignment="1">
      <alignment horizontal="right"/>
    </xf>
    <xf numFmtId="165" fontId="14" fillId="0" borderId="0" xfId="0" applyFont="1" applyNumberFormat="1" applyAlignment="1">
      <alignment horizontal="right"/>
    </xf>
    <xf numFmtId="165" fontId="14" fillId="0" borderId="31" xfId="0" applyFont="1" applyNumberFormat="1" applyBorder="1" applyAlignment="1">
      <alignment horizontal="right"/>
    </xf>
    <xf numFmtId="165" fontId="14" fillId="0" borderId="32" xfId="0" applyFont="1" applyNumberFormat="1" applyBorder="1" applyAlignment="1">
      <alignment horizontal="right"/>
    </xf>
    <xf numFmtId="165" fontId="1" fillId="8" borderId="30" xfId="0" applyFont="1" applyNumberFormat="1" applyFill="1" applyBorder="1" applyAlignment="1">
      <alignment horizontal="right"/>
    </xf>
    <xf numFmtId="165" fontId="1" fillId="8" borderId="0" xfId="0" applyFont="1" applyNumberFormat="1" applyFill="1" applyAlignment="1">
      <alignment horizontal="right"/>
    </xf>
    <xf numFmtId="0" fontId="1" fillId="0" borderId="33" xfId="0" applyFont="1" applyBorder="1"/>
    <xf numFmtId="165" fontId="1" fillId="8" borderId="31" xfId="0" applyFont="1" applyNumberFormat="1" applyFill="1" applyBorder="1" applyAlignment="1">
      <alignment horizontal="right"/>
    </xf>
    <xf numFmtId="165" fontId="1" fillId="8" borderId="32" xfId="0" applyFont="1" applyNumberFormat="1" applyFill="1" applyBorder="1" applyAlignment="1">
      <alignment horizontal="right"/>
    </xf>
    <xf numFmtId="165" fontId="1" fillId="0" borderId="30" xfId="0" applyFont="1" applyNumberFormat="1" applyBorder="1" applyAlignment="1">
      <alignment horizontal="right"/>
    </xf>
    <xf numFmtId="165" fontId="1" fillId="0" borderId="0" xfId="0" applyFont="1" applyNumberFormat="1" applyAlignment="1">
      <alignment horizontal="right"/>
    </xf>
    <xf numFmtId="165" fontId="1" fillId="0" borderId="31" xfId="0" applyFont="1" applyNumberFormat="1" applyBorder="1" applyAlignment="1">
      <alignment horizontal="right"/>
    </xf>
    <xf numFmtId="165" fontId="1" fillId="0" borderId="32" xfId="0" applyFont="1" applyNumberFormat="1" applyBorder="1" applyAlignment="1">
      <alignment horizontal="right"/>
    </xf>
    <xf numFmtId="165" fontId="14" fillId="8" borderId="30" xfId="0" applyFont="1" applyNumberFormat="1" applyFill="1" applyBorder="1" applyAlignment="1">
      <alignment horizontal="right"/>
    </xf>
    <xf numFmtId="165" fontId="14" fillId="8" borderId="0" xfId="0" applyFont="1" applyNumberFormat="1" applyFill="1" applyAlignment="1">
      <alignment horizontal="right"/>
    </xf>
    <xf numFmtId="165" fontId="14" fillId="8" borderId="31" xfId="0" applyFont="1" applyNumberFormat="1" applyFill="1" applyBorder="1" applyAlignment="1">
      <alignment horizontal="right"/>
    </xf>
    <xf numFmtId="165" fontId="14" fillId="8" borderId="32" xfId="0" applyFont="1" applyNumberFormat="1" applyFill="1" applyBorder="1" applyAlignment="1">
      <alignment horizontal="right"/>
    </xf>
    <xf numFmtId="0" fontId="1" fillId="0" borderId="34" xfId="0" applyFont="1" applyBorder="1"/>
    <xf numFmtId="165" fontId="14" fillId="0" borderId="35" xfId="0" applyFont="1" applyNumberFormat="1" applyBorder="1" applyAlignment="1">
      <alignment horizontal="right"/>
    </xf>
    <xf numFmtId="165" fontId="14" fillId="0" borderId="22" xfId="0" applyFont="1" applyNumberFormat="1" applyBorder="1" applyAlignment="1">
      <alignment horizontal="right"/>
    </xf>
    <xf numFmtId="165" fontId="14" fillId="0" borderId="36" xfId="0" applyFont="1" applyNumberFormat="1" applyBorder="1" applyAlignment="1">
      <alignment horizontal="right"/>
    </xf>
    <xf numFmtId="165" fontId="14" fillId="0" borderId="37" xfId="0" applyFont="1" applyNumberFormat="1" applyBorder="1" applyAlignment="1">
      <alignment horizontal="right"/>
    </xf>
    <xf numFmtId="2" fontId="1" fillId="0" borderId="0" xfId="0" applyFont="1" applyNumberFormat="1"/>
    <xf numFmtId="0" fontId="1" fillId="0" borderId="38" xfId="0" applyFont="1" applyBorder="1"/>
    <xf numFmtId="2" fontId="1" fillId="10" borderId="3" xfId="0" applyFont="1" applyNumberFormat="1" applyFill="1" applyBorder="1"/>
    <xf numFmtId="0" fontId="1" fillId="0" borderId="39" xfId="0" applyFont="1" applyBorder="1" applyAlignment="1">
      <alignment horizontal="center"/>
    </xf>
    <xf numFmtId="0" fontId="1" fillId="0" borderId="40" xfId="0" applyFont="1" applyBorder="1"/>
    <xf numFmtId="0" fontId="3" fillId="8" borderId="0" xfId="0" applyFont="1" applyFill="1"/>
    <xf numFmtId="0" fontId="1" fillId="8" borderId="0" xfId="0" applyFont="1" applyFill="1"/>
    <xf numFmtId="0" fontId="3" fillId="0" borderId="22" xfId="0" applyFont="1" applyBorder="1"/>
    <xf numFmtId="0" fontId="1" fillId="10" borderId="0" xfId="0" applyFont="1" applyFill="1"/>
    <xf numFmtId="0" fontId="1" fillId="10" borderId="15" xfId="0" applyFont="1" applyFill="1" applyBorder="1"/>
    <xf numFmtId="0" fontId="1" fillId="10" borderId="15" xfId="0" applyFont="1" applyFill="1" applyBorder="1" applyAlignment="1">
      <alignment horizontal="left"/>
    </xf>
    <xf numFmtId="0" fontId="1" fillId="10" borderId="41" xfId="0" applyFont="1" applyFill="1" applyBorder="1"/>
    <xf numFmtId="0" fontId="1" fillId="0" borderId="0" xfId="0" applyFont="1" applyAlignment="1">
      <alignment horizontal="left" vertical="center" indent="2"/>
    </xf>
    <xf numFmtId="0" fontId="13" fillId="0" borderId="0" xfId="0" applyFont="1"/>
    <xf numFmtId="0" fontId="3" fillId="8" borderId="42" xfId="0" applyFont="1" applyFill="1" applyBorder="1"/>
    <xf numFmtId="0" fontId="3" fillId="0" borderId="15" xfId="0" applyFont="1" applyBorder="1"/>
    <xf numFmtId="165" fontId="3" fillId="8" borderId="27" xfId="0" applyFont="1" applyNumberFormat="1" applyFill="1" applyBorder="1" applyAlignment="1">
      <alignment horizontal="right"/>
    </xf>
    <xf numFmtId="165" fontId="3" fillId="0" borderId="30" xfId="0" applyFont="1" applyNumberFormat="1" applyBorder="1" applyAlignment="1">
      <alignment horizontal="right"/>
    </xf>
    <xf numFmtId="0" fontId="1" fillId="8" borderId="15" xfId="0" applyFont="1" applyFill="1" applyBorder="1"/>
    <xf numFmtId="165" fontId="3" fillId="8" borderId="28" xfId="0" applyFont="1" applyNumberFormat="1" applyFill="1" applyBorder="1" applyAlignment="1">
      <alignment horizontal="right"/>
    </xf>
    <xf numFmtId="165" fontId="3" fillId="0" borderId="31" xfId="0" applyFont="1" applyNumberFormat="1" applyBorder="1" applyAlignment="1">
      <alignment horizontal="right"/>
    </xf>
    <xf numFmtId="165" fontId="3" fillId="8" borderId="30" xfId="0" applyFont="1" applyNumberFormat="1" applyFill="1" applyBorder="1" applyAlignment="1">
      <alignment horizontal="right"/>
    </xf>
    <xf numFmtId="165" fontId="3" fillId="8" borderId="31" xfId="0" applyFont="1" applyNumberFormat="1" applyFill="1" applyBorder="1" applyAlignment="1">
      <alignment horizontal="right"/>
    </xf>
    <xf numFmtId="165" fontId="3" fillId="0" borderId="36" xfId="0" applyFont="1" applyNumberFormat="1" applyBorder="1" applyAlignment="1">
      <alignment horizontal="right"/>
    </xf>
    <xf numFmtId="165" fontId="3" fillId="0" borderId="35" xfId="0" applyFont="1" applyNumberFormat="1" applyBorder="1" applyAlignment="1">
      <alignment horizontal="right"/>
    </xf>
    <xf numFmtId="0" fontId="1" fillId="0" borderId="15" xfId="0" applyFont="1" applyBorder="1"/>
    <xf numFmtId="0" fontId="15" fillId="0" borderId="0" xfId="0" applyFont="1"/>
    <xf numFmtId="0" fontId="16" fillId="0" borderId="0" xfId="0" applyFont="1"/>
    <xf numFmtId="0" fontId="17" fillId="0" borderId="0" xfId="0" applyFont="1"/>
    <xf numFmtId="0" fontId="1" fillId="11" borderId="0" xfId="0" applyFont="1" applyFill="1" applyAlignment="1">
      <alignment horizontal="center"/>
    </xf>
    <xf numFmtId="0" fontId="18" fillId="0" borderId="0" xfId="0" applyFont="1" applyAlignment="1">
      <alignment wrapText="1"/>
    </xf>
    <xf numFmtId="0" fontId="4" fillId="0" borderId="0" xfId="0" applyFont="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9" fillId="0" borderId="43" xfId="0" applyFont="1" applyBorder="1" applyAlignment="1">
      <alignment horizontal="center" vertical="center"/>
    </xf>
    <xf numFmtId="0" fontId="2" fillId="11"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19" fillId="0" borderId="45" xfId="0" applyFont="1" applyBorder="1" applyAlignment="1">
      <alignment horizontal="center" vertical="center"/>
    </xf>
    <xf numFmtId="0" fontId="3" fillId="0" borderId="43" xfId="0" applyFont="1" applyBorder="1" applyAlignment="1">
      <alignment horizontal="center" vertical="center"/>
    </xf>
    <xf numFmtId="0" fontId="2" fillId="12" borderId="0" xfId="0" applyFont="1" applyFill="1" applyAlignment="1">
      <alignment horizontal="center"/>
    </xf>
    <xf numFmtId="0" fontId="2" fillId="11" borderId="1" xfId="0" applyFont="1" applyFill="1" applyBorder="1" applyAlignment="1">
      <alignment horizontal="center"/>
    </xf>
    <xf numFmtId="0" fontId="19" fillId="0" borderId="46" xfId="0" applyFont="1" applyBorder="1" applyAlignment="1">
      <alignment horizontal="center" vertical="center"/>
    </xf>
    <xf numFmtId="10" fontId="1" fillId="0" borderId="0" xfId="0" applyFont="1" applyNumberFormat="1"/>
    <xf numFmtId="0" fontId="20" fillId="0" borderId="0" xfId="0" applyFont="1"/>
    <xf numFmtId="0" fontId="19" fillId="0" borderId="47" xfId="0" applyFont="1" applyBorder="1" applyAlignment="1">
      <alignment horizontal="center" vertical="center"/>
    </xf>
    <xf numFmtId="0" fontId="1" fillId="0" borderId="3" xfId="0" applyFont="1" applyBorder="1"/>
    <xf numFmtId="0" fontId="1" fillId="0" borderId="6" xfId="0" applyFont="1" applyBorder="1"/>
    <xf numFmtId="0" fontId="1" fillId="0" borderId="8" xfId="0" applyFont="1" applyBorder="1"/>
    <xf numFmtId="164" fontId="1" fillId="0" borderId="0" xfId="0" applyFont="1" applyNumberFormat="1"/>
    <xf numFmtId="0" fontId="1" fillId="12" borderId="0" xfId="0" applyFont="1" applyFill="1"/>
    <xf numFmtId="10" fontId="1" fillId="0" borderId="0" xfId="0" applyFont="1" applyNumberFormat="1" applyAlignment="1">
      <alignment wrapText="1"/>
    </xf>
    <xf numFmtId="9" fontId="1" fillId="10" borderId="48" xfId="0" applyFont="1" applyNumberFormat="1" applyFill="1" applyBorder="1"/>
    <xf numFmtId="0" fontId="14" fillId="0" borderId="0" xfId="0" applyFont="1"/>
    <xf numFmtId="0" fontId="2" fillId="11" borderId="0" xfId="0" applyFont="1" applyFill="1" applyAlignment="1">
      <alignment horizontal="center"/>
    </xf>
    <xf numFmtId="167" fontId="1" fillId="0" borderId="7" xfId="0" applyFont="1" applyNumberFormat="1" applyBorder="1" applyAlignment="1">
      <alignment wrapText="1"/>
    </xf>
    <xf numFmtId="167" fontId="1" fillId="0" borderId="8" xfId="0" applyFont="1" applyNumberFormat="1" applyBorder="1" applyAlignment="1">
      <alignment wrapText="1"/>
    </xf>
    <xf numFmtId="1" fontId="1" fillId="0" borderId="0" xfId="0" applyFont="1" applyNumberFormat="1"/>
    <xf numFmtId="0" fontId="12" fillId="0" borderId="0" xfId="0" applyFont="1" applyAlignment="1">
      <alignment horizontal="center"/>
    </xf>
    <xf numFmtId="3" fontId="1" fillId="0" borderId="0" xfId="0" applyFont="1" applyNumberFormat="1"/>
    <xf numFmtId="0" fontId="21" fillId="0" borderId="0" xfId="0" applyFont="1" applyAlignment="1">
      <alignment horizontal="center"/>
    </xf>
    <xf numFmtId="0" fontId="22" fillId="0" borderId="0" xfId="0" applyFont="1"/>
    <xf numFmtId="0" fontId="21" fillId="0" borderId="0" xfId="0" applyFont="1"/>
    <xf numFmtId="0" fontId="21" fillId="0" borderId="0" xfId="0" applyFont="1" applyAlignment="1">
      <alignment horizontal="left" indent="1"/>
    </xf>
    <xf numFmtId="0" fontId="21" fillId="0" borderId="0" xfId="0" applyFont="1" applyAlignment="1">
      <alignment horizontal="left" indent="1" wrapText="1"/>
    </xf>
    <xf numFmtId="0" fontId="21" fillId="0" borderId="0" xfId="0" applyFont="1" applyAlignment="1">
      <alignment horizontal="left" indent="2"/>
    </xf>
    <xf numFmtId="0" fontId="21" fillId="0" borderId="0" xfId="0" applyFont="1" applyAlignment="1">
      <alignment horizontal="center" wrapText="1"/>
    </xf>
    <xf numFmtId="9" fontId="21" fillId="0" borderId="0" xfId="0" applyFont="1" applyNumberFormat="1" applyAlignment="1">
      <alignment horizontal="center"/>
    </xf>
    <xf numFmtId="0" fontId="22" fillId="0" borderId="0" xfId="0" applyFont="1" applyAlignment="1">
      <alignment horizontal="center"/>
    </xf>
    <xf numFmtId="167" fontId="21" fillId="0" borderId="0" xfId="0" applyFont="1" applyNumberForma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2" fillId="11" borderId="5" xfId="0" applyFont="1" applyFill="1" applyBorder="1" applyAlignment="1">
      <alignment horizontal="center"/>
    </xf>
    <xf numFmtId="0" fontId="2" fillId="11" borderId="2" xfId="0" applyFont="1" applyFill="1" applyBorder="1" applyAlignment="1">
      <alignment horizontal="center"/>
    </xf>
    <xf numFmtId="0" fontId="12" fillId="11" borderId="4" xfId="0" applyFont="1" applyFill="1" applyBorder="1" applyAlignment="1">
      <alignment horizontal="center"/>
    </xf>
    <xf numFmtId="0" fontId="12" fillId="11" borderId="2" xfId="0" applyFont="1" applyFill="1" applyBorder="1" applyAlignment="1">
      <alignment horizontal="center"/>
    </xf>
    <xf numFmtId="0" fontId="12" fillId="11" borderId="1" xfId="0" applyFont="1" applyFill="1" applyBorder="1" applyAlignment="1">
      <alignment horizontal="center"/>
    </xf>
    <xf numFmtId="0" fontId="12" fillId="11" borderId="3" xfId="0" applyFont="1" applyFill="1" applyBorder="1" applyAlignment="1">
      <alignment horizontal="center"/>
    </xf>
    <xf numFmtId="0" fontId="2" fillId="7" borderId="44" xfId="0" applyFont="1" applyFill="1" applyBorder="1" applyAlignment="1">
      <alignment horizontal="center"/>
    </xf>
    <xf numFmtId="0" fontId="2" fillId="7" borderId="5" xfId="0" applyFont="1" applyFill="1" applyBorder="1" applyAlignment="1">
      <alignment horizontal="center"/>
    </xf>
    <xf numFmtId="0" fontId="2" fillId="7" borderId="2" xfId="0" applyFont="1" applyFill="1" applyBorder="1" applyAlignment="1">
      <alignment horizontal="center"/>
    </xf>
    <xf numFmtId="0" fontId="2" fillId="7" borderId="4" xfId="0" applyFont="1" applyFill="1" applyBorder="1" applyAlignment="1">
      <alignment horizontal="center"/>
    </xf>
    <xf numFmtId="0" fontId="2" fillId="11" borderId="4" xfId="0" applyFont="1" applyFill="1" applyBorder="1" applyAlignment="1">
      <alignment horizontal="right"/>
    </xf>
    <xf numFmtId="0" fontId="2" fillId="11" borderId="44" xfId="0" applyFont="1" applyFill="1" applyBorder="1" applyAlignment="1">
      <alignment horizontal="right"/>
    </xf>
    <xf numFmtId="0" fontId="12" fillId="11" borderId="9" xfId="0" applyFont="1" applyFill="1" applyBorder="1" applyAlignment="1">
      <alignment horizontal="center"/>
    </xf>
    <xf numFmtId="0" fontId="12" fillId="11" borderId="10" xfId="0" applyFont="1" applyFill="1" applyBorder="1" applyAlignment="1">
      <alignment horizontal="center"/>
    </xf>
    <xf numFmtId="0" fontId="12" fillId="11" borderId="11" xfId="0" applyFont="1" applyFill="1" applyBorder="1" applyAlignment="1">
      <alignment horizontal="center"/>
    </xf>
    <xf numFmtId="0" fontId="12" fillId="7" borderId="9" xfId="0" applyFont="1" applyFill="1" applyBorder="1" applyAlignment="1">
      <alignment horizontal="center"/>
    </xf>
    <xf numFmtId="0" fontId="12" fillId="7" borderId="10" xfId="0" applyFont="1" applyFill="1" applyBorder="1" applyAlignment="1">
      <alignment horizontal="center"/>
    </xf>
    <xf numFmtId="0" fontId="12" fillId="7" borderId="11" xfId="0" applyFont="1" applyFill="1" applyBorder="1" applyAlignment="1">
      <alignment horizontal="center"/>
    </xf>
    <xf numFmtId="0" fontId="2" fillId="0" borderId="49" xfId="0" applyFont="1" applyBorder="1"/>
    <xf numFmtId="0" fontId="2" fillId="0" borderId="50" xfId="0" applyFont="1" applyBorder="1"/>
    <xf numFmtId="0" fontId="2" fillId="0" borderId="51" xfId="0" applyFont="1" applyBorder="1" applyAlignment="1">
      <alignment horizontal="center"/>
    </xf>
    <xf numFmtId="0" fontId="2" fillId="0" borderId="50" xfId="0" applyFont="1" applyBorder="1" applyAlignment="1">
      <alignment horizontal="center"/>
    </xf>
    <xf numFmtId="165" fontId="2" fillId="0" borderId="50" xfId="0" applyFont="1" applyNumberFormat="1" applyBorder="1" applyAlignment="1">
      <alignment horizontal="center"/>
    </xf>
    <xf numFmtId="168" fontId="2" fillId="0" borderId="50" xfId="0" applyFont="1" applyNumberFormat="1" applyBorder="1" applyAlignment="1">
      <alignment horizontal="center"/>
    </xf>
    <xf numFmtId="168" fontId="2" fillId="7" borderId="50" xfId="0" applyFont="1" applyNumberFormat="1" applyFill="1" applyBorder="1"/>
    <xf numFmtId="168" fontId="2" fillId="7" borderId="52" xfId="0" applyFont="1" applyNumberFormat="1" applyFill="1" applyBorder="1"/>
    <xf numFmtId="168" fontId="2" fillId="13" borderId="50" xfId="0" applyFont="1" applyNumberFormat="1" applyFill="1" applyBorder="1" applyAlignment="1">
      <alignment horizontal="center"/>
    </xf>
    <xf numFmtId="4" fontId="2" fillId="13" borderId="53" xfId="0" applyFont="1" applyNumberFormat="1" applyFill="1" applyBorder="1" applyAlignment="1">
      <alignment horizontal="center"/>
    </xf>
    <xf numFmtId="0" fontId="2" fillId="11" borderId="44" xfId="0" applyFont="1" applyFill="1" applyBorder="1"/>
    <xf numFmtId="0" fontId="2" fillId="0" borderId="0" xfId="0" applyFont="1" applyAlignment="1">
      <alignment horizontal="center"/>
    </xf>
    <xf numFmtId="0" fontId="2" fillId="0" borderId="0" xfId="0" applyFont="1" applyAlignment="1">
      <alignment horizontal="left" vertical="top" wrapText="1"/>
    </xf>
    <xf numFmtId="165" fontId="2" fillId="0" borderId="0" xfId="0" applyFont="1" applyNumberFormat="1" applyAlignment="1">
      <alignment horizontal="center"/>
    </xf>
    <xf numFmtId="0" fontId="2" fillId="0" borderId="0" xfId="0" applyFont="1" applyAlignment="1">
      <alignment horizontal="center" wrapText="1"/>
    </xf>
    <xf numFmtId="0" fontId="2" fillId="0" borderId="0" xfId="0" applyFont="1"/>
    <xf numFmtId="3" fontId="2" fillId="0" borderId="0" xfId="0" applyFont="1" applyNumberFormat="1" applyAlignment="1">
      <alignment horizontal="center"/>
    </xf>
    <xf numFmtId="3" fontId="23" fillId="11" borderId="0" xfId="0" applyFont="1" applyNumberFormat="1" applyFill="1" applyAlignment="1">
      <alignment horizontal="center"/>
    </xf>
    <xf numFmtId="3" fontId="23" fillId="7" borderId="0" xfId="0" applyFont="1" applyNumberFormat="1" applyFill="1" applyAlignment="1">
      <alignment horizontal="center"/>
    </xf>
    <xf numFmtId="3" fontId="2" fillId="7" borderId="44" xfId="0" applyFont="1" applyNumberFormat="1" applyFill="1" applyBorder="1" applyAlignment="1">
      <alignment horizontal="center"/>
    </xf>
    <xf numFmtId="0" fontId="2" fillId="11" borderId="0" xfId="0" applyFont="1" applyFill="1" applyAlignment="1">
      <alignment horizontal="center" wrapText="1"/>
    </xf>
    <xf numFmtId="3" fontId="23" fillId="0" borderId="0" xfId="0" applyFont="1" applyNumberFormat="1" applyAlignment="1">
      <alignment horizontal="center"/>
    </xf>
    <xf numFmtId="4" fontId="2" fillId="7" borderId="3" xfId="0" applyFont="1" applyNumberFormat="1" applyFill="1" applyBorder="1" applyAlignment="1">
      <alignment horizontal="center"/>
    </xf>
    <xf numFmtId="0" fontId="2" fillId="11" borderId="2" xfId="0" applyFont="1" applyFill="1" applyBorder="1"/>
    <xf numFmtId="3" fontId="2" fillId="11" borderId="0" xfId="0" applyFont="1" applyNumberFormat="1" applyFill="1" applyAlignment="1">
      <alignment horizontal="center"/>
    </xf>
    <xf numFmtId="165" fontId="23" fillId="0" borderId="0" xfId="0" applyFont="1" applyNumberFormat="1" applyAlignment="1">
      <alignment horizontal="center"/>
    </xf>
    <xf numFmtId="0" fontId="2" fillId="0" borderId="4" xfId="0" applyFont="1" applyBorder="1" applyAlignment="1">
      <alignment horizontal="center"/>
    </xf>
    <xf numFmtId="0" fontId="2" fillId="0" borderId="44" xfId="0" applyFont="1" applyBorder="1" applyAlignment="1">
      <alignment horizontal="center"/>
    </xf>
    <xf numFmtId="3" fontId="23" fillId="11" borderId="3" xfId="0" applyFont="1" applyNumberFormat="1" applyFill="1" applyBorder="1" applyAlignment="1">
      <alignment horizontal="center"/>
    </xf>
    <xf numFmtId="0" fontId="2" fillId="11" borderId="3" xfId="0" applyFont="1" applyFill="1" applyBorder="1" applyAlignment="1">
      <alignment horizontal="center" wrapText="1"/>
    </xf>
    <xf numFmtId="3" fontId="2" fillId="7" borderId="0" xfId="0" applyFont="1" applyNumberFormat="1" applyFill="1" applyAlignment="1">
      <alignment horizontal="center"/>
    </xf>
    <xf numFmtId="165" fontId="2" fillId="7" borderId="0" xfId="0" applyFont="1" applyNumberFormat="1" applyFill="1" applyAlignment="1">
      <alignment horizontal="center"/>
    </xf>
    <xf numFmtId="3" fontId="2" fillId="7" borderId="3" xfId="0" applyFont="1" applyNumberFormat="1" applyFill="1" applyBorder="1" applyAlignment="1">
      <alignment horizontal="center"/>
    </xf>
    <xf numFmtId="165" fontId="23" fillId="0" borderId="1" xfId="0" applyFont="1" applyNumberFormat="1" applyBorder="1" applyAlignment="1">
      <alignment horizontal="center"/>
    </xf>
    <xf numFmtId="3" fontId="23" fillId="7" borderId="3" xfId="0" applyFont="1" applyNumberFormat="1" applyFill="1" applyBorder="1" applyAlignment="1">
      <alignment horizontal="center"/>
    </xf>
    <xf numFmtId="3" fontId="2" fillId="7" borderId="2" xfId="0" applyFont="1" applyNumberFormat="1" applyFill="1" applyBorder="1" applyAlignment="1">
      <alignment horizontal="center"/>
    </xf>
    <xf numFmtId="0" fontId="23" fillId="0" borderId="0" xfId="0" applyFont="1"/>
    <xf numFmtId="0" fontId="2" fillId="7" borderId="14" xfId="0" applyFont="1" applyFill="1" applyBorder="1" applyAlignment="1">
      <alignment horizontal="center"/>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4" xfId="0" applyFont="1" applyBorder="1" applyAlignment="1">
      <alignment horizontal="left"/>
    </xf>
    <xf numFmtId="0" fontId="2" fillId="0" borderId="0" xfId="0" applyFont="1" applyAlignment="1">
      <alignment horizontal="left" wrapText="1"/>
    </xf>
    <xf numFmtId="165" fontId="2" fillId="7" borderId="3" xfId="0" applyFont="1" applyNumberFormat="1" applyFill="1" applyBorder="1" applyAlignment="1">
      <alignment horizontal="center"/>
    </xf>
    <xf numFmtId="0" fontId="2" fillId="0" borderId="0" xfId="0" applyFont="1" applyAlignment="1">
      <alignment horizontal="left" indent="1"/>
    </xf>
    <xf numFmtId="3" fontId="2" fillId="0" borderId="0" xfId="0" applyFont="1" applyNumberFormat="1" applyAlignment="1">
      <alignment horizontal="right"/>
    </xf>
    <xf numFmtId="3" fontId="2" fillId="7" borderId="7" xfId="0" applyFont="1" applyNumberFormat="1" applyFill="1" applyBorder="1" applyAlignment="1">
      <alignment horizontal="center"/>
    </xf>
    <xf numFmtId="0" fontId="2" fillId="0" borderId="1" xfId="0" applyFont="1" applyBorder="1" applyAlignment="1">
      <alignment horizontal="left" wrapText="1"/>
    </xf>
    <xf numFmtId="0" fontId="23" fillId="0" borderId="1" xfId="0" applyFont="1" applyBorder="1" applyAlignment="1">
      <alignment horizontal="left" wrapText="1"/>
    </xf>
    <xf numFmtId="168" fontId="2" fillId="0" borderId="0" xfId="0" applyFont="1" applyNumberFormat="1"/>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 fillId="7" borderId="12" xfId="0" applyFont="1" applyFill="1" applyBorder="1" applyAlignment="1">
      <alignment horizontal="center"/>
    </xf>
    <xf numFmtId="0" fontId="23" fillId="0" borderId="0" xfId="0" applyFont="1" applyAlignment="1">
      <alignment horizontal="left" wrapText="1"/>
    </xf>
    <xf numFmtId="0" fontId="2" fillId="0" borderId="5" xfId="0" applyFont="1" applyBorder="1" applyAlignment="1">
      <alignment horizontal="left"/>
    </xf>
    <xf numFmtId="3" fontId="2" fillId="7" borderId="5" xfId="0" applyFont="1" applyNumberFormat="1" applyFill="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3" fillId="3" borderId="4" xfId="0" applyFont="1" applyFill="1" applyBorder="1" applyAlignment="1">
      <alignment horizontal="center"/>
    </xf>
    <xf numFmtId="0" fontId="3" fillId="3" borderId="2" xfId="0" applyFont="1" applyFill="1" applyBorder="1" applyAlignment="1">
      <alignment horizontal="center" wrapText="1"/>
    </xf>
    <xf numFmtId="14" fontId="1" fillId="0" borderId="1" xfId="0" applyFont="1" applyNumberFormat="1" applyBorder="1"/>
    <xf numFmtId="169" fontId="1" fillId="0" borderId="3" xfId="0" applyFont="1" applyNumberFormat="1" applyBorder="1"/>
    <xf numFmtId="14" fontId="1" fillId="0" borderId="6" xfId="0" applyFont="1" applyNumberFormat="1" applyBorder="1"/>
    <xf numFmtId="0" fontId="3" fillId="3" borderId="2" xfId="0" applyFont="1" applyFill="1" applyBorder="1"/>
    <xf numFmtId="3" fontId="2" fillId="11" borderId="3" xfId="0" applyFont="1" applyNumberFormat="1" applyFill="1" applyBorder="1" applyAlignment="1">
      <alignment horizontal="center"/>
    </xf>
    <xf numFmtId="0" fontId="12" fillId="11" borderId="6" xfId="0" applyFont="1" applyFill="1" applyBorder="1" applyAlignment="1">
      <alignment horizontal="center"/>
    </xf>
    <xf numFmtId="0" fontId="12" fillId="11" borderId="8" xfId="0" applyFont="1" applyFill="1" applyBorder="1" applyAlignment="1">
      <alignment horizontal="center"/>
    </xf>
    <xf numFmtId="0" fontId="2" fillId="3" borderId="14" xfId="0" applyFont="1" applyFill="1" applyBorder="1" applyAlignment="1">
      <alignment horizontal="center" wrapText="1"/>
    </xf>
    <xf numFmtId="0" fontId="2" fillId="3" borderId="13" xfId="0" applyFont="1" applyFill="1" applyBorder="1" applyAlignment="1">
      <alignment horizontal="center" wrapText="1"/>
    </xf>
    <xf numFmtId="0" fontId="2" fillId="3" borderId="12"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8" xfId="0" applyFont="1" applyFill="1" applyBorder="1" applyAlignment="1">
      <alignment horizontal="center" wrapText="1"/>
    </xf>
    <xf numFmtId="0" fontId="12" fillId="14" borderId="54" xfId="0" applyFont="1" applyFill="1" applyBorder="1" applyAlignment="1">
      <alignment horizontal="center" vertical="center" wrapText="1"/>
    </xf>
    <xf numFmtId="0" fontId="12" fillId="14" borderId="55" xfId="0" applyFont="1" applyFill="1" applyBorder="1" applyAlignment="1">
      <alignment horizontal="center" vertical="center" wrapText="1"/>
    </xf>
    <xf numFmtId="0" fontId="12" fillId="14" borderId="5" xfId="0" applyFont="1" applyFill="1" applyBorder="1" applyAlignment="1">
      <alignment horizontal="center" vertical="center" wrapText="1"/>
    </xf>
    <xf numFmtId="0" fontId="12" fillId="14" borderId="2" xfId="0" applyFont="1" applyFill="1" applyBorder="1" applyAlignment="1">
      <alignment horizontal="center" vertical="center" wrapText="1"/>
    </xf>
    <xf numFmtId="0" fontId="2" fillId="0" borderId="3" xfId="0" applyFont="1" applyBorder="1" applyAlignment="1">
      <alignment horizontal="center" wrapText="1"/>
    </xf>
    <xf numFmtId="0" fontId="12" fillId="11" borderId="44" xfId="0" applyFont="1" applyFill="1" applyBorder="1" applyAlignment="1">
      <alignment horizontal="center"/>
    </xf>
    <xf numFmtId="0" fontId="2" fillId="0" borderId="6" xfId="0" applyFont="1" applyBorder="1"/>
    <xf numFmtId="0" fontId="2" fillId="0" borderId="7" xfId="0" applyFont="1" applyBorder="1"/>
    <xf numFmtId="3" fontId="2" fillId="0" borderId="1" xfId="0" applyFont="1" applyNumberFormat="1" applyBorder="1" applyAlignment="1">
      <alignment horizontal="center" vertical="top" wrapText="1"/>
    </xf>
    <xf numFmtId="165" fontId="12" fillId="0" borderId="0" xfId="0" applyFont="1" applyNumberFormat="1" applyAlignment="1">
      <alignment horizontal="center" vertical="top" wrapText="1"/>
    </xf>
    <xf numFmtId="165" fontId="12" fillId="0" borderId="3" xfId="0" applyFont="1" applyNumberFormat="1" applyBorder="1" applyAlignment="1">
      <alignment horizontal="center" vertical="top" wrapText="1"/>
    </xf>
    <xf numFmtId="165" fontId="12" fillId="7" borderId="0" xfId="0" applyFont="1" applyNumberFormat="1" applyFill="1" applyAlignment="1">
      <alignment horizontal="center" vertical="top" wrapText="1"/>
    </xf>
    <xf numFmtId="2" fontId="2" fillId="0" borderId="7" xfId="0" applyFont="1" applyNumberFormat="1" applyBorder="1"/>
    <xf numFmtId="2" fontId="2" fillId="0" borderId="8" xfId="0" applyFont="1" applyNumberFormat="1" applyBorder="1"/>
    <xf numFmtId="2" fontId="2" fillId="7" borderId="7" xfId="0" applyFont="1" applyNumberFormat="1" applyFill="1" applyBorder="1"/>
    <xf numFmtId="165" fontId="23" fillId="7" borderId="4" xfId="0" applyFont="1" applyNumberFormat="1" applyFill="1" applyBorder="1" applyAlignment="1">
      <alignment horizontal="center"/>
    </xf>
    <xf numFmtId="165" fontId="23" fillId="7" borderId="44" xfId="0" applyFont="1" applyNumberFormat="1" applyFill="1" applyBorder="1" applyAlignment="1">
      <alignment horizontal="center"/>
    </xf>
    <xf numFmtId="165" fontId="23" fillId="7" borderId="2" xfId="0" applyFont="1" applyNumberFormat="1" applyFill="1" applyBorder="1" applyAlignment="1">
      <alignment horizontal="center"/>
    </xf>
    <xf numFmtId="2" fontId="2" fillId="7" borderId="6" xfId="0" applyFont="1" applyNumberFormat="1" applyFill="1" applyBorder="1"/>
    <xf numFmtId="2" fontId="2" fillId="7" borderId="8" xfId="0" applyFont="1" applyNumberFormat="1" applyFill="1" applyBorder="1"/>
    <xf numFmtId="0" fontId="2" fillId="0" borderId="1" xfId="0" applyFont="1" applyBorder="1" applyAlignment="1">
      <alignment horizontal="left" vertical="top" indent="2" wrapText="1"/>
    </xf>
    <xf numFmtId="0" fontId="2" fillId="7" borderId="3" xfId="0" applyFont="1" applyFill="1" applyBorder="1" applyAlignment="1">
      <alignment horizontal="center"/>
    </xf>
    <xf numFmtId="3" fontId="2" fillId="0" borderId="3" xfId="0" applyFont="1" applyNumberFormat="1" applyBorder="1" applyAlignment="1">
      <alignment horizontal="center"/>
    </xf>
    <xf numFmtId="0" fontId="2" fillId="7" borderId="0" xfId="0" applyFont="1" applyFill="1" applyAlignment="1">
      <alignment horizontal="center"/>
    </xf>
    <xf numFmtId="1" fontId="2" fillId="11" borderId="0" xfId="0" applyFont="1" applyNumberFormat="1" applyFill="1" applyAlignment="1">
      <alignment horizontal="center" wrapText="1"/>
    </xf>
    <xf numFmtId="3" fontId="2" fillId="11" borderId="7" xfId="0" applyFont="1" applyNumberFormat="1" applyFill="1" applyBorder="1" applyAlignment="1">
      <alignment horizontal="center" vertical="top" wrapText="1"/>
    </xf>
    <xf numFmtId="3" fontId="2" fillId="0" borderId="3" xfId="0" applyFont="1" applyNumberFormat="1" applyBorder="1" applyAlignment="1">
      <alignment horizontal="center" wrapText="1"/>
    </xf>
    <xf numFmtId="1" fontId="2" fillId="0" borderId="4" xfId="0" applyFont="1" applyNumberFormat="1" applyBorder="1" applyAlignment="1">
      <alignment horizontal="center"/>
    </xf>
    <xf numFmtId="1" fontId="2" fillId="0" borderId="44" xfId="0" applyFont="1" applyNumberFormat="1" applyBorder="1" applyAlignment="1">
      <alignment horizontal="center"/>
    </xf>
    <xf numFmtId="1" fontId="2" fillId="11" borderId="44" xfId="0" applyFont="1" applyNumberFormat="1" applyFill="1" applyBorder="1" applyAlignment="1">
      <alignment horizontal="center"/>
    </xf>
    <xf numFmtId="1" fontId="2" fillId="11" borderId="2" xfId="0" applyFont="1" applyNumberFormat="1" applyFill="1" applyBorder="1" applyAlignment="1">
      <alignment horizontal="center"/>
    </xf>
    <xf numFmtId="165" fontId="23" fillId="7" borderId="44" xfId="0" applyFont="1" applyNumberFormat="1" applyFill="1" applyBorder="1" applyAlignment="1">
      <alignment horizontal="center" wrapText="1"/>
    </xf>
    <xf numFmtId="165" fontId="23" fillId="0" borderId="0" xfId="0" applyFont="1" applyNumberFormat="1" applyAlignment="1">
      <alignment horizontal="center" wrapText="1"/>
    </xf>
    <xf numFmtId="165" fontId="2" fillId="0" borderId="0" xfId="0" applyFont="1" applyNumberFormat="1" applyAlignment="1">
      <alignment horizontal="center" wrapText="1"/>
    </xf>
    <xf numFmtId="165" fontId="2" fillId="11" borderId="0" xfId="0" applyFont="1" applyNumberFormat="1" applyFill="1" applyAlignment="1">
      <alignment horizontal="center" wrapText="1"/>
    </xf>
    <xf numFmtId="165" fontId="23" fillId="0" borderId="3" xfId="0" applyFont="1" applyNumberFormat="1" applyBorder="1" applyAlignment="1">
      <alignment horizontal="center" wrapText="1"/>
    </xf>
    <xf numFmtId="165" fontId="2" fillId="0" borderId="3" xfId="0" applyFont="1" applyNumberFormat="1" applyBorder="1" applyAlignment="1">
      <alignment horizontal="center" wrapText="1"/>
    </xf>
    <xf numFmtId="165" fontId="2" fillId="0" borderId="3" xfId="0" applyFont="1" applyNumberFormat="1" applyBorder="1" applyAlignment="1">
      <alignment horizontal="center" vertical="top" wrapText="1"/>
    </xf>
    <xf numFmtId="165" fontId="23" fillId="0" borderId="44" xfId="0" applyFont="1" applyNumberFormat="1" applyBorder="1" applyAlignment="1">
      <alignment horizontal="center" wrapText="1"/>
    </xf>
    <xf numFmtId="165" fontId="23" fillId="0" borderId="2" xfId="0" applyFont="1" applyNumberFormat="1" applyBorder="1" applyAlignment="1">
      <alignment horizontal="center" wrapText="1"/>
    </xf>
    <xf numFmtId="0" fontId="23" fillId="0" borderId="0" xfId="0" applyFont="1" applyAlignment="1">
      <alignment horizontal="left"/>
    </xf>
    <xf numFmtId="0" fontId="23" fillId="0" borderId="4" xfId="0" applyFont="1" applyBorder="1" applyAlignment="1">
      <alignment horizontal="left"/>
    </xf>
    <xf numFmtId="0" fontId="23" fillId="0" borderId="44" xfId="0" applyFont="1" applyBorder="1" applyAlignment="1">
      <alignment horizontal="left"/>
    </xf>
    <xf numFmtId="165" fontId="23" fillId="0" borderId="44" xfId="0" applyFont="1" applyNumberFormat="1" applyBorder="1" applyAlignment="1">
      <alignment horizontal="center"/>
    </xf>
    <xf numFmtId="165" fontId="23" fillId="0" borderId="2" xfId="0" applyFont="1" applyNumberFormat="1" applyBorder="1" applyAlignment="1">
      <alignment horizontal="center"/>
    </xf>
    <xf numFmtId="0" fontId="23" fillId="0" borderId="0" xfId="0" applyFont="1" applyAlignment="1">
      <alignment horizontal="center" wrapText="1"/>
    </xf>
    <xf numFmtId="0" fontId="23" fillId="0" borderId="4" xfId="0" applyFont="1" applyBorder="1" applyAlignment="1">
      <alignment horizontal="center" wrapText="1"/>
    </xf>
    <xf numFmtId="0" fontId="23" fillId="0" borderId="44" xfId="0" applyFont="1" applyBorder="1" applyAlignment="1">
      <alignment horizontal="center" wrapText="1"/>
    </xf>
    <xf numFmtId="165" fontId="2" fillId="11" borderId="3" xfId="0" applyFont="1" applyNumberFormat="1" applyFill="1" applyBorder="1" applyAlignment="1">
      <alignment horizontal="center" wrapText="1"/>
    </xf>
    <xf numFmtId="1" fontId="2" fillId="11" borderId="3" xfId="0" applyFont="1" applyNumberFormat="1" applyFill="1" applyBorder="1" applyAlignment="1">
      <alignment horizontal="center" wrapText="1"/>
    </xf>
    <xf numFmtId="3" fontId="2" fillId="11" borderId="8" xfId="0" applyFont="1" applyNumberFormat="1" applyFill="1" applyBorder="1" applyAlignment="1">
      <alignment horizontal="center" vertical="top" wrapText="1"/>
    </xf>
    <xf numFmtId="1" fontId="2" fillId="0" borderId="1" xfId="0" applyFont="1" applyNumberFormat="1" applyBorder="1" applyAlignment="1">
      <alignment horizontal="center" wrapText="1"/>
    </xf>
    <xf numFmtId="165" fontId="2" fillId="0" borderId="5" xfId="0" applyFont="1" applyNumberFormat="1" applyBorder="1" applyAlignment="1">
      <alignment horizontal="center" wrapText="1"/>
    </xf>
    <xf numFmtId="165" fontId="2" fillId="15" borderId="0" xfId="0" applyFont="1" applyNumberFormat="1" applyFill="1" applyAlignment="1">
      <alignment horizontal="center" wrapText="1"/>
    </xf>
    <xf numFmtId="3" fontId="2" fillId="7" borderId="0" xfId="0" applyFont="1" applyNumberFormat="1" applyFill="1" applyAlignment="1">
      <alignment horizontal="center" wrapText="1"/>
    </xf>
    <xf numFmtId="165" fontId="2" fillId="7" borderId="0" xfId="0" applyFont="1" applyNumberFormat="1" applyFill="1" applyAlignment="1">
      <alignment horizontal="center" wrapText="1"/>
    </xf>
    <xf numFmtId="165" fontId="23" fillId="16" borderId="0" xfId="0" applyFont="1" applyNumberFormat="1" applyFill="1" applyAlignment="1">
      <alignment horizontal="center" wrapText="1"/>
    </xf>
    <xf numFmtId="165" fontId="2" fillId="16" borderId="0" xfId="0" applyFont="1" applyNumberFormat="1" applyFill="1" applyAlignment="1">
      <alignment horizontal="center" wrapText="1"/>
    </xf>
    <xf numFmtId="165" fontId="2" fillId="16" borderId="0" xfId="0" applyFont="1" applyNumberFormat="1" applyFill="1" applyAlignment="1">
      <alignment horizontal="center" vertical="top" wrapText="1"/>
    </xf>
    <xf numFmtId="165" fontId="2" fillId="0" borderId="0" xfId="0" applyFont="1" applyNumberFormat="1" applyAlignment="1">
      <alignment vertical="top" wrapText="1"/>
    </xf>
    <xf numFmtId="0" fontId="2" fillId="0" borderId="6" xfId="0" applyFont="1" applyBorder="1" applyAlignment="1">
      <alignment horizontal="left" vertical="top" indent="2" wrapText="1"/>
    </xf>
    <xf numFmtId="0" fontId="2" fillId="0" borderId="0" xfId="0" applyFont="1" applyAlignment="1">
      <alignment horizontal="left" vertical="top" indent="2" wrapText="1"/>
    </xf>
    <xf numFmtId="0" fontId="2" fillId="0" borderId="3" xfId="0" applyFont="1" applyBorder="1" applyAlignment="1">
      <alignment vertical="top" wrapText="1"/>
    </xf>
    <xf numFmtId="0" fontId="2" fillId="0" borderId="1" xfId="0" applyFont="1" applyBorder="1" applyAlignment="1">
      <alignment horizontal="left" indent="4" wrapText="1"/>
    </xf>
    <xf numFmtId="0" fontId="12" fillId="0" borderId="0" xfId="0" applyFont="1" applyAlignment="1">
      <alignment horizontal="left" wrapText="1"/>
    </xf>
    <xf numFmtId="3" fontId="2" fillId="0" borderId="0" xfId="0" applyFont="1" applyNumberFormat="1" applyAlignment="1">
      <alignment horizontal="center" vertical="top"/>
    </xf>
    <xf numFmtId="170" fontId="2" fillId="0" borderId="0" xfId="0" applyFont="1" applyNumberFormat="1" applyAlignment="1">
      <alignment horizontal="center" vertical="top" wrapText="1"/>
    </xf>
    <xf numFmtId="3" fontId="2" fillId="0" borderId="8" xfId="0" applyFont="1" applyNumberFormat="1" applyBorder="1" applyAlignment="1">
      <alignment horizontal="center" wrapText="1"/>
    </xf>
    <xf numFmtId="165" fontId="23" fillId="7" borderId="5" xfId="0" applyFont="1" applyNumberFormat="1" applyFill="1" applyBorder="1" applyAlignment="1">
      <alignment horizontal="center" wrapText="1"/>
    </xf>
    <xf numFmtId="165" fontId="23" fillId="7" borderId="2" xfId="0" applyFont="1" applyNumberFormat="1" applyFill="1" applyBorder="1" applyAlignment="1">
      <alignment horizontal="center" wrapText="1"/>
    </xf>
    <xf numFmtId="0" fontId="2" fillId="0" borderId="54" xfId="0" applyFont="1" applyBorder="1" applyAlignment="1">
      <alignment wrapText="1"/>
    </xf>
    <xf numFmtId="0" fontId="2" fillId="0" borderId="55" xfId="0" applyFont="1" applyBorder="1"/>
    <xf numFmtId="0" fontId="2" fillId="0" borderId="56" xfId="0" applyFont="1" applyBorder="1"/>
    <xf numFmtId="3" fontId="2" fillId="0" borderId="0" xfId="0" applyFont="1" applyNumberFormat="1" applyAlignment="1">
      <alignment horizontal="left" vertical="top"/>
    </xf>
    <xf numFmtId="3" fontId="2" fillId="0" borderId="0" xfId="0" applyFont="1" applyNumberFormat="1" applyAlignment="1">
      <alignment vertical="top" wrapText="1"/>
    </xf>
    <xf numFmtId="3" fontId="2" fillId="0" borderId="2" xfId="0" applyFont="1" applyNumberFormat="1" applyBorder="1" applyAlignment="1">
      <alignment horizontal="center"/>
    </xf>
    <xf numFmtId="3" fontId="2" fillId="0" borderId="6" xfId="0" applyFont="1" applyNumberFormat="1" applyBorder="1" applyAlignment="1">
      <alignment horizontal="center" vertical="top" wrapText="1"/>
    </xf>
    <xf numFmtId="0" fontId="2" fillId="0" borderId="0" xfId="0" applyFont="1" applyAlignment="1">
      <alignment horizontal="left" indent="2" wrapText="1"/>
    </xf>
    <xf numFmtId="3" fontId="2" fillId="0" borderId="7" xfId="0" applyFont="1" applyNumberFormat="1" applyBorder="1" applyAlignment="1">
      <alignment horizontal="center" vertical="top" wrapText="1"/>
    </xf>
    <xf numFmtId="0" fontId="2" fillId="0" borderId="0" xfId="0" applyFont="1" applyAlignment="1">
      <alignment horizontal="left" indent="4" wrapText="1"/>
    </xf>
    <xf numFmtId="0" fontId="2" fillId="0" borderId="3" xfId="0" applyFont="1" applyBorder="1" applyAlignment="1">
      <alignment wrapText="1"/>
    </xf>
    <xf numFmtId="0" fontId="2" fillId="0" borderId="6" xfId="0" applyFont="1" applyBorder="1" applyAlignment="1">
      <alignment horizontal="left" indent="4" wrapText="1"/>
    </xf>
    <xf numFmtId="3" fontId="24" fillId="0" borderId="0" xfId="0" applyFont="1" applyNumberFormat="1" applyAlignment="1">
      <alignment horizontal="center" wrapText="1"/>
    </xf>
    <xf numFmtId="3" fontId="2" fillId="0" borderId="7" xfId="0" applyFont="1" applyNumberFormat="1" applyBorder="1" applyAlignment="1">
      <alignment horizontal="center" wrapText="1"/>
    </xf>
    <xf numFmtId="168" fontId="2" fillId="0" borderId="1" xfId="0" applyFont="1" applyNumberFormat="1" applyBorder="1" applyAlignment="1">
      <alignment horizontal="center" wrapText="1"/>
    </xf>
    <xf numFmtId="168" fontId="2" fillId="0" borderId="6" xfId="0" applyFont="1" applyNumberFormat="1" applyBorder="1" applyAlignment="1">
      <alignment horizontal="center" wrapText="1"/>
    </xf>
    <xf numFmtId="0" fontId="25" fillId="0" borderId="0" xfId="0" applyFont="1"/>
    <xf numFmtId="165" fontId="2" fillId="7" borderId="7" xfId="0" applyFont="1" applyNumberFormat="1" applyFill="1" applyBorder="1" applyAlignment="1">
      <alignment horizontal="center" wrapText="1"/>
    </xf>
    <xf numFmtId="165" fontId="2" fillId="7" borderId="8" xfId="0" applyFont="1" applyNumberFormat="1" applyFill="1" applyBorder="1" applyAlignment="1">
      <alignment horizontal="center" wrapText="1"/>
    </xf>
    <xf numFmtId="0" fontId="12" fillId="0" borderId="0" xfId="0" applyFont="1" applyAlignment="1">
      <alignment wrapText="1"/>
    </xf>
    <xf numFmtId="3" fontId="2" fillId="0" borderId="0" xfId="0" applyFont="1" applyNumberFormat="1" applyAlignment="1">
      <alignment horizontal="left" vertical="top" wrapText="1"/>
    </xf>
    <xf numFmtId="0" fontId="2" fillId="7" borderId="1" xfId="0" applyFont="1" applyFill="1" applyBorder="1" applyAlignment="1">
      <alignment horizontal="center"/>
    </xf>
    <xf numFmtId="165" fontId="2" fillId="7" borderId="2" xfId="0" applyFont="1" applyNumberFormat="1" applyFill="1" applyBorder="1" applyAlignment="1">
      <alignment horizontal="center" wrapText="1"/>
    </xf>
    <xf numFmtId="168" fontId="2" fillId="0" borderId="0" xfId="0" applyFont="1" applyNumberFormat="1" applyAlignment="1">
      <alignment horizontal="center" wrapText="1"/>
    </xf>
    <xf numFmtId="165" fontId="2" fillId="0" borderId="7" xfId="0" applyFont="1" applyNumberFormat="1" applyBorder="1" applyAlignment="1">
      <alignment horizontal="center" wrapText="1"/>
    </xf>
    <xf numFmtId="165" fontId="2" fillId="0" borderId="0" xfId="0" applyFont="1" applyNumberFormat="1" applyAlignment="1">
      <alignment wrapText="1"/>
    </xf>
    <xf numFmtId="0" fontId="2" fillId="0" borderId="4" xfId="0" applyFont="1" applyBorder="1" applyAlignment="1">
      <alignment horizontal="left" wrapText="1"/>
    </xf>
    <xf numFmtId="0" fontId="12" fillId="0" borderId="0" xfId="0" applyFont="1" applyAlignment="1">
      <alignment horizontal="left" vertical="top" indent="2" wrapText="1"/>
    </xf>
    <xf numFmtId="165" fontId="23" fillId="16" borderId="3" xfId="0" applyFont="1" applyNumberFormat="1" applyFill="1" applyBorder="1" applyAlignment="1">
      <alignment horizontal="center" wrapText="1"/>
    </xf>
    <xf numFmtId="165" fontId="2" fillId="16" borderId="3" xfId="0" applyFont="1" applyNumberFormat="1" applyFill="1" applyBorder="1" applyAlignment="1">
      <alignment horizontal="center" vertical="top" wrapText="1"/>
    </xf>
    <xf numFmtId="0" fontId="12" fillId="0" borderId="1" xfId="0" applyFont="1" applyBorder="1" applyAlignment="1">
      <alignment horizontal="left" vertical="top" wrapText="1"/>
    </xf>
    <xf numFmtId="165" fontId="2" fillId="16" borderId="3" xfId="0" applyFont="1" applyNumberFormat="1" applyFill="1" applyBorder="1" applyAlignment="1">
      <alignment horizontal="center" wrapText="1"/>
    </xf>
    <xf numFmtId="3" fontId="12" fillId="0" borderId="56" xfId="0" applyFont="1" applyNumberFormat="1" applyBorder="1" applyAlignment="1">
      <alignment horizontal="left" wrapText="1"/>
    </xf>
    <xf numFmtId="0" fontId="23" fillId="0" borderId="4" xfId="0" applyFont="1" applyBorder="1" applyAlignment="1">
      <alignment horizontal="left" wrapText="1"/>
    </xf>
    <xf numFmtId="165" fontId="2" fillId="0" borderId="13" xfId="0" applyFont="1" applyNumberFormat="1" applyBorder="1" applyAlignment="1">
      <alignment horizontal="center" wrapText="1"/>
    </xf>
    <xf numFmtId="168" fontId="2" fillId="0" borderId="13" xfId="0" applyFont="1" applyNumberFormat="1" applyBorder="1" applyAlignment="1">
      <alignment horizontal="center" wrapText="1"/>
    </xf>
    <xf numFmtId="3" fontId="2" fillId="0" borderId="12" xfId="0" applyFont="1" applyNumberFormat="1" applyBorder="1" applyAlignment="1">
      <alignment horizontal="center" vertical="top"/>
    </xf>
    <xf numFmtId="0" fontId="12" fillId="0" borderId="0" xfId="0" applyFont="1" applyAlignment="1">
      <alignment horizontal="center" vertical="center" wrapText="1"/>
    </xf>
    <xf numFmtId="0" fontId="2" fillId="3" borderId="57" xfId="0" applyFont="1" applyFill="1" applyBorder="1" applyAlignment="1">
      <alignment horizontal="center" vertical="center" wrapText="1"/>
    </xf>
    <xf numFmtId="165" fontId="2" fillId="0" borderId="8" xfId="0" applyFont="1" applyNumberFormat="1" applyBorder="1" applyAlignment="1">
      <alignment horizontal="center" wrapText="1"/>
    </xf>
    <xf numFmtId="3" fontId="2" fillId="0" borderId="8" xfId="0" applyFont="1" applyNumberFormat="1" applyBorder="1" applyAlignment="1">
      <alignment horizontal="center"/>
    </xf>
    <xf numFmtId="165" fontId="2" fillId="7" borderId="5" xfId="0" applyFont="1" applyNumberFormat="1" applyFill="1" applyBorder="1" applyAlignment="1">
      <alignment horizontal="center" wrapText="1"/>
    </xf>
    <xf numFmtId="0" fontId="12" fillId="0" borderId="1" xfId="0" applyFont="1" applyBorder="1" applyAlignment="1">
      <alignment horizontal="left" vertical="top" indent="2" wrapText="1"/>
    </xf>
    <xf numFmtId="3" fontId="2" fillId="0" borderId="5" xfId="0" applyFont="1" applyNumberFormat="1" applyBorder="1" applyAlignment="1">
      <alignment horizontal="center" wrapText="1"/>
    </xf>
    <xf numFmtId="165" fontId="2" fillId="16" borderId="7" xfId="0" applyFont="1" applyNumberFormat="1" applyFill="1" applyBorder="1" applyAlignment="1">
      <alignment horizontal="center" wrapText="1"/>
    </xf>
    <xf numFmtId="165" fontId="2" fillId="16" borderId="8" xfId="0" applyFont="1" applyNumberFormat="1" applyFill="1" applyBorder="1" applyAlignment="1">
      <alignment horizontal="center" wrapText="1"/>
    </xf>
    <xf numFmtId="0" fontId="2" fillId="7" borderId="13" xfId="0" applyFont="1" applyFill="1" applyBorder="1" applyAlignment="1">
      <alignment horizontal="center"/>
    </xf>
    <xf numFmtId="0" fontId="2" fillId="0" borderId="1" xfId="0" applyFont="1" applyBorder="1" applyAlignment="1">
      <alignment horizontal="left" indent="2" wrapText="1"/>
    </xf>
    <xf numFmtId="165" fontId="2" fillId="7" borderId="3" xfId="0" applyFont="1" applyNumberFormat="1" applyFill="1" applyBorder="1" applyAlignment="1">
      <alignment horizontal="center" wrapText="1"/>
    </xf>
    <xf numFmtId="3" fontId="2" fillId="7" borderId="3" xfId="0" applyFont="1" applyNumberFormat="1" applyFill="1" applyBorder="1" applyAlignment="1">
      <alignment horizontal="center" wrapText="1"/>
    </xf>
    <xf numFmtId="3" fontId="2" fillId="0" borderId="5" xfId="0" applyFont="1" applyNumberFormat="1" applyBorder="1" applyAlignment="1">
      <alignment horizontal="center" vertical="top" wrapText="1"/>
    </xf>
    <xf numFmtId="0" fontId="2" fillId="0" borderId="5" xfId="0" applyFont="1" applyBorder="1" applyAlignment="1">
      <alignment horizontal="center" wrapText="1"/>
    </xf>
    <xf numFmtId="0" fontId="23" fillId="0" borderId="5" xfId="0" applyFont="1" applyBorder="1" applyAlignment="1">
      <alignment horizontal="center" wrapText="1"/>
    </xf>
    <xf numFmtId="168" fontId="2" fillId="7" borderId="0" xfId="0" applyFont="1" applyNumberFormat="1" applyFill="1" applyAlignment="1">
      <alignment horizontal="center" wrapText="1"/>
    </xf>
    <xf numFmtId="168" fontId="2" fillId="7" borderId="3" xfId="0" applyFont="1" applyNumberFormat="1" applyFill="1" applyBorder="1" applyAlignment="1">
      <alignment horizontal="center" wrapText="1"/>
    </xf>
    <xf numFmtId="0" fontId="2" fillId="0" borderId="14" xfId="0" applyFont="1" applyBorder="1" applyAlignment="1">
      <alignment horizontal="center"/>
    </xf>
    <xf numFmtId="0" fontId="12" fillId="0" borderId="54" xfId="0" applyFont="1" applyBorder="1" applyAlignment="1">
      <alignment horizontal="center" wrapText="1"/>
    </xf>
    <xf numFmtId="0" fontId="12" fillId="0" borderId="54" xfId="0" applyFont="1" applyBorder="1" applyAlignment="1">
      <alignment wrapText="1"/>
    </xf>
    <xf numFmtId="3" fontId="12" fillId="0" borderId="55" xfId="0" applyFont="1" applyNumberFormat="1" applyBorder="1" applyAlignment="1">
      <alignment horizontal="center" wrapText="1"/>
    </xf>
    <xf numFmtId="0" fontId="2" fillId="0" borderId="1" xfId="0" applyFont="1" applyBorder="1" applyAlignment="1">
      <alignment vertical="top" wrapText="1"/>
    </xf>
    <xf numFmtId="0" fontId="2" fillId="0" borderId="1" xfId="0" applyFont="1" applyBorder="1" applyAlignment="1">
      <alignment horizontal="left" vertical="top" indent="1" wrapText="1"/>
    </xf>
    <xf numFmtId="0" fontId="2" fillId="0" borderId="1" xfId="0" applyFont="1" applyBorder="1" applyAlignment="1">
      <alignment horizontal="left" indent="1" wrapText="1"/>
    </xf>
    <xf numFmtId="0" fontId="12" fillId="0" borderId="1" xfId="0" applyFont="1" applyBorder="1" applyAlignment="1">
      <alignment horizontal="left" wrapText="1"/>
    </xf>
    <xf numFmtId="3" fontId="2" fillId="0" borderId="4" xfId="0" applyFont="1" applyNumberFormat="1" applyBorder="1" applyAlignment="1">
      <alignment horizontal="center" vertical="top" wrapText="1"/>
    </xf>
    <xf numFmtId="165" fontId="2" fillId="0" borderId="2" xfId="0" applyFont="1" applyNumberFormat="1" applyBorder="1" applyAlignment="1">
      <alignment horizontal="center" wrapText="1"/>
    </xf>
    <xf numFmtId="168" fontId="2" fillId="0" borderId="3" xfId="0" applyFont="1" applyNumberFormat="1" applyBorder="1" applyAlignment="1">
      <alignment horizontal="center" wrapText="1"/>
    </xf>
    <xf numFmtId="3" fontId="2" fillId="0" borderId="1" xfId="0" applyFont="1" applyNumberFormat="1" applyBorder="1" applyAlignment="1">
      <alignment horizontal="center" wrapText="1"/>
    </xf>
    <xf numFmtId="3" fontId="2" fillId="7" borderId="8" xfId="0" applyFont="1" applyNumberFormat="1" applyFill="1" applyBorder="1" applyAlignment="1">
      <alignment horizontal="center"/>
    </xf>
    <xf numFmtId="0" fontId="23" fillId="0" borderId="1" xfId="0" applyFont="1" applyBorder="1" applyAlignment="1">
      <alignment wrapText="1"/>
    </xf>
    <xf numFmtId="0" fontId="23" fillId="0" borderId="1" xfId="0" applyFont="1" applyBorder="1" applyAlignment="1">
      <alignment horizontal="center" wrapText="1"/>
    </xf>
    <xf numFmtId="165" fontId="2" fillId="0" borderId="1" xfId="0" applyFont="1" applyNumberFormat="1" applyBorder="1" applyAlignment="1">
      <alignment horizontal="center" vertical="top" wrapText="1"/>
    </xf>
    <xf numFmtId="0" fontId="2" fillId="0" borderId="8" xfId="0" applyFont="1" applyBorder="1"/>
    <xf numFmtId="0" fontId="12" fillId="11" borderId="4" xfId="0" applyFont="1" applyFill="1" applyBorder="1" applyAlignment="1">
      <alignment horizontal="center" vertical="center"/>
    </xf>
    <xf numFmtId="0" fontId="12" fillId="11" borderId="2" xfId="0" applyFont="1" applyFill="1" applyBorder="1" applyAlignment="1">
      <alignment horizontal="center" vertical="center"/>
    </xf>
    <xf numFmtId="0" fontId="12" fillId="11" borderId="1" xfId="0" applyFont="1" applyFill="1" applyBorder="1" applyAlignment="1">
      <alignment horizontal="center" vertical="center"/>
    </xf>
    <xf numFmtId="0" fontId="1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2" fillId="11" borderId="5" xfId="0" applyFont="1" applyFill="1" applyBorder="1" applyAlignment="1">
      <alignment horizontal="center" vertical="center"/>
    </xf>
    <xf numFmtId="0" fontId="2" fillId="11" borderId="2" xfId="0" applyFont="1" applyFill="1" applyBorder="1" applyAlignment="1">
      <alignment horizontal="center" vertical="center"/>
    </xf>
    <xf numFmtId="0" fontId="2" fillId="7" borderId="4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0" xfId="0" applyFont="1" applyFill="1" applyBorder="1" applyAlignment="1">
      <alignment horizontal="center" vertical="center"/>
    </xf>
    <xf numFmtId="0" fontId="12" fillId="11" borderId="11" xfId="0" applyFont="1" applyFill="1" applyBorder="1" applyAlignment="1">
      <alignment horizontal="center" vertical="center"/>
    </xf>
    <xf numFmtId="0" fontId="12" fillId="7" borderId="10" xfId="0" applyFont="1" applyFill="1" applyBorder="1" applyAlignment="1">
      <alignment horizontal="center" vertical="center"/>
    </xf>
    <xf numFmtId="0" fontId="12" fillId="7" borderId="11" xfId="0" applyFont="1" applyFill="1" applyBorder="1" applyAlignment="1">
      <alignment horizontal="center" vertical="center"/>
    </xf>
    <xf numFmtId="0" fontId="2" fillId="11" borderId="44" xfId="0" applyFont="1" applyFill="1" applyBorder="1" applyAlignment="1">
      <alignment horizontal="center" vertical="center"/>
    </xf>
    <xf numFmtId="0" fontId="12" fillId="11" borderId="54" xfId="0" applyFont="1" applyFill="1" applyBorder="1" applyAlignment="1">
      <alignment horizontal="center"/>
    </xf>
    <xf numFmtId="0" fontId="12" fillId="11" borderId="55" xfId="0" applyFont="1" applyFill="1" applyBorder="1" applyAlignment="1">
      <alignment horizontal="center"/>
    </xf>
    <xf numFmtId="0" fontId="12" fillId="7" borderId="55" xfId="0" applyFont="1" applyFill="1" applyBorder="1" applyAlignment="1">
      <alignment horizontal="center"/>
    </xf>
    <xf numFmtId="0" fontId="12" fillId="7" borderId="56" xfId="0" applyFont="1" applyFill="1" applyBorder="1" applyAlignment="1">
      <alignment horizontal="center"/>
    </xf>
    <xf numFmtId="0" fontId="12" fillId="11" borderId="5" xfId="0" applyFont="1" applyFill="1" applyBorder="1" applyAlignment="1">
      <alignment horizontal="center"/>
    </xf>
    <xf numFmtId="0" fontId="12" fillId="11" borderId="0" xfId="0" applyFont="1" applyFill="1" applyAlignment="1">
      <alignment horizontal="center"/>
    </xf>
    <xf numFmtId="0" fontId="12" fillId="11" borderId="7" xfId="0" applyFont="1" applyFill="1" applyBorder="1" applyAlignment="1">
      <alignment horizontal="center"/>
    </xf>
    <xf numFmtId="0" fontId="2" fillId="0" borderId="0" xfId="0" applyFont="1" applyAlignment="1">
      <alignment horizontal="center" vertical="center" wrapText="1"/>
    </xf>
    <xf numFmtId="165" fontId="2" fillId="0" borderId="0" xfId="0" applyFont="1" applyNumberFormat="1" applyAlignment="1">
      <alignment horizontal="center" vertical="center"/>
    </xf>
    <xf numFmtId="168" fontId="2" fillId="0" borderId="0" xfId="0" applyFont="1" applyNumberFormat="1" applyAlignment="1">
      <alignment horizontal="center" vertical="center"/>
    </xf>
    <xf numFmtId="168" fontId="2" fillId="7" borderId="0" xfId="0" applyFont="1" applyNumberFormat="1" applyFill="1" applyAlignment="1">
      <alignment horizontal="center" vertical="center"/>
    </xf>
    <xf numFmtId="168" fontId="2" fillId="11" borderId="0" xfId="0" applyFont="1" applyNumberFormat="1" applyFill="1" applyAlignment="1">
      <alignment horizontal="center" vertical="center"/>
    </xf>
    <xf numFmtId="1" fontId="23" fillId="7" borderId="0" xfId="0" applyFont="1" applyNumberFormat="1" applyFill="1" applyAlignment="1">
      <alignment horizontal="center" vertical="center"/>
    </xf>
    <xf numFmtId="0" fontId="26" fillId="0" borderId="4" xfId="0" applyFont="1" applyBorder="1" applyAlignment="1">
      <alignment horizontal="center" vertical="center" wrapText="1"/>
    </xf>
    <xf numFmtId="0" fontId="2" fillId="0" borderId="44" xfId="0" applyFont="1" applyBorder="1" applyAlignment="1">
      <alignment horizontal="center" vertical="center"/>
    </xf>
    <xf numFmtId="3" fontId="2" fillId="0" borderId="44" xfId="0" applyFont="1" applyNumberFormat="1" applyBorder="1" applyAlignment="1">
      <alignment horizontal="center" vertical="center"/>
    </xf>
    <xf numFmtId="1" fontId="2" fillId="0" borderId="44" xfId="0" applyFont="1" applyNumberFormat="1" applyBorder="1" applyAlignment="1">
      <alignment horizontal="center" vertical="center"/>
    </xf>
    <xf numFmtId="1" fontId="2" fillId="7" borderId="44" xfId="0" applyFont="1" applyNumberFormat="1" applyFill="1" applyBorder="1" applyAlignment="1">
      <alignment horizontal="center" vertical="center"/>
    </xf>
    <xf numFmtId="1" fontId="2" fillId="7" borderId="2" xfId="0" applyFont="1" applyNumberFormat="1" applyFill="1" applyBorder="1" applyAlignment="1">
      <alignment horizontal="center" vertical="center"/>
    </xf>
    <xf numFmtId="168" fontId="2" fillId="7" borderId="3" xfId="0" applyFont="1" applyNumberFormat="1" applyFill="1" applyBorder="1" applyAlignment="1">
      <alignment horizontal="center" vertical="center"/>
    </xf>
    <xf numFmtId="1" fontId="23" fillId="7" borderId="3" xfId="0" applyFont="1" applyNumberFormat="1" applyFill="1" applyBorder="1" applyAlignment="1">
      <alignment horizontal="center" vertical="center"/>
    </xf>
    <xf numFmtId="3" fontId="2" fillId="7" borderId="8" xfId="0" applyFont="1" applyNumberFormat="1" applyFill="1" applyBorder="1" applyAlignment="1">
      <alignment horizontal="center" vertical="center"/>
    </xf>
    <xf numFmtId="2" fontId="2" fillId="0" borderId="0" xfId="0" applyFont="1" applyNumberFormat="1" applyAlignment="1">
      <alignment horizontal="center"/>
    </xf>
    <xf numFmtId="2" fontId="2" fillId="11" borderId="0" xfId="0" applyFont="1" applyNumberFormat="1" applyFill="1" applyAlignment="1">
      <alignment horizontal="center"/>
    </xf>
    <xf numFmtId="165" fontId="2" fillId="0" borderId="44" xfId="0" applyFont="1" applyNumberFormat="1" applyBorder="1" applyAlignment="1">
      <alignment horizontal="center"/>
    </xf>
    <xf numFmtId="0" fontId="2" fillId="0" borderId="0" xfId="0" applyFont="1" applyAlignment="1">
      <alignment horizontal="left"/>
    </xf>
    <xf numFmtId="1" fontId="2" fillId="0" borderId="0" xfId="0" applyFont="1" applyNumberFormat="1"/>
    <xf numFmtId="1" fontId="2" fillId="7" borderId="0" xfId="0" applyFont="1" applyNumberFormat="1" applyFill="1"/>
    <xf numFmtId="1" fontId="2" fillId="7" borderId="3" xfId="0" applyFont="1" applyNumberFormat="1" applyFill="1" applyBorder="1"/>
    <xf numFmtId="1" fontId="2" fillId="7" borderId="1" xfId="0" applyFont="1" applyNumberFormat="1" applyFill="1" applyBorder="1"/>
    <xf numFmtId="165" fontId="2" fillId="7" borderId="7" xfId="0" applyFont="1" applyNumberFormat="1" applyFill="1" applyBorder="1" applyAlignment="1">
      <alignment horizontal="center"/>
    </xf>
    <xf numFmtId="165" fontId="2" fillId="7" borderId="8" xfId="0" applyFont="1" applyNumberFormat="1" applyFill="1" applyBorder="1" applyAlignment="1">
      <alignment horizontal="center"/>
    </xf>
    <xf numFmtId="165" fontId="2" fillId="0" borderId="7" xfId="0" applyFont="1" applyNumberFormat="1" applyBorder="1" applyAlignment="1">
      <alignment horizontal="center"/>
    </xf>
    <xf numFmtId="165" fontId="2" fillId="7" borderId="44" xfId="0" applyFont="1" applyNumberFormat="1" applyFill="1" applyBorder="1" applyAlignment="1">
      <alignment horizontal="center"/>
    </xf>
    <xf numFmtId="3" fontId="23" fillId="7" borderId="1" xfId="0" applyFont="1" applyNumberFormat="1" applyFill="1" applyBorder="1" applyAlignment="1">
      <alignment horizontal="center"/>
    </xf>
    <xf numFmtId="165" fontId="2" fillId="7" borderId="2" xfId="0" applyFont="1" applyNumberFormat="1" applyFill="1" applyBorder="1" applyAlignment="1">
      <alignment horizontal="center"/>
    </xf>
    <xf numFmtId="3" fontId="2" fillId="11" borderId="44" xfId="0" applyFont="1" applyNumberFormat="1" applyFill="1" applyBorder="1" applyAlignment="1">
      <alignment horizontal="center"/>
    </xf>
    <xf numFmtId="165" fontId="2" fillId="7" borderId="4" xfId="0" applyFont="1" applyNumberFormat="1" applyFill="1" applyBorder="1" applyAlignment="1">
      <alignment horizontal="center"/>
    </xf>
    <xf numFmtId="0" fontId="26" fillId="0" borderId="1" xfId="0" applyFont="1" applyBorder="1" applyAlignment="1">
      <alignment horizontal="center" vertical="center" wrapText="1"/>
    </xf>
    <xf numFmtId="0" fontId="2" fillId="7" borderId="14"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0" xfId="0" applyFont="1" applyFill="1" applyAlignment="1">
      <alignment horizontal="center" vertical="center"/>
    </xf>
    <xf numFmtId="0" fontId="2" fillId="11" borderId="3" xfId="0" applyFont="1" applyFill="1" applyBorder="1" applyAlignment="1">
      <alignment horizontal="center" vertical="center"/>
    </xf>
    <xf numFmtId="0" fontId="2" fillId="7" borderId="0" xfId="0" applyFont="1" applyFill="1" applyAlignment="1">
      <alignment horizontal="center" vertical="center"/>
    </xf>
    <xf numFmtId="0" fontId="2" fillId="7" borderId="1" xfId="0" applyFont="1" applyFill="1" applyBorder="1" applyAlignment="1">
      <alignment horizontal="center" vertical="center"/>
    </xf>
    <xf numFmtId="3" fontId="2" fillId="7" borderId="0" xfId="0" applyFont="1" applyNumberFormat="1" applyFill="1" applyAlignment="1">
      <alignment horizontal="center" vertical="center"/>
    </xf>
    <xf numFmtId="0" fontId="2" fillId="7" borderId="3" xfId="0" applyFont="1" applyFill="1" applyBorder="1" applyAlignment="1">
      <alignment horizontal="center" vertical="center"/>
    </xf>
    <xf numFmtId="0" fontId="2" fillId="7" borderId="13" xfId="0" applyFont="1" applyFill="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3" fontId="2" fillId="7" borderId="7" xfId="0" applyFont="1" applyNumberFormat="1" applyFill="1" applyBorder="1" applyAlignment="1">
      <alignment horizontal="center" vertical="center"/>
    </xf>
    <xf numFmtId="3" fontId="2" fillId="11" borderId="7" xfId="0" applyFont="1" applyNumberFormat="1" applyFill="1" applyBorder="1" applyAlignment="1">
      <alignment horizontal="center" vertical="center"/>
    </xf>
    <xf numFmtId="3" fontId="2" fillId="0" borderId="7" xfId="0" applyFont="1" applyNumberForma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wrapText="1"/>
    </xf>
    <xf numFmtId="0" fontId="2" fillId="0" borderId="1" xfId="0" applyFont="1" applyBorder="1" applyAlignment="1">
      <alignment wrapText="1"/>
    </xf>
    <xf numFmtId="0" fontId="2" fillId="0" borderId="6" xfId="0" applyFont="1" applyBorder="1" applyAlignment="1">
      <alignment horizontal="left" wrapText="1"/>
    </xf>
    <xf numFmtId="0" fontId="2" fillId="0" borderId="7" xfId="0" applyFont="1" applyBorder="1" applyAlignment="1">
      <alignment horizontal="left" wrapText="1"/>
    </xf>
    <xf numFmtId="3" fontId="2" fillId="0" borderId="44" xfId="0" applyFont="1" applyNumberFormat="1" applyBorder="1" applyAlignment="1">
      <alignment horizontal="center"/>
    </xf>
    <xf numFmtId="0" fontId="2" fillId="0" borderId="44" xfId="0" applyFont="1" applyBorder="1" applyAlignment="1">
      <alignment horizontal="left"/>
    </xf>
    <xf numFmtId="165" fontId="2" fillId="2" borderId="44" xfId="0" applyFont="1" applyNumberFormat="1" applyFill="1" applyBorder="1" applyAlignment="1">
      <alignment horizontal="center"/>
    </xf>
    <xf numFmtId="165" fontId="2" fillId="0" borderId="2" xfId="0" applyFont="1" applyNumberFormat="1" applyBorder="1" applyAlignment="1">
      <alignment horizontal="center"/>
    </xf>
    <xf numFmtId="165" fontId="2" fillId="0" borderId="3" xfId="0" applyFont="1" applyNumberFormat="1" applyBorder="1" applyAlignment="1">
      <alignment horizontal="center"/>
    </xf>
    <xf numFmtId="165" fontId="2" fillId="0" borderId="8" xfId="0" applyFont="1" applyNumberFormat="1" applyBorder="1" applyAlignment="1">
      <alignment horizontal="center"/>
    </xf>
    <xf numFmtId="165" fontId="2" fillId="7" borderId="1" xfId="0" applyFont="1" applyNumberFormat="1" applyFill="1" applyBorder="1" applyAlignment="1">
      <alignment horizontal="center"/>
    </xf>
    <xf numFmtId="0" fontId="2" fillId="0" borderId="5" xfId="0" applyFont="1" applyBorder="1"/>
    <xf numFmtId="168" fontId="12" fillId="0" borderId="0" xfId="0" applyFont="1" applyNumberFormat="1"/>
    <xf numFmtId="171" fontId="2" fillId="0" borderId="0" xfId="0" applyFont="1" applyNumberFormat="1" applyAlignment="1">
      <alignment horizontal="center"/>
    </xf>
    <xf numFmtId="17" fontId="12" fillId="3" borderId="58" xfId="0" applyFont="1" applyNumberFormat="1" applyFill="1" applyBorder="1" applyAlignment="1">
      <alignment horizontal="left" wrapText="1"/>
    </xf>
    <xf numFmtId="17" fontId="12" fillId="3" borderId="11" xfId="0" applyFont="1" applyNumberFormat="1" applyFill="1" applyBorder="1" applyAlignment="1">
      <alignment horizontal="left" wrapText="1"/>
    </xf>
    <xf numFmtId="0" fontId="2" fillId="0" borderId="1" xfId="0" applyFont="1" applyBorder="1" applyAlignment="1">
      <alignment horizontal="left"/>
    </xf>
    <xf numFmtId="3" fontId="2" fillId="0" borderId="7" xfId="0" applyFont="1" applyNumberFormat="1" applyBorder="1" applyAlignment="1">
      <alignment horizontal="center"/>
    </xf>
    <xf numFmtId="165" fontId="2" fillId="0" borderId="0" xfId="0" applyFont="1" applyNumberFormat="1"/>
    <xf numFmtId="165" fontId="2" fillId="7" borderId="5" xfId="0" applyFont="1" applyNumberFormat="1" applyFill="1" applyBorder="1" applyAlignment="1">
      <alignment horizontal="center"/>
    </xf>
    <xf numFmtId="3" fontId="2" fillId="7" borderId="6" xfId="0" applyFont="1" applyNumberFormat="1" applyFill="1" applyBorder="1" applyAlignment="1">
      <alignment horizontal="center"/>
    </xf>
    <xf numFmtId="0" fontId="12" fillId="3" borderId="4" xfId="0" applyFont="1" applyFill="1" applyBorder="1" applyAlignment="1">
      <alignment horizontal="left" wrapText="1"/>
    </xf>
    <xf numFmtId="0" fontId="2" fillId="0" borderId="4" xfId="0" applyFont="1" applyBorder="1" applyAlignment="1">
      <alignment wrapText="1"/>
    </xf>
    <xf numFmtId="0" fontId="2" fillId="0" borderId="6" xfId="0" applyFont="1" applyBorder="1" applyAlignment="1">
      <alignment vertical="top" wrapText="1"/>
    </xf>
    <xf numFmtId="17" fontId="12" fillId="3" borderId="54" xfId="0" applyFont="1" applyNumberFormat="1" applyFill="1" applyBorder="1" applyAlignment="1">
      <alignment horizontal="left" wrapText="1"/>
    </xf>
    <xf numFmtId="17" fontId="12" fillId="3" borderId="55" xfId="0" applyFont="1" applyNumberFormat="1" applyFill="1" applyBorder="1" applyAlignment="1">
      <alignment horizontal="left" wrapText="1"/>
    </xf>
    <xf numFmtId="17" fontId="12" fillId="3" borderId="5" xfId="0" applyFont="1" applyNumberFormat="1" applyFill="1" applyBorder="1" applyAlignment="1">
      <alignment horizontal="left" vertical="top" wrapText="1"/>
    </xf>
    <xf numFmtId="0" fontId="23" fillId="0" borderId="1" xfId="0" applyFont="1" applyBorder="1" applyAlignment="1">
      <alignment horizontal="left" vertical="top" wrapText="1"/>
    </xf>
    <xf numFmtId="0" fontId="27" fillId="0" borderId="0" xfId="0" applyFont="1" applyAlignment="1">
      <alignment horizontal="center" vertical="center" wrapText="1"/>
    </xf>
    <xf numFmtId="0" fontId="26" fillId="0" borderId="1" xfId="0" applyFont="1" applyBorder="1" applyAlignment="1">
      <alignment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28" fillId="0" borderId="1" xfId="0" applyFont="1" applyBorder="1" applyAlignment="1">
      <alignment horizontal="left" indent="2"/>
    </xf>
    <xf numFmtId="3" fontId="12" fillId="0" borderId="0" xfId="0" applyFont="1" applyNumberFormat="1" applyAlignment="1">
      <alignment horizontal="center" wrapText="1"/>
    </xf>
    <xf numFmtId="3" fontId="12" fillId="0" borderId="3" xfId="0" applyFont="1" applyNumberFormat="1" applyBorder="1" applyAlignment="1">
      <alignment horizontal="center" wrapText="1"/>
    </xf>
    <xf numFmtId="0" fontId="2" fillId="0" borderId="7" xfId="0" applyFont="1" applyBorder="1" applyAlignment="1">
      <alignment horizontal="center" wrapText="1"/>
    </xf>
    <xf numFmtId="3" fontId="12" fillId="0" borderId="7" xfId="0" applyFont="1" applyNumberFormat="1" applyBorder="1" applyAlignment="1">
      <alignment horizontal="center" wrapText="1"/>
    </xf>
    <xf numFmtId="3" fontId="12" fillId="0" borderId="8" xfId="0" applyFont="1" applyNumberFormat="1" applyBorder="1" applyAlignment="1">
      <alignment horizontal="center" wrapText="1"/>
    </xf>
    <xf numFmtId="3" fontId="12" fillId="7" borderId="0" xfId="0" applyFont="1" applyNumberFormat="1" applyFill="1" applyAlignment="1">
      <alignment horizontal="center" wrapText="1"/>
    </xf>
    <xf numFmtId="3" fontId="12" fillId="7" borderId="3" xfId="0" applyFont="1" applyNumberFormat="1" applyFill="1" applyBorder="1" applyAlignment="1">
      <alignment horizontal="center" wrapText="1"/>
    </xf>
    <xf numFmtId="3" fontId="12" fillId="7" borderId="7" xfId="0" applyFont="1" applyNumberFormat="1" applyFill="1" applyBorder="1" applyAlignment="1">
      <alignment horizontal="center" wrapText="1"/>
    </xf>
    <xf numFmtId="3" fontId="12" fillId="7" borderId="8" xfId="0" applyFont="1" applyNumberFormat="1" applyFill="1" applyBorder="1" applyAlignment="1">
      <alignment horizontal="center" wrapText="1"/>
    </xf>
    <xf numFmtId="0" fontId="12" fillId="0" borderId="0" xfId="0" applyFont="1"/>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2" fillId="0" borderId="6" xfId="0" applyFont="1" applyBorder="1" applyAlignment="1">
      <alignment wrapText="1"/>
    </xf>
    <xf numFmtId="0" fontId="2" fillId="0" borderId="7" xfId="0" applyFont="1" applyBorder="1" applyAlignment="1">
      <alignment wrapText="1"/>
    </xf>
    <xf numFmtId="170" fontId="2" fillId="0" borderId="0" xfId="0" applyFont="1" applyNumberFormat="1" applyAlignment="1">
      <alignment horizontal="center" wrapText="1"/>
    </xf>
    <xf numFmtId="0" fontId="23" fillId="0" borderId="0" xfId="0" applyFont="1" applyAlignment="1">
      <alignment wrapText="1"/>
    </xf>
    <xf numFmtId="3" fontId="23" fillId="0" borderId="0" xfId="0" applyFont="1" applyNumberFormat="1" applyAlignment="1">
      <alignment horizontal="center" wrapText="1"/>
    </xf>
    <xf numFmtId="170" fontId="23" fillId="0" borderId="0" xfId="0" applyFont="1" applyNumberFormat="1" applyAlignment="1">
      <alignment wrapText="1"/>
    </xf>
    <xf numFmtId="0" fontId="12" fillId="0" borderId="44" xfId="0" applyFont="1" applyBorder="1" applyAlignment="1">
      <alignment horizontal="center" vertical="top" wrapText="1"/>
    </xf>
    <xf numFmtId="3" fontId="23" fillId="0" borderId="3" xfId="0" applyFont="1" applyNumberFormat="1" applyBorder="1" applyAlignment="1">
      <alignment horizontal="center" wrapText="1"/>
    </xf>
    <xf numFmtId="1" fontId="23" fillId="0" borderId="8" xfId="0" applyFont="1" applyNumberFormat="1" applyBorder="1" applyAlignment="1">
      <alignment horizontal="center"/>
    </xf>
    <xf numFmtId="170" fontId="2" fillId="0" borderId="7" xfId="0" applyFont="1" applyNumberFormat="1" applyBorder="1" applyAlignment="1">
      <alignment horizontal="center" wrapText="1"/>
    </xf>
    <xf numFmtId="3" fontId="2" fillId="0" borderId="0" xfId="0" applyFont="1" applyNumberFormat="1" applyAlignment="1">
      <alignment vertical="top"/>
    </xf>
    <xf numFmtId="1" fontId="12" fillId="0" borderId="0" xfId="0" applyFont="1" applyNumberFormat="1" applyAlignment="1">
      <alignment horizontal="center" wrapText="1"/>
    </xf>
    <xf numFmtId="0" fontId="29" fillId="0" borderId="0" xfId="0" applyFont="1"/>
    <xf numFmtId="1" fontId="2" fillId="0" borderId="44" xfId="0" applyFont="1" applyNumberFormat="1" applyBorder="1" applyAlignment="1">
      <alignment horizontal="center" wrapText="1"/>
    </xf>
    <xf numFmtId="1" fontId="2" fillId="11" borderId="44" xfId="0" applyFont="1" applyNumberFormat="1" applyFill="1" applyBorder="1" applyAlignment="1">
      <alignment horizontal="center" wrapText="1"/>
    </xf>
    <xf numFmtId="1" fontId="2" fillId="11" borderId="2" xfId="0" applyFont="1" applyNumberFormat="1" applyFill="1" applyBorder="1" applyAlignment="1">
      <alignment horizontal="center" wrapText="1"/>
    </xf>
    <xf numFmtId="1" fontId="2" fillId="0" borderId="3" xfId="0" applyFont="1" applyNumberFormat="1" applyBorder="1" applyAlignment="1">
      <alignment horizontal="center" wrapText="1"/>
    </xf>
    <xf numFmtId="0" fontId="1" fillId="7" borderId="2" xfId="0" applyFont="1" applyFill="1" applyBorder="1"/>
    <xf numFmtId="0" fontId="23" fillId="0" borderId="6" xfId="0" applyFont="1" applyBorder="1"/>
    <xf numFmtId="0" fontId="23" fillId="0" borderId="7" xfId="0" applyFont="1" applyBorder="1"/>
    <xf numFmtId="0" fontId="1" fillId="7" borderId="0" xfId="0" applyFont="1" applyFill="1"/>
    <xf numFmtId="1" fontId="2" fillId="7" borderId="0" xfId="0" applyFont="1" applyNumberFormat="1" applyFill="1" applyAlignment="1">
      <alignment horizontal="center" wrapText="1"/>
    </xf>
    <xf numFmtId="3" fontId="1" fillId="7" borderId="0" xfId="0" applyFont="1" applyNumberFormat="1" applyFill="1"/>
    <xf numFmtId="1" fontId="23" fillId="0" borderId="0" xfId="0" applyFont="1" applyNumberFormat="1" applyAlignment="1">
      <alignment horizontal="center"/>
    </xf>
    <xf numFmtId="3" fontId="23" fillId="7" borderId="0" xfId="0" applyFont="1" applyNumberFormat="1" applyFill="1" applyAlignment="1">
      <alignment horizontal="center" wrapText="1"/>
    </xf>
    <xf numFmtId="1" fontId="23" fillId="7" borderId="7" xfId="0" applyFont="1" applyNumberFormat="1" applyFill="1" applyBorder="1" applyAlignment="1">
      <alignment horizontal="center"/>
    </xf>
    <xf numFmtId="1" fontId="23" fillId="7" borderId="8" xfId="0" applyFont="1" applyNumberFormat="1" applyFill="1" applyBorder="1" applyAlignment="1">
      <alignment horizontal="center"/>
    </xf>
    <xf numFmtId="3" fontId="2" fillId="7" borderId="2" xfId="0" applyFont="1" applyNumberFormat="1" applyFill="1" applyBorder="1" applyAlignment="1">
      <alignment horizontal="center" wrapText="1"/>
    </xf>
    <xf numFmtId="0" fontId="1" fillId="7" borderId="3" xfId="0" applyFont="1" applyFill="1" applyBorder="1"/>
    <xf numFmtId="0" fontId="28" fillId="0" borderId="1" xfId="0" applyFont="1" applyBorder="1" applyAlignment="1">
      <alignment horizontal="left" indent="5"/>
    </xf>
    <xf numFmtId="0" fontId="2" fillId="0" borderId="1" xfId="0" applyFont="1" applyBorder="1" applyAlignment="1">
      <alignment horizontal="left" vertical="top" indent="5" wrapText="1"/>
    </xf>
    <xf numFmtId="0" fontId="4" fillId="0" borderId="0" xfId="0" applyFont="1"/>
    <xf numFmtId="3" fontId="2" fillId="7" borderId="5" xfId="0" applyFont="1" applyNumberFormat="1" applyFill="1" applyBorder="1" applyAlignment="1">
      <alignment horizontal="center" wrapText="1"/>
    </xf>
    <xf numFmtId="0" fontId="1" fillId="7" borderId="5" xfId="0" applyFont="1" applyFill="1" applyBorder="1"/>
    <xf numFmtId="1" fontId="2" fillId="7" borderId="3" xfId="0" applyFont="1" applyNumberFormat="1" applyFill="1" applyBorder="1" applyAlignment="1">
      <alignment horizontal="center" wrapText="1"/>
    </xf>
    <xf numFmtId="3" fontId="23" fillId="7" borderId="3" xfId="0" applyFont="1" applyNumberFormat="1" applyFill="1" applyBorder="1" applyAlignment="1">
      <alignment horizontal="center" wrapText="1"/>
    </xf>
    <xf numFmtId="1" fontId="23" fillId="0" borderId="7" xfId="0" applyFont="1" applyNumberFormat="1" applyBorder="1" applyAlignment="1">
      <alignment horizontal="center"/>
    </xf>
    <xf numFmtId="0" fontId="30" fillId="0" borderId="0" xfId="0" applyFont="1" applyAlignment="1">
      <alignment horizontal="left" vertical="top" wrapText="1"/>
    </xf>
    <xf numFmtId="0" fontId="2" fillId="0" borderId="8" xfId="0" applyFont="1" applyBorder="1" applyAlignment="1">
      <alignment horizontal="left" wrapText="1"/>
    </xf>
    <xf numFmtId="0" fontId="2" fillId="14" borderId="1" xfId="0" applyFont="1" applyFill="1" applyBorder="1" applyAlignment="1">
      <alignment horizontal="left" indent="3" wrapText="1"/>
    </xf>
    <xf numFmtId="0" fontId="2" fillId="14" borderId="0" xfId="0" applyFont="1" applyFill="1" applyAlignment="1">
      <alignment horizontal="left" indent="3" wrapText="1"/>
    </xf>
    <xf numFmtId="0" fontId="2" fillId="14" borderId="3" xfId="0" applyFont="1" applyFill="1" applyBorder="1" applyAlignment="1">
      <alignment horizontal="left" indent="3" wrapText="1"/>
    </xf>
    <xf numFmtId="0" fontId="2" fillId="0" borderId="1" xfId="0" applyFont="1" applyBorder="1" applyAlignment="1">
      <alignment horizontal="left" indent="3" wrapText="1"/>
    </xf>
    <xf numFmtId="0" fontId="2" fillId="0" borderId="0" xfId="0" applyFont="1" applyAlignment="1">
      <alignment horizontal="left" indent="3" wrapText="1"/>
    </xf>
    <xf numFmtId="0" fontId="2" fillId="0" borderId="3" xfId="0" applyFont="1" applyBorder="1" applyAlignment="1">
      <alignment horizontal="left" indent="3" wrapText="1"/>
    </xf>
    <xf numFmtId="0" fontId="2" fillId="0" borderId="3" xfId="0" applyFont="1" applyBorder="1" applyAlignment="1">
      <alignment horizontal="left" wrapText="1"/>
    </xf>
    <xf numFmtId="0" fontId="2" fillId="14" borderId="1" xfId="0" applyFont="1" applyFill="1" applyBorder="1" applyAlignment="1">
      <alignment horizontal="left" vertical="top" indent="3" wrapText="1"/>
    </xf>
    <xf numFmtId="0" fontId="2" fillId="14" borderId="0" xfId="0" applyFont="1" applyFill="1" applyAlignment="1">
      <alignment horizontal="left" vertical="top" indent="3" wrapText="1"/>
    </xf>
    <xf numFmtId="0" fontId="2" fillId="14" borderId="3" xfId="0" applyFont="1" applyFill="1" applyBorder="1" applyAlignment="1">
      <alignment horizontal="left" vertical="top" indent="3" wrapText="1"/>
    </xf>
    <xf numFmtId="0" fontId="2" fillId="0" borderId="4" xfId="0" applyFont="1" applyBorder="1" applyAlignment="1">
      <alignment horizontal="left" indent="3" wrapText="1"/>
    </xf>
    <xf numFmtId="0" fontId="2" fillId="0" borderId="5" xfId="0" applyFont="1" applyBorder="1" applyAlignment="1">
      <alignment horizontal="left" indent="3" wrapText="1"/>
    </xf>
    <xf numFmtId="0" fontId="2" fillId="0" borderId="2" xfId="0" applyFont="1" applyBorder="1" applyAlignment="1">
      <alignment horizontal="left" indent="3" wrapText="1"/>
    </xf>
    <xf numFmtId="4" fontId="2" fillId="0" borderId="0" xfId="0" applyFont="1" applyNumberFormat="1" applyAlignment="1">
      <alignment horizontal="center"/>
    </xf>
    <xf numFmtId="169" fontId="2" fillId="0" borderId="0" xfId="0" applyFont="1" applyNumberFormat="1" applyAlignment="1">
      <alignment horizontal="center"/>
    </xf>
    <xf numFmtId="3" fontId="2" fillId="0" borderId="3" xfId="0" applyFont="1" applyNumberFormat="1" applyBorder="1" applyAlignment="1">
      <alignment horizontal="right"/>
    </xf>
    <xf numFmtId="0" fontId="2" fillId="0" borderId="7" xfId="0" applyFont="1" applyBorder="1" applyAlignment="1">
      <alignment horizontal="center"/>
    </xf>
    <xf numFmtId="168" fontId="2" fillId="0" borderId="7" xfId="0" applyFont="1" applyNumberFormat="1" applyBorder="1" applyAlignment="1">
      <alignment horizontal="center"/>
    </xf>
    <xf numFmtId="0" fontId="12" fillId="14" borderId="4" xfId="0" applyFont="1" applyFill="1" applyBorder="1"/>
    <xf numFmtId="0" fontId="2" fillId="14" borderId="44" xfId="0" applyFont="1" applyFill="1" applyBorder="1" applyAlignment="1">
      <alignment horizontal="center"/>
    </xf>
    <xf numFmtId="0" fontId="2" fillId="14" borderId="2" xfId="0" applyFont="1" applyFill="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0" borderId="1" xfId="0" applyFont="1" applyBorder="1"/>
    <xf numFmtId="168" fontId="2" fillId="0" borderId="0" xfId="0" applyFont="1" applyNumberFormat="1" applyAlignment="1">
      <alignment horizontal="center"/>
    </xf>
    <xf numFmtId="168" fontId="2" fillId="11" borderId="0" xfId="0" applyFont="1" applyNumberFormat="1" applyFill="1" applyAlignment="1">
      <alignment horizontal="center"/>
    </xf>
    <xf numFmtId="168" fontId="2" fillId="11" borderId="3" xfId="0" applyFont="1" applyNumberFormat="1" applyFill="1" applyBorder="1" applyAlignment="1">
      <alignment horizontal="center"/>
    </xf>
    <xf numFmtId="168" fontId="2" fillId="0" borderId="4" xfId="0" applyFont="1" applyNumberFormat="1" applyBorder="1" applyAlignment="1">
      <alignment horizontal="center"/>
    </xf>
    <xf numFmtId="168" fontId="2" fillId="0" borderId="44" xfId="0" applyFont="1" applyNumberFormat="1" applyBorder="1" applyAlignment="1">
      <alignment horizontal="center"/>
    </xf>
    <xf numFmtId="168" fontId="2" fillId="11" borderId="44" xfId="0" applyFont="1" applyNumberFormat="1" applyFill="1" applyBorder="1" applyAlignment="1">
      <alignment horizontal="center"/>
    </xf>
    <xf numFmtId="168" fontId="2" fillId="11" borderId="2" xfId="0" applyFont="1" applyNumberFormat="1" applyFill="1" applyBorder="1" applyAlignment="1">
      <alignment horizontal="center"/>
    </xf>
    <xf numFmtId="169" fontId="2" fillId="11" borderId="7" xfId="0" applyFont="1" applyNumberFormat="1" applyFill="1" applyBorder="1" applyAlignment="1">
      <alignment horizontal="center"/>
    </xf>
    <xf numFmtId="168" fontId="23" fillId="0" borderId="0" xfId="0" applyFont="1" applyNumberFormat="1" applyAlignment="1">
      <alignment horizontal="center"/>
    </xf>
    <xf numFmtId="168" fontId="23" fillId="11" borderId="0" xfId="0" applyFont="1" applyNumberFormat="1" applyFill="1" applyAlignment="1">
      <alignment horizontal="center"/>
    </xf>
    <xf numFmtId="168" fontId="23" fillId="0" borderId="4" xfId="0" applyFont="1" applyNumberFormat="1" applyBorder="1" applyAlignment="1">
      <alignment horizontal="center"/>
    </xf>
    <xf numFmtId="168" fontId="23" fillId="0" borderId="44" xfId="0" applyFont="1" applyNumberFormat="1" applyBorder="1" applyAlignment="1">
      <alignment horizontal="center"/>
    </xf>
    <xf numFmtId="168" fontId="23" fillId="11" borderId="44" xfId="0" applyFont="1" applyNumberFormat="1" applyFill="1" applyBorder="1" applyAlignment="1">
      <alignment horizontal="center"/>
    </xf>
    <xf numFmtId="168" fontId="23" fillId="11" borderId="2" xfId="0" applyFont="1" applyNumberFormat="1" applyFill="1" applyBorder="1" applyAlignment="1">
      <alignment horizontal="center"/>
    </xf>
    <xf numFmtId="168" fontId="23" fillId="0" borderId="3" xfId="0" applyFont="1" applyNumberFormat="1" applyBorder="1" applyAlignment="1">
      <alignment horizontal="center"/>
    </xf>
    <xf numFmtId="168" fontId="2" fillId="0" borderId="8" xfId="0" applyFont="1" applyNumberFormat="1" applyBorder="1" applyAlignment="1">
      <alignment horizontal="center"/>
    </xf>
    <xf numFmtId="168" fontId="23" fillId="7" borderId="0" xfId="0" applyFont="1" applyNumberFormat="1" applyFill="1" applyAlignment="1">
      <alignment horizontal="center"/>
    </xf>
    <xf numFmtId="169" fontId="2" fillId="11" borderId="8" xfId="0" applyFont="1" applyNumberFormat="1" applyFill="1" applyBorder="1" applyAlignment="1">
      <alignment horizontal="center"/>
    </xf>
    <xf numFmtId="169" fontId="2" fillId="0" borderId="3" xfId="0" applyFont="1" applyNumberFormat="1" applyBorder="1" applyAlignment="1">
      <alignment horizontal="center"/>
    </xf>
    <xf numFmtId="168" fontId="1" fillId="0" borderId="0" xfId="0" applyFont="1" applyNumberFormat="1"/>
    <xf numFmtId="169" fontId="2" fillId="0" borderId="7" xfId="0" applyFont="1" applyNumberFormat="1" applyBorder="1" applyAlignment="1">
      <alignment horizontal="center"/>
    </xf>
    <xf numFmtId="0" fontId="2" fillId="0" borderId="4" xfId="0" applyFont="1" applyBorder="1"/>
    <xf numFmtId="0" fontId="23" fillId="0" borderId="1" xfId="0" applyFont="1" applyBorder="1"/>
    <xf numFmtId="168" fontId="23" fillId="7" borderId="2" xfId="0" applyFont="1" applyNumberFormat="1" applyFill="1" applyBorder="1" applyAlignment="1">
      <alignment horizontal="center"/>
    </xf>
    <xf numFmtId="172" fontId="2" fillId="0" borderId="0" xfId="0" applyFont="1" applyNumberFormat="1"/>
    <xf numFmtId="169" fontId="2" fillId="0" borderId="0" xfId="0" applyFont="1" applyNumberFormat="1"/>
    <xf numFmtId="0" fontId="12" fillId="3" borderId="54" xfId="0" applyFont="1" applyFill="1" applyBorder="1"/>
    <xf numFmtId="0" fontId="12" fillId="3" borderId="55" xfId="0" applyFont="1" applyFill="1" applyBorder="1"/>
    <xf numFmtId="0" fontId="12" fillId="3" borderId="56" xfId="0" applyFont="1" applyFill="1" applyBorder="1"/>
    <xf numFmtId="0" fontId="12" fillId="3" borderId="55" xfId="0" applyFont="1" applyFill="1" applyBorder="1" applyAlignment="1">
      <alignment horizontal="center"/>
    </xf>
    <xf numFmtId="0" fontId="12" fillId="3" borderId="56" xfId="0" applyFont="1" applyFill="1" applyBorder="1" applyAlignment="1">
      <alignment horizontal="center"/>
    </xf>
    <xf numFmtId="168" fontId="2" fillId="7" borderId="7" xfId="0" applyFont="1" applyNumberFormat="1" applyFill="1" applyBorder="1" applyAlignment="1">
      <alignment horizontal="center"/>
    </xf>
    <xf numFmtId="168" fontId="2" fillId="7" borderId="8" xfId="0" applyFont="1" applyNumberFormat="1" applyFill="1" applyBorder="1" applyAlignment="1">
      <alignment horizontal="center"/>
    </xf>
    <xf numFmtId="168" fontId="23" fillId="7" borderId="5" xfId="0" applyFont="1" applyNumberFormat="1" applyFill="1" applyBorder="1" applyAlignment="1">
      <alignment horizontal="center"/>
    </xf>
    <xf numFmtId="0" fontId="23" fillId="0" borderId="4" xfId="0" applyFont="1" applyBorder="1"/>
    <xf numFmtId="0" fontId="23" fillId="0" borderId="5" xfId="0" applyFont="1" applyBorder="1"/>
    <xf numFmtId="168" fontId="23" fillId="0" borderId="1" xfId="0" applyFont="1" applyNumberFormat="1" applyBorder="1" applyAlignment="1">
      <alignment horizontal="center"/>
    </xf>
    <xf numFmtId="168" fontId="2" fillId="0" borderId="1" xfId="0" applyFont="1" applyNumberFormat="1" applyBorder="1" applyAlignment="1">
      <alignment horizontal="center"/>
    </xf>
    <xf numFmtId="168" fontId="2" fillId="0" borderId="6" xfId="0" applyFont="1" applyNumberFormat="1" applyBorder="1" applyAlignment="1">
      <alignment horizontal="center"/>
    </xf>
    <xf numFmtId="0" fontId="31" fillId="0" borderId="1" xfId="0" applyFont="1" applyBorder="1" applyAlignment="1">
      <alignment horizontal="left" wrapText="1"/>
    </xf>
    <xf numFmtId="169" fontId="2" fillId="0" borderId="6" xfId="0" applyFont="1" applyNumberFormat="1" applyBorder="1" applyAlignment="1">
      <alignment horizontal="center"/>
    </xf>
    <xf numFmtId="0" fontId="12" fillId="0" borderId="0" xfId="0" applyFont="1" applyAlignment="1">
      <alignment vertical="top" wrapText="1"/>
    </xf>
    <xf numFmtId="169" fontId="2" fillId="0" borderId="8" xfId="0" applyFont="1" applyNumberFormat="1" applyBorder="1" applyAlignment="1">
      <alignment horizontal="center"/>
    </xf>
    <xf numFmtId="169" fontId="2" fillId="7" borderId="7" xfId="0" applyFont="1" applyNumberFormat="1" applyFill="1" applyBorder="1" applyAlignment="1">
      <alignment horizontal="center"/>
    </xf>
    <xf numFmtId="169" fontId="2" fillId="7" borderId="8" xfId="0" applyFont="1" applyNumberFormat="1" applyFill="1" applyBorder="1" applyAlignment="1">
      <alignment horizontal="center"/>
    </xf>
    <xf numFmtId="168" fontId="23" fillId="11" borderId="3" xfId="0" applyFont="1" applyNumberFormat="1" applyFill="1" applyBorder="1" applyAlignment="1">
      <alignment horizontal="center"/>
    </xf>
    <xf numFmtId="0" fontId="32" fillId="0" borderId="0" xfId="0" applyFont="1" applyAlignment="1">
      <alignment horizontal="left" vertical="top" wrapText="1"/>
    </xf>
    <xf numFmtId="2" fontId="2" fillId="0" borderId="0" xfId="0" applyFont="1" applyNumberFormat="1"/>
    <xf numFmtId="2" fontId="2" fillId="0" borderId="0" xfId="0" applyFont="1" applyNumberFormat="1" applyAlignment="1">
      <alignment horizontal="right"/>
    </xf>
    <xf numFmtId="2" fontId="2" fillId="0" borderId="44" xfId="0" applyFont="1" applyNumberFormat="1" applyBorder="1"/>
    <xf numFmtId="2" fontId="2" fillId="0" borderId="44" xfId="0" applyFont="1" applyNumberFormat="1" applyBorder="1" applyAlignment="1">
      <alignment horizontal="right"/>
    </xf>
    <xf numFmtId="3" fontId="2" fillId="0" borderId="44" xfId="0" applyFont="1" applyNumberFormat="1" applyBorder="1" applyAlignment="1">
      <alignment horizontal="right"/>
    </xf>
    <xf numFmtId="3" fontId="2" fillId="0" borderId="2" xfId="0" applyFont="1" applyNumberFormat="1" applyBorder="1" applyAlignment="1">
      <alignment horizontal="right"/>
    </xf>
    <xf numFmtId="168" fontId="2" fillId="17" borderId="0" xfId="0" applyFont="1" applyNumberFormat="1" applyFill="1" applyAlignment="1">
      <alignment horizontal="center"/>
    </xf>
    <xf numFmtId="168" fontId="2" fillId="17" borderId="0" xfId="0" applyFont="1" applyNumberFormat="1" applyFill="1" applyAlignment="1">
      <alignment horizontal="center" wrapText="1"/>
    </xf>
    <xf numFmtId="168" fontId="2" fillId="11" borderId="0" xfId="0" applyFont="1" applyNumberFormat="1" applyFill="1" applyAlignment="1">
      <alignment horizontal="center" wrapText="1"/>
    </xf>
    <xf numFmtId="169" fontId="2" fillId="18" borderId="8" xfId="0" applyFont="1" applyNumberFormat="1" applyFill="1" applyBorder="1" applyAlignment="1">
      <alignment horizontal="center"/>
    </xf>
    <xf numFmtId="169" fontId="2" fillId="18" borderId="7" xfId="0" applyFont="1" applyNumberFormat="1" applyFill="1" applyBorder="1" applyAlignment="1">
      <alignment horizontal="center"/>
    </xf>
    <xf numFmtId="168" fontId="2" fillId="11" borderId="3" xfId="0" applyFont="1" applyNumberFormat="1" applyFill="1" applyBorder="1" applyAlignment="1">
      <alignment horizontal="center" wrapText="1"/>
    </xf>
    <xf numFmtId="168" fontId="2" fillId="12" borderId="0" xfId="0" applyFont="1" applyNumberFormat="1" applyFill="1" applyAlignment="1">
      <alignment horizontal="center" wrapText="1"/>
    </xf>
    <xf numFmtId="0" fontId="1" fillId="17" borderId="0" xfId="0" applyFont="1" applyFill="1"/>
    <xf numFmtId="0" fontId="2" fillId="0" borderId="0" xfId="0" applyFont="1" applyAlignment="1">
      <alignment horizontal="left" indent="4"/>
    </xf>
    <xf numFmtId="0" fontId="12" fillId="0" borderId="1" xfId="0" applyFont="1" applyBorder="1"/>
    <xf numFmtId="169" fontId="2" fillId="0" borderId="7" xfId="0" applyFont="1" applyNumberFormat="1" applyBorder="1"/>
    <xf numFmtId="0" fontId="2" fillId="0" borderId="6" xfId="0" applyFont="1" applyBorder="1" applyAlignment="1">
      <alignment horizontal="left" indent="4"/>
    </xf>
    <xf numFmtId="3" fontId="33" fillId="0" borderId="0" xfId="0" applyFont="1" applyNumberFormat="1"/>
    <xf numFmtId="0" fontId="2" fillId="0" borderId="3" xfId="0" applyFont="1" applyBorder="1"/>
    <xf numFmtId="173" fontId="2" fillId="0" borderId="0" xfId="0" applyFont="1" applyNumberFormat="1"/>
    <xf numFmtId="0" fontId="2" fillId="19" borderId="4" xfId="0" applyFont="1" applyFill="1" applyBorder="1"/>
    <xf numFmtId="0" fontId="2" fillId="19" borderId="5" xfId="0" applyFont="1" applyFill="1" applyBorder="1"/>
    <xf numFmtId="0" fontId="2" fillId="19" borderId="2" xfId="0" applyFont="1" applyFill="1" applyBorder="1"/>
    <xf numFmtId="0" fontId="2" fillId="0" borderId="6" xfId="0" applyFont="1" applyBorder="1" applyAlignment="1">
      <alignment horizontal="right"/>
    </xf>
    <xf numFmtId="0" fontId="2" fillId="17" borderId="1" xfId="0" applyFont="1" applyFill="1" applyBorder="1" applyAlignment="1">
      <alignment horizontal="left" vertical="top" indent="3" wrapText="1"/>
    </xf>
    <xf numFmtId="168" fontId="2" fillId="17" borderId="1" xfId="0" applyFont="1" applyNumberFormat="1" applyFill="1" applyBorder="1" applyAlignment="1">
      <alignment horizontal="center"/>
    </xf>
    <xf numFmtId="168" fontId="2" fillId="12" borderId="3" xfId="0" applyFont="1" applyNumberFormat="1" applyFill="1" applyBorder="1" applyAlignment="1">
      <alignment horizontal="center" wrapText="1"/>
    </xf>
    <xf numFmtId="0" fontId="12" fillId="0" borderId="4" xfId="0" applyFont="1" applyBorder="1"/>
    <xf numFmtId="0" fontId="2" fillId="11" borderId="5" xfId="0" applyFont="1" applyFill="1" applyBorder="1" applyAlignment="1">
      <alignment horizontal="right"/>
    </xf>
    <xf numFmtId="0" fontId="2" fillId="7" borderId="2" xfId="0" applyFont="1" applyFill="1" applyBorder="1"/>
    <xf numFmtId="0" fontId="2" fillId="11" borderId="8" xfId="0" applyFont="1" applyFill="1" applyBorder="1" applyAlignment="1">
      <alignment horizontal="center"/>
    </xf>
    <xf numFmtId="0" fontId="2" fillId="11" borderId="6" xfId="0" applyFont="1" applyFill="1" applyBorder="1" applyAlignment="1">
      <alignment horizontal="center"/>
    </xf>
    <xf numFmtId="0" fontId="2" fillId="11" borderId="7" xfId="0" applyFont="1" applyFill="1" applyBorder="1" applyAlignment="1">
      <alignment horizontal="center"/>
    </xf>
    <xf numFmtId="0" fontId="1" fillId="0" borderId="7" xfId="0" applyFont="1" applyBorder="1" applyAlignment="1">
      <alignment horizontal="center"/>
    </xf>
    <xf numFmtId="0" fontId="23" fillId="0" borderId="0" xfId="0" applyFont="1" applyAlignment="1">
      <alignment horizontal="center"/>
    </xf>
    <xf numFmtId="0" fontId="23" fillId="0" borderId="7" xfId="0" applyFont="1" applyBorder="1" applyAlignment="1">
      <alignment horizontal="center"/>
    </xf>
    <xf numFmtId="0" fontId="1" fillId="0" borderId="8" xfId="0" applyFont="1" applyBorder="1" applyAlignment="1">
      <alignment horizontal="center"/>
    </xf>
    <xf numFmtId="10" fontId="1" fillId="0" borderId="5" xfId="0" applyFont="1" applyNumberFormat="1" applyBorder="1" applyAlignment="1">
      <alignment horizontal="center"/>
    </xf>
    <xf numFmtId="10" fontId="1" fillId="0" borderId="2" xfId="0" applyFont="1" applyNumberFormat="1" applyBorder="1" applyAlignment="1">
      <alignment horizontal="center"/>
    </xf>
    <xf numFmtId="10" fontId="2" fillId="0" borderId="5" xfId="0" applyFont="1" applyNumberFormat="1" applyBorder="1"/>
    <xf numFmtId="10" fontId="2" fillId="0" borderId="4" xfId="0" applyFont="1" applyNumberFormat="1" applyBorder="1"/>
    <xf numFmtId="10" fontId="2" fillId="0" borderId="5" xfId="0" applyFont="1" applyNumberFormat="1" applyBorder="1" applyAlignment="1">
      <alignment horizontal="center"/>
    </xf>
    <xf numFmtId="10" fontId="1" fillId="0" borderId="0" xfId="0" applyFont="1" applyNumberFormat="1" applyAlignment="1">
      <alignment horizontal="center"/>
    </xf>
    <xf numFmtId="10" fontId="1" fillId="0" borderId="3" xfId="0" applyFont="1" applyNumberFormat="1" applyBorder="1" applyAlignment="1">
      <alignment horizontal="center"/>
    </xf>
    <xf numFmtId="1" fontId="1" fillId="0" borderId="7" xfId="0" applyFont="1" applyNumberFormat="1" applyBorder="1" applyAlignment="1">
      <alignment horizontal="center"/>
    </xf>
    <xf numFmtId="0" fontId="12" fillId="14" borderId="0" xfId="0" applyFont="1" applyFill="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2" fillId="0" borderId="7" xfId="0" applyFont="1" applyBorder="1" applyAlignment="1">
      <alignment horizontal="left" vertical="top" wrapText="1"/>
    </xf>
    <xf numFmtId="0" fontId="12" fillId="11" borderId="4" xfId="0" applyFont="1" applyFill="1" applyBorder="1" applyAlignment="1">
      <alignment horizontal="center" wrapText="1"/>
    </xf>
    <xf numFmtId="0" fontId="12" fillId="11" borderId="2" xfId="0" applyFont="1" applyFill="1" applyBorder="1" applyAlignment="1">
      <alignment horizontal="center" wrapText="1"/>
    </xf>
    <xf numFmtId="0" fontId="12" fillId="11" borderId="1" xfId="0" applyFont="1" applyFill="1" applyBorder="1" applyAlignment="1">
      <alignment horizontal="center" wrapText="1"/>
    </xf>
    <xf numFmtId="0" fontId="12" fillId="11" borderId="0" xfId="0" applyFont="1" applyFill="1" applyAlignment="1">
      <alignment horizontal="center" wrapText="1"/>
    </xf>
    <xf numFmtId="168" fontId="2" fillId="11" borderId="8" xfId="0" applyFont="1" applyNumberFormat="1" applyFill="1" applyBorder="1"/>
    <xf numFmtId="0" fontId="2" fillId="0" borderId="6" xfId="0" applyFont="1" applyBorder="1" applyAlignment="1">
      <alignment horizontal="center"/>
    </xf>
    <xf numFmtId="168" fontId="2" fillId="0" borderId="1" xfId="0" applyFont="1" applyNumberFormat="1" applyBorder="1"/>
    <xf numFmtId="168" fontId="12" fillId="0" borderId="0" xfId="0" applyFont="1" applyNumberFormat="1" applyAlignment="1">
      <alignment horizontal="center"/>
    </xf>
    <xf numFmtId="168" fontId="12" fillId="0" borderId="3" xfId="0" applyFont="1" applyNumberFormat="1" applyBorder="1" applyAlignment="1">
      <alignment horizontal="center"/>
    </xf>
    <xf numFmtId="168" fontId="12" fillId="7" borderId="0" xfId="0" applyFont="1" applyNumberFormat="1" applyFill="1" applyAlignment="1">
      <alignment horizontal="center"/>
    </xf>
    <xf numFmtId="168" fontId="12" fillId="7" borderId="3" xfId="0" applyFont="1" applyNumberFormat="1" applyFill="1" applyBorder="1" applyAlignment="1">
      <alignment horizontal="center"/>
    </xf>
    <xf numFmtId="3" fontId="2" fillId="0" borderId="0" xfId="0" applyFont="1" applyNumberFormat="1"/>
    <xf numFmtId="168" fontId="2" fillId="7" borderId="0" xfId="0" applyFont="1" applyNumberFormat="1" applyFill="1" applyAlignment="1">
      <alignment horizontal="center"/>
    </xf>
    <xf numFmtId="168" fontId="2" fillId="7" borderId="3" xfId="0" applyFont="1" applyNumberFormat="1" applyFill="1" applyBorder="1" applyAlignment="1">
      <alignment horizontal="center"/>
    </xf>
    <xf numFmtId="0" fontId="23" fillId="7" borderId="0" xfId="0" applyFont="1" applyFill="1" applyAlignment="1">
      <alignment horizontal="center"/>
    </xf>
    <xf numFmtId="0" fontId="23" fillId="7" borderId="3" xfId="0" applyFont="1" applyFill="1" applyBorder="1" applyAlignment="1">
      <alignment horizontal="center"/>
    </xf>
    <xf numFmtId="0" fontId="2" fillId="11" borderId="0" xfId="0" applyFont="1" applyFill="1"/>
    <xf numFmtId="165" fontId="2" fillId="11" borderId="0" xfId="0" applyFont="1" applyNumberFormat="1" applyFill="1" applyAlignment="1">
      <alignment horizontal="center"/>
    </xf>
    <xf numFmtId="0" fontId="12" fillId="0" borderId="44" xfId="0" applyFont="1" applyBorder="1" applyAlignment="1">
      <alignment horizontal="center"/>
    </xf>
    <xf numFmtId="0" fontId="2" fillId="0" borderId="2" xfId="0" applyFont="1" applyBorder="1" applyAlignment="1">
      <alignment horizontal="center"/>
    </xf>
    <xf numFmtId="168" fontId="2" fillId="0" borderId="3" xfId="0" applyFont="1" applyNumberFormat="1" applyBorder="1" applyAlignment="1">
      <alignment horizontal="center"/>
    </xf>
    <xf numFmtId="165" fontId="2" fillId="11" borderId="3" xfId="0" applyFont="1" applyNumberFormat="1" applyFill="1" applyBorder="1" applyAlignment="1">
      <alignment horizontal="center"/>
    </xf>
    <xf numFmtId="0" fontId="23" fillId="0" borderId="3" xfId="0" applyFont="1" applyBorder="1" applyAlignment="1">
      <alignment horizontal="center"/>
    </xf>
    <xf numFmtId="168" fontId="23" fillId="0" borderId="2" xfId="0" applyFont="1" applyNumberFormat="1" applyBorder="1" applyAlignment="1">
      <alignment horizontal="center"/>
    </xf>
    <xf numFmtId="168" fontId="2" fillId="11" borderId="0" xfId="0" applyFont="1" applyNumberFormat="1" applyFill="1"/>
    <xf numFmtId="168" fontId="2" fillId="3" borderId="0" xfId="0" applyFont="1" applyNumberFormat="1" applyFill="1"/>
    <xf numFmtId="168" fontId="2" fillId="20" borderId="0" xfId="0" applyFont="1" applyNumberFormat="1" applyFill="1"/>
    <xf numFmtId="168" fontId="2" fillId="11" borderId="7" xfId="0" applyFont="1" applyNumberFormat="1" applyFill="1" applyBorder="1"/>
    <xf numFmtId="168" fontId="2" fillId="11" borderId="3" xfId="0" applyFont="1" applyNumberFormat="1" applyFill="1" applyBorder="1"/>
    <xf numFmtId="0" fontId="2" fillId="11" borderId="3" xfId="0" applyFont="1" applyFill="1" applyBorder="1"/>
    <xf numFmtId="0" fontId="23" fillId="0" borderId="1" xfId="0" applyFont="1" applyBorder="1" applyAlignment="1">
      <alignment horizontal="center"/>
    </xf>
    <xf numFmtId="0" fontId="2" fillId="7" borderId="0" xfId="0" applyFont="1" applyFill="1" applyAlignment="1">
      <alignment horizontal="center" wrapText="1"/>
    </xf>
    <xf numFmtId="0" fontId="2" fillId="7" borderId="0" xfId="0" applyFont="1" applyFill="1"/>
    <xf numFmtId="0" fontId="2" fillId="7" borderId="5" xfId="0" applyFont="1" applyFill="1" applyBorder="1"/>
    <xf numFmtId="168" fontId="2" fillId="7" borderId="5" xfId="0" applyFont="1" applyNumberFormat="1" applyFill="1" applyBorder="1" applyAlignment="1">
      <alignment horizontal="center"/>
    </xf>
    <xf numFmtId="168" fontId="23" fillId="7" borderId="3" xfId="0" applyFont="1" applyNumberFormat="1" applyFill="1" applyBorder="1" applyAlignment="1">
      <alignment horizontal="center"/>
    </xf>
    <xf numFmtId="3" fontId="2" fillId="0" borderId="5" xfId="0" applyFont="1" applyNumberFormat="1" applyBorder="1"/>
    <xf numFmtId="3" fontId="2" fillId="0" borderId="2" xfId="0" applyFont="1" applyNumberFormat="1" applyBorder="1"/>
    <xf numFmtId="3" fontId="2" fillId="0" borderId="1" xfId="0" applyFont="1" applyNumberFormat="1" applyBorder="1"/>
    <xf numFmtId="0" fontId="2" fillId="0" borderId="54" xfId="0" applyFont="1" applyBorder="1"/>
    <xf numFmtId="0" fontId="2" fillId="0" borderId="12" xfId="0" applyFont="1" applyBorder="1" applyAlignment="1">
      <alignment horizontal="left" indent="8" wrapText="1"/>
    </xf>
    <xf numFmtId="0" fontId="12" fillId="0" borderId="0" xfId="0" applyFont="1" applyAlignment="1">
      <alignment horizontal="left" indent="1"/>
    </xf>
    <xf numFmtId="0" fontId="2" fillId="0" borderId="0" xfId="0" applyFont="1" applyAlignment="1">
      <alignment horizontal="left" indent="1" wrapText="1"/>
    </xf>
    <xf numFmtId="0" fontId="2" fillId="7" borderId="3" xfId="0" applyFont="1" applyFill="1" applyBorder="1" applyAlignment="1">
      <alignment horizontal="center" wrapText="1"/>
    </xf>
    <xf numFmtId="168" fontId="2" fillId="7" borderId="0" xfId="0" applyFont="1" applyNumberFormat="1" applyFill="1"/>
    <xf numFmtId="168" fontId="2" fillId="15" borderId="0" xfId="0" applyFont="1" applyNumberFormat="1" applyFill="1"/>
    <xf numFmtId="168" fontId="2" fillId="15" borderId="3" xfId="0" applyFont="1" applyNumberFormat="1" applyFill="1" applyBorder="1"/>
    <xf numFmtId="168" fontId="2" fillId="0" borderId="7" xfId="0" applyFont="1" applyNumberFormat="1" applyBorder="1"/>
    <xf numFmtId="168" fontId="2" fillId="7" borderId="7" xfId="0" applyFont="1" applyNumberFormat="1" applyFill="1" applyBorder="1"/>
    <xf numFmtId="168" fontId="2" fillId="0" borderId="6" xfId="0" applyFont="1" applyNumberFormat="1" applyBorder="1"/>
    <xf numFmtId="0" fontId="2" fillId="0" borderId="13" xfId="0" applyFont="1" applyBorder="1"/>
    <xf numFmtId="0" fontId="12" fillId="0" borderId="55" xfId="0" applyFont="1" applyBorder="1"/>
    <xf numFmtId="0" fontId="12" fillId="0" borderId="56" xfId="0" applyFont="1" applyBorder="1"/>
    <xf numFmtId="169" fontId="2" fillId="10" borderId="7" xfId="0" applyFont="1" applyNumberFormat="1" applyFill="1" applyBorder="1"/>
    <xf numFmtId="4" fontId="2" fillId="0" borderId="0" xfId="0" applyFont="1" applyNumberFormat="1"/>
    <xf numFmtId="0" fontId="2" fillId="7" borderId="3" xfId="0" applyFont="1" applyFill="1" applyBorder="1"/>
    <xf numFmtId="168" fontId="2" fillId="3" borderId="3" xfId="0" applyFont="1" applyNumberFormat="1" applyFill="1" applyBorder="1"/>
    <xf numFmtId="3" fontId="2" fillId="0" borderId="3" xfId="0" applyFont="1" applyNumberFormat="1" applyBorder="1"/>
    <xf numFmtId="169" fontId="2" fillId="10" borderId="8" xfId="0" applyFont="1" applyNumberFormat="1" applyFill="1" applyBorder="1"/>
    <xf numFmtId="3" fontId="2" fillId="0" borderId="4" xfId="0" applyFont="1" applyNumberFormat="1" applyBorder="1"/>
    <xf numFmtId="1" fontId="2" fillId="0" borderId="7" xfId="0" applyFont="1" applyNumberFormat="1" applyBorder="1"/>
    <xf numFmtId="0" fontId="12" fillId="0" borderId="2"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168" fontId="1" fillId="0" borderId="59" xfId="0" applyFont="1" applyNumberFormat="1" applyBorder="1" applyAlignment="1">
      <alignment horizontal="center"/>
    </xf>
    <xf numFmtId="168" fontId="1" fillId="0" borderId="60" xfId="0" applyFont="1" applyNumberFormat="1" applyBorder="1" applyAlignment="1">
      <alignment horizontal="center"/>
    </xf>
    <xf numFmtId="1" fontId="1" fillId="0" borderId="61" xfId="0" applyFont="1" applyNumberFormat="1" applyBorder="1" applyAlignment="1">
      <alignment horizontal="center"/>
    </xf>
    <xf numFmtId="1" fontId="1" fillId="0" borderId="59" xfId="0" applyFont="1" applyNumberFormat="1" applyBorder="1" applyAlignment="1">
      <alignment horizontal="center"/>
    </xf>
    <xf numFmtId="1" fontId="1" fillId="0" borderId="60" xfId="0" applyFont="1" applyNumberFormat="1" applyBorder="1" applyAlignment="1">
      <alignment horizontal="center"/>
    </xf>
    <xf numFmtId="0" fontId="12" fillId="11" borderId="9" xfId="0" applyFont="1" applyFill="1" applyBorder="1" applyAlignment="1">
      <alignment horizontal="center" wrapText="1"/>
    </xf>
    <xf numFmtId="0" fontId="12" fillId="11" borderId="10" xfId="0" applyFont="1" applyFill="1" applyBorder="1" applyAlignment="1">
      <alignment horizontal="center" wrapText="1"/>
    </xf>
    <xf numFmtId="0" fontId="12" fillId="11" borderId="44" xfId="0" applyFont="1" applyFill="1" applyBorder="1" applyAlignment="1">
      <alignment horizontal="center" wrapText="1"/>
    </xf>
    <xf numFmtId="0" fontId="34" fillId="0" borderId="7" xfId="0" applyFont="1" applyBorder="1" applyAlignment="1">
      <alignment horizontal="center"/>
    </xf>
    <xf numFmtId="0" fontId="34" fillId="0" borderId="0" xfId="0" applyFont="1" applyAlignment="1">
      <alignment horizontal="center"/>
    </xf>
    <xf numFmtId="0" fontId="12" fillId="0" borderId="54" xfId="0" applyFont="1"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35" fillId="0" borderId="4" xfId="0" applyFont="1" applyBorder="1" applyAlignment="1">
      <alignment wrapText="1"/>
    </xf>
    <xf numFmtId="174" fontId="35" fillId="0" borderId="44" xfId="0" applyFont="1" applyNumberFormat="1" applyBorder="1" applyAlignment="1">
      <alignment horizontal="center"/>
    </xf>
    <xf numFmtId="174" fontId="35" fillId="0" borderId="2" xfId="0" applyFont="1" applyNumberFormat="1" applyBorder="1" applyAlignment="1">
      <alignment horizontal="center"/>
    </xf>
    <xf numFmtId="174" fontId="35" fillId="7" borderId="44" xfId="0" applyFont="1" applyNumberFormat="1" applyFill="1" applyBorder="1" applyAlignment="1">
      <alignment horizontal="center"/>
    </xf>
    <xf numFmtId="174" fontId="35" fillId="7" borderId="2" xfId="0" applyFont="1" applyNumberFormat="1" applyFill="1" applyBorder="1" applyAlignment="1">
      <alignment horizontal="center"/>
    </xf>
    <xf numFmtId="1" fontId="28" fillId="0" borderId="0" xfId="0" applyFont="1" applyNumberFormat="1" applyAlignment="1">
      <alignment horizontal="center"/>
    </xf>
    <xf numFmtId="1" fontId="2" fillId="0" borderId="0" xfId="0" applyFont="1" applyNumberFormat="1" applyAlignment="1">
      <alignment horizontal="center"/>
    </xf>
    <xf numFmtId="0" fontId="28" fillId="0" borderId="4" xfId="0" applyFont="1" applyBorder="1" applyAlignment="1">
      <alignment wrapText="1"/>
    </xf>
    <xf numFmtId="1" fontId="28" fillId="0" borderId="44" xfId="0" applyFont="1" applyNumberFormat="1" applyBorder="1" applyAlignment="1">
      <alignment horizontal="center"/>
    </xf>
    <xf numFmtId="0" fontId="28" fillId="0" borderId="6" xfId="0" applyFont="1" applyBorder="1"/>
    <xf numFmtId="1" fontId="28" fillId="0" borderId="7" xfId="0" applyFont="1" applyNumberFormat="1" applyBorder="1" applyAlignment="1">
      <alignment horizontal="center"/>
    </xf>
    <xf numFmtId="37" fontId="2" fillId="0" borderId="0" xfId="0" applyFont="1" applyNumberFormat="1" applyAlignment="1">
      <alignment horizontal="center" wrapText="1"/>
    </xf>
    <xf numFmtId="37" fontId="2" fillId="0" borderId="1" xfId="0" applyFont="1" applyNumberFormat="1" applyBorder="1" applyAlignment="1">
      <alignment horizontal="center" wrapText="1"/>
    </xf>
    <xf numFmtId="37" fontId="2" fillId="0" borderId="3" xfId="0" applyFont="1" applyNumberFormat="1" applyBorder="1" applyAlignment="1">
      <alignment horizontal="center" wrapText="1"/>
    </xf>
    <xf numFmtId="3" fontId="2" fillId="0" borderId="6" xfId="0" applyFont="1" applyNumberFormat="1" applyBorder="1" applyAlignment="1">
      <alignment horizontal="center"/>
    </xf>
    <xf numFmtId="0" fontId="12" fillId="0" borderId="14" xfId="0" applyFont="1" applyBorder="1"/>
    <xf numFmtId="174" fontId="35" fillId="16" borderId="44" xfId="0" applyFont="1" applyNumberFormat="1" applyFill="1" applyBorder="1" applyAlignment="1">
      <alignment horizontal="center"/>
    </xf>
    <xf numFmtId="1" fontId="2" fillId="0" borderId="0" xfId="0" applyFont="1" applyNumberFormat="1" applyAlignment="1">
      <alignment horizontal="center" vertical="center"/>
    </xf>
    <xf numFmtId="1" fontId="2" fillId="7" borderId="44" xfId="0" applyFont="1" applyNumberFormat="1" applyFill="1" applyBorder="1"/>
    <xf numFmtId="1" fontId="2" fillId="7" borderId="2" xfId="0" applyFont="1" applyNumberFormat="1" applyFill="1" applyBorder="1"/>
    <xf numFmtId="1" fontId="2" fillId="0" borderId="3" xfId="0" applyFont="1" applyNumberFormat="1" applyBorder="1"/>
    <xf numFmtId="1" fontId="2" fillId="0" borderId="7" xfId="0" applyFont="1" applyNumberFormat="1" applyBorder="1" applyAlignment="1">
      <alignment horizontal="center" vertical="center"/>
    </xf>
    <xf numFmtId="1" fontId="2" fillId="0" borderId="8" xfId="0" applyFont="1" applyNumberFormat="1" applyBorder="1"/>
    <xf numFmtId="169" fontId="2" fillId="0" borderId="44" xfId="0" applyFont="1" applyNumberFormat="1" applyBorder="1"/>
    <xf numFmtId="1" fontId="2" fillId="7" borderId="7" xfId="0" applyFont="1" applyNumberFormat="1" applyFill="1" applyBorder="1"/>
    <xf numFmtId="1" fontId="2" fillId="7" borderId="8" xfId="0" applyFont="1" applyNumberFormat="1" applyFill="1" applyBorder="1"/>
    <xf numFmtId="1" fontId="2" fillId="7" borderId="6" xfId="0" applyFont="1" applyNumberFormat="1" applyFill="1" applyBorder="1"/>
    <xf numFmtId="169" fontId="2" fillId="0" borderId="1" xfId="0" applyFont="1" applyNumberFormat="1" applyBorder="1" applyAlignment="1">
      <alignment horizontal="center"/>
    </xf>
    <xf numFmtId="168" fontId="23" fillId="0" borderId="0" xfId="0" applyFont="1" applyNumberFormat="1"/>
    <xf numFmtId="1" fontId="2" fillId="0" borderId="0" xfId="0" applyFont="1" applyNumberFormat="1" applyAlignment="1">
      <alignment horizontal="center" vertical="top" wrapText="1"/>
    </xf>
    <xf numFmtId="1" fontId="2" fillId="7" borderId="0" xfId="0" applyFont="1" applyNumberFormat="1" applyFill="1" applyAlignment="1">
      <alignment horizontal="center"/>
    </xf>
    <xf numFmtId="167" fontId="2" fillId="0" borderId="0" xfId="0" applyFont="1" applyNumberFormat="1" applyAlignment="1">
      <alignment horizontal="center"/>
    </xf>
    <xf numFmtId="167" fontId="2" fillId="7" borderId="0" xfId="0" applyFont="1" applyNumberFormat="1" applyFill="1" applyAlignment="1">
      <alignment horizontal="center"/>
    </xf>
    <xf numFmtId="1" fontId="2" fillId="7" borderId="4" xfId="0" applyFont="1" applyNumberFormat="1" applyFill="1" applyBorder="1" applyAlignment="1">
      <alignment horizontal="center"/>
    </xf>
    <xf numFmtId="1" fontId="2" fillId="7" borderId="2" xfId="0" applyFont="1" applyNumberFormat="1" applyFill="1" applyBorder="1" applyAlignment="1">
      <alignment horizontal="center"/>
    </xf>
    <xf numFmtId="1" fontId="2" fillId="7" borderId="44" xfId="0" applyFont="1" applyNumberFormat="1" applyFill="1" applyBorder="1" applyAlignment="1">
      <alignment horizontal="center"/>
    </xf>
    <xf numFmtId="174" fontId="35" fillId="0" borderId="55" xfId="0" applyFont="1" applyNumberFormat="1" applyBorder="1" applyAlignment="1">
      <alignment horizontal="center"/>
    </xf>
    <xf numFmtId="168" fontId="2" fillId="0" borderId="1" xfId="0" applyFont="1" applyNumberFormat="1" applyBorder="1" applyAlignment="1">
      <alignment horizontal="center" vertical="top" wrapText="1"/>
    </xf>
    <xf numFmtId="168" fontId="2" fillId="0" borderId="0" xfId="0" applyFont="1" applyNumberFormat="1" applyAlignment="1">
      <alignment horizontal="center" vertical="top" wrapText="1"/>
    </xf>
    <xf numFmtId="168" fontId="2" fillId="0" borderId="3" xfId="0" applyFont="1" applyNumberFormat="1" applyBorder="1" applyAlignment="1">
      <alignment horizontal="center" vertical="top" wrapText="1"/>
    </xf>
    <xf numFmtId="167" fontId="2" fillId="0" borderId="0" xfId="0" applyFont="1" applyNumberFormat="1"/>
    <xf numFmtId="1" fontId="23" fillId="7" borderId="3" xfId="0" applyFont="1" applyNumberFormat="1" applyFill="1" applyBorder="1" applyAlignment="1">
      <alignment horizontal="center" vertical="top" wrapText="1"/>
    </xf>
    <xf numFmtId="174" fontId="35" fillId="0" borderId="54" xfId="0" applyFont="1" applyNumberFormat="1" applyBorder="1" applyAlignment="1">
      <alignment horizontal="center"/>
    </xf>
    <xf numFmtId="174" fontId="35" fillId="0" borderId="4" xfId="0" applyFont="1" applyNumberFormat="1" applyBorder="1" applyAlignment="1">
      <alignment horizontal="center"/>
    </xf>
    <xf numFmtId="174" fontId="35" fillId="0" borderId="5" xfId="0" applyFont="1" applyNumberFormat="1" applyBorder="1" applyAlignment="1">
      <alignment horizontal="center"/>
    </xf>
    <xf numFmtId="168" fontId="2" fillId="0" borderId="44" xfId="0" applyFont="1" applyNumberFormat="1" applyBorder="1" applyAlignment="1">
      <alignment horizontal="right" vertical="top" wrapText="1"/>
    </xf>
    <xf numFmtId="1" fontId="23" fillId="0" borderId="0" xfId="0" applyFont="1" applyNumberFormat="1" applyAlignment="1">
      <alignment horizontal="center" vertical="top" wrapText="1"/>
    </xf>
    <xf numFmtId="168" fontId="2" fillId="11" borderId="0" xfId="0" applyFont="1" applyNumberFormat="1" applyFill="1" applyAlignment="1">
      <alignment horizontal="center" vertical="top" wrapText="1"/>
    </xf>
    <xf numFmtId="1" fontId="2" fillId="7" borderId="0" xfId="0" applyFont="1" applyNumberFormat="1" applyFill="1" applyAlignment="1">
      <alignment horizontal="center" vertical="top" wrapText="1"/>
    </xf>
    <xf numFmtId="168" fontId="23" fillId="0" borderId="0" xfId="0" applyFont="1" applyNumberFormat="1" applyAlignment="1">
      <alignment horizontal="center" vertical="top" wrapText="1"/>
    </xf>
    <xf numFmtId="1" fontId="23" fillId="7" borderId="0" xfId="0" applyFont="1" applyNumberFormat="1" applyFill="1" applyAlignment="1">
      <alignment horizontal="center" vertical="top" wrapText="1"/>
    </xf>
    <xf numFmtId="168" fontId="23" fillId="16" borderId="0" xfId="0" applyFont="1" applyNumberFormat="1" applyFill="1" applyAlignment="1">
      <alignment horizontal="center" vertical="top" wrapText="1"/>
    </xf>
    <xf numFmtId="168" fontId="2" fillId="7" borderId="0" xfId="0" applyFont="1" applyNumberFormat="1" applyFill="1" applyAlignment="1">
      <alignment horizontal="center" vertical="top" wrapText="1"/>
    </xf>
    <xf numFmtId="168" fontId="2" fillId="16" borderId="0" xfId="0" applyFont="1" applyNumberFormat="1" applyFill="1" applyAlignment="1">
      <alignment horizontal="center" vertical="top" wrapText="1"/>
    </xf>
    <xf numFmtId="168" fontId="2" fillId="7" borderId="4" xfId="0" applyFont="1" applyNumberFormat="1" applyFill="1" applyBorder="1" applyAlignment="1">
      <alignment horizontal="right" vertical="top" wrapText="1"/>
    </xf>
    <xf numFmtId="168" fontId="2" fillId="7" borderId="44" xfId="0" applyFont="1" applyNumberFormat="1" applyFill="1" applyBorder="1" applyAlignment="1">
      <alignment horizontal="right" vertical="top" wrapText="1"/>
    </xf>
    <xf numFmtId="168" fontId="2" fillId="7" borderId="2" xfId="0" applyFont="1" applyNumberFormat="1" applyFill="1" applyBorder="1" applyAlignment="1">
      <alignment horizontal="right" vertical="top" wrapText="1"/>
    </xf>
    <xf numFmtId="1" fontId="23" fillId="7" borderId="1" xfId="0" applyFont="1" applyNumberFormat="1" applyFill="1" applyBorder="1" applyAlignment="1">
      <alignment horizontal="center" vertical="top" wrapText="1"/>
    </xf>
    <xf numFmtId="1" fontId="2" fillId="7" borderId="1" xfId="0" applyFont="1" applyNumberFormat="1" applyFill="1" applyBorder="1" applyAlignment="1">
      <alignment horizontal="center" vertical="top" wrapText="1"/>
    </xf>
    <xf numFmtId="168" fontId="23" fillId="16" borderId="1" xfId="0" applyFont="1" applyNumberFormat="1" applyFill="1" applyBorder="1" applyAlignment="1">
      <alignment horizontal="center" vertical="top" wrapText="1"/>
    </xf>
    <xf numFmtId="168" fontId="2" fillId="7" borderId="1" xfId="0" applyFont="1" applyNumberFormat="1" applyFill="1" applyBorder="1" applyAlignment="1">
      <alignment horizontal="center" wrapText="1"/>
    </xf>
    <xf numFmtId="168" fontId="2" fillId="7" borderId="1" xfId="0" applyFont="1" applyNumberFormat="1" applyFill="1" applyBorder="1" applyAlignment="1">
      <alignment horizontal="center" vertical="top" wrapText="1"/>
    </xf>
    <xf numFmtId="168" fontId="2" fillId="7" borderId="3" xfId="0" applyFont="1" applyNumberFormat="1" applyFill="1" applyBorder="1" applyAlignment="1">
      <alignment horizontal="center" vertical="top" wrapText="1"/>
    </xf>
    <xf numFmtId="168" fontId="2" fillId="21" borderId="1" xfId="0" applyFont="1" applyNumberFormat="1" applyFill="1" applyBorder="1" applyAlignment="1">
      <alignment horizontal="center" vertical="top" wrapText="1"/>
    </xf>
    <xf numFmtId="168" fontId="2" fillId="16" borderId="3" xfId="0" applyFont="1" applyNumberFormat="1" applyFill="1" applyBorder="1" applyAlignment="1">
      <alignment horizontal="center" vertical="top" wrapText="1"/>
    </xf>
    <xf numFmtId="168" fontId="36" fillId="7" borderId="6" xfId="0" applyFont="1" applyNumberFormat="1" applyFill="1" applyBorder="1" applyAlignment="1">
      <alignment horizontal="center"/>
    </xf>
    <xf numFmtId="168" fontId="2" fillId="0" borderId="4" xfId="0" applyFont="1" applyNumberFormat="1" applyBorder="1" applyAlignment="1">
      <alignment horizontal="right" vertical="top" wrapText="1"/>
    </xf>
    <xf numFmtId="168" fontId="2" fillId="0" borderId="2" xfId="0" applyFont="1" applyNumberFormat="1" applyBorder="1" applyAlignment="1">
      <alignment horizontal="right" vertical="top" wrapText="1"/>
    </xf>
    <xf numFmtId="168" fontId="2" fillId="16" borderId="4" xfId="0" applyFont="1" applyNumberFormat="1" applyFill="1" applyBorder="1" applyAlignment="1">
      <alignment horizontal="right" vertical="top" wrapText="1"/>
    </xf>
    <xf numFmtId="168" fontId="2" fillId="16" borderId="44" xfId="0" applyFont="1" applyNumberFormat="1" applyFill="1" applyBorder="1" applyAlignment="1">
      <alignment horizontal="right" vertical="top" wrapText="1"/>
    </xf>
    <xf numFmtId="168" fontId="2" fillId="16" borderId="2" xfId="0" applyFont="1" applyNumberFormat="1" applyFill="1" applyBorder="1" applyAlignment="1">
      <alignment horizontal="right" vertical="top" wrapText="1"/>
    </xf>
    <xf numFmtId="0" fontId="2" fillId="0" borderId="1" xfId="0" applyFont="1" applyBorder="1" applyAlignment="1">
      <alignment horizontal="left" indent="1"/>
    </xf>
    <xf numFmtId="9" fontId="2" fillId="0" borderId="0" xfId="0" applyFont="1" applyNumberFormat="1"/>
    <xf numFmtId="9" fontId="2" fillId="0" borderId="3" xfId="0" applyFont="1" applyNumberFormat="1" applyBorder="1"/>
    <xf numFmtId="10" fontId="2" fillId="0" borderId="0" xfId="0" applyFont="1" applyNumberFormat="1"/>
    <xf numFmtId="0" fontId="2" fillId="0" borderId="6" xfId="0" applyFont="1" applyBorder="1" applyAlignment="1">
      <alignment horizontal="left" indent="1"/>
    </xf>
    <xf numFmtId="9" fontId="2" fillId="0" borderId="7" xfId="0" applyFont="1" applyNumberFormat="1" applyBorder="1"/>
    <xf numFmtId="9" fontId="2" fillId="0" borderId="8" xfId="0" applyFont="1" applyNumberFormat="1" applyBorder="1"/>
    <xf numFmtId="2" fontId="2" fillId="0" borderId="1" xfId="0" applyFont="1" applyNumberFormat="1" applyBorder="1" applyAlignment="1">
      <alignment horizontal="center"/>
    </xf>
    <xf numFmtId="2" fontId="2" fillId="0" borderId="6" xfId="0" applyFont="1" applyNumberFormat="1" applyBorder="1" applyAlignment="1">
      <alignment horizontal="center"/>
    </xf>
    <xf numFmtId="2" fontId="2" fillId="0" borderId="7" xfId="0" applyFont="1" applyNumberFormat="1" applyBorder="1" applyAlignment="1">
      <alignment horizontal="center"/>
    </xf>
    <xf numFmtId="167" fontId="2" fillId="0" borderId="6" xfId="0" applyFont="1" applyNumberFormat="1" applyBorder="1" applyAlignment="1">
      <alignment horizontal="center"/>
    </xf>
    <xf numFmtId="167" fontId="2" fillId="0" borderId="7" xfId="0" applyFont="1" applyNumberFormat="1" applyBorder="1" applyAlignment="1">
      <alignment horizontal="center"/>
    </xf>
    <xf numFmtId="167" fontId="2" fillId="0" borderId="8" xfId="0" applyFont="1" applyNumberFormat="1" applyBorder="1" applyAlignment="1">
      <alignment horizontal="center"/>
    </xf>
    <xf numFmtId="1" fontId="2" fillId="7" borderId="3" xfId="0" applyFont="1" applyNumberFormat="1" applyFill="1" applyBorder="1" applyAlignment="1">
      <alignment horizontal="center"/>
    </xf>
    <xf numFmtId="1" fontId="2" fillId="0" borderId="1" xfId="0" applyFont="1" applyNumberFormat="1" applyBorder="1" applyAlignment="1">
      <alignment horizontal="center"/>
    </xf>
    <xf numFmtId="0" fontId="1" fillId="0" borderId="4" xfId="0" applyFont="1" applyBorder="1"/>
    <xf numFmtId="1" fontId="2" fillId="11" borderId="0" xfId="0" applyFont="1" applyNumberFormat="1" applyFill="1" applyAlignment="1">
      <alignment horizontal="center"/>
    </xf>
    <xf numFmtId="168" fontId="2" fillId="0" borderId="0" xfId="0" applyFont="1" applyNumberFormat="1" applyAlignment="1">
      <alignment horizontal="right" vertical="top" wrapText="1"/>
    </xf>
    <xf numFmtId="168" fontId="23" fillId="11" borderId="0" xfId="0" applyFont="1" applyNumberFormat="1" applyFill="1" applyAlignment="1">
      <alignment horizontal="center" vertical="top" wrapText="1"/>
    </xf>
    <xf numFmtId="9" fontId="2" fillId="0" borderId="0" xfId="0" applyFont="1" applyNumberFormat="1" applyAlignment="1">
      <alignment horizontal="right" vertical="top" wrapText="1"/>
    </xf>
    <xf numFmtId="168" fontId="36" fillId="7" borderId="8" xfId="0" applyFont="1" applyNumberFormat="1" applyFill="1" applyBorder="1" applyAlignment="1">
      <alignment horizontal="center"/>
    </xf>
    <xf numFmtId="1" fontId="2" fillId="0" borderId="2" xfId="0" applyFont="1" applyNumberFormat="1" applyBorder="1" applyAlignment="1">
      <alignment horizontal="center"/>
    </xf>
    <xf numFmtId="1" fontId="2" fillId="0" borderId="3" xfId="0" applyFont="1" applyNumberFormat="1" applyBorder="1" applyAlignment="1">
      <alignment horizontal="center"/>
    </xf>
    <xf numFmtId="1" fontId="2" fillId="0" borderId="8" xfId="0" applyFont="1" applyNumberFormat="1" applyBorder="1" applyAlignment="1">
      <alignment horizontal="center"/>
    </xf>
    <xf numFmtId="167" fontId="2" fillId="11" borderId="0" xfId="0" applyFont="1" applyNumberFormat="1" applyFill="1" applyAlignment="1">
      <alignment horizontal="center"/>
    </xf>
    <xf numFmtId="167" fontId="2" fillId="0" borderId="44" xfId="0" applyFont="1" applyNumberFormat="1" applyBorder="1" applyAlignment="1">
      <alignment horizontal="center"/>
    </xf>
    <xf numFmtId="0" fontId="2" fillId="0" borderId="5" xfId="0" applyFont="1" applyBorder="1" applyAlignment="1">
      <alignment horizontal="center"/>
    </xf>
    <xf numFmtId="167" fontId="2" fillId="0" borderId="2" xfId="0" applyFont="1" applyNumberFormat="1" applyBorder="1" applyAlignment="1">
      <alignment horizontal="center"/>
    </xf>
    <xf numFmtId="167" fontId="2" fillId="0" borderId="3" xfId="0" applyFont="1" applyNumberFormat="1" applyBorder="1" applyAlignment="1">
      <alignment horizontal="center"/>
    </xf>
    <xf numFmtId="168" fontId="23" fillId="0" borderId="3" xfId="0" applyFont="1" applyNumberFormat="1" applyBorder="1" applyAlignment="1">
      <alignment horizontal="center" vertical="top" wrapText="1"/>
    </xf>
    <xf numFmtId="168" fontId="2" fillId="0" borderId="3" xfId="0" applyFont="1" applyNumberFormat="1" applyBorder="1" applyAlignment="1">
      <alignment horizontal="right" vertical="top" wrapText="1"/>
    </xf>
    <xf numFmtId="0" fontId="2" fillId="0" borderId="6" xfId="0" applyFont="1" applyBorder="1" applyAlignment="1">
      <alignment horizontal="left" indent="2"/>
    </xf>
    <xf numFmtId="167" fontId="2" fillId="0" borderId="5" xfId="0" applyFont="1" applyNumberFormat="1" applyBorder="1" applyAlignment="1">
      <alignment horizontal="center"/>
    </xf>
    <xf numFmtId="167" fontId="2" fillId="7" borderId="5" xfId="0" applyFont="1" applyNumberFormat="1" applyFill="1" applyBorder="1" applyAlignment="1">
      <alignment horizontal="center"/>
    </xf>
    <xf numFmtId="167" fontId="2" fillId="7" borderId="2" xfId="0" applyFont="1" applyNumberFormat="1" applyFill="1" applyBorder="1" applyAlignment="1">
      <alignment horizontal="center"/>
    </xf>
    <xf numFmtId="167" fontId="2" fillId="7" borderId="3" xfId="0" applyFont="1" applyNumberFormat="1" applyFill="1" applyBorder="1" applyAlignment="1">
      <alignment horizontal="center"/>
    </xf>
    <xf numFmtId="167" fontId="2" fillId="7" borderId="7" xfId="0" applyFont="1" applyNumberFormat="1" applyFill="1" applyBorder="1" applyAlignment="1">
      <alignment horizontal="center"/>
    </xf>
    <xf numFmtId="167" fontId="2" fillId="7" borderId="8" xfId="0" applyFont="1" applyNumberFormat="1" applyFill="1" applyBorder="1" applyAlignment="1">
      <alignment horizontal="center"/>
    </xf>
    <xf numFmtId="9" fontId="2" fillId="7" borderId="0" xfId="0" applyFont="1" applyNumberFormat="1" applyFill="1" applyAlignment="1">
      <alignment horizontal="center"/>
    </xf>
    <xf numFmtId="168" fontId="23" fillId="11" borderId="7" xfId="0" applyFont="1" applyNumberFormat="1" applyFill="1" applyBorder="1" applyAlignment="1">
      <alignment horizontal="center" vertical="top" wrapText="1"/>
    </xf>
    <xf numFmtId="168" fontId="2" fillId="11" borderId="3" xfId="0" applyFont="1" applyNumberFormat="1" applyFill="1" applyBorder="1" applyAlignment="1">
      <alignment horizontal="center" vertical="top" wrapText="1"/>
    </xf>
    <xf numFmtId="167" fontId="2" fillId="11" borderId="3" xfId="0" applyFont="1" applyNumberFormat="1" applyFill="1" applyBorder="1" applyAlignment="1">
      <alignment horizontal="center"/>
    </xf>
    <xf numFmtId="1" fontId="2" fillId="11" borderId="3" xfId="0" applyFont="1" applyNumberFormat="1" applyFill="1" applyBorder="1" applyAlignment="1">
      <alignment horizontal="center"/>
    </xf>
    <xf numFmtId="167" fontId="2" fillId="11" borderId="7" xfId="0" applyFont="1" applyNumberFormat="1" applyFill="1" applyBorder="1" applyAlignment="1">
      <alignment horizontal="center"/>
    </xf>
    <xf numFmtId="168" fontId="23" fillId="0" borderId="7" xfId="0" applyFont="1" applyNumberFormat="1" applyBorder="1" applyAlignment="1">
      <alignment horizontal="center" vertical="top" wrapText="1"/>
    </xf>
    <xf numFmtId="1" fontId="2" fillId="0" borderId="7" xfId="0" applyFont="1" applyNumberFormat="1" applyBorder="1" applyAlignment="1">
      <alignment horizontal="center"/>
    </xf>
    <xf numFmtId="167" fontId="2" fillId="0" borderId="1" xfId="0" applyFont="1" applyNumberFormat="1" applyBorder="1" applyAlignment="1">
      <alignment horizontal="center"/>
    </xf>
    <xf numFmtId="1" fontId="2" fillId="7" borderId="7" xfId="0" applyFont="1" applyNumberFormat="1" applyFill="1" applyBorder="1" applyAlignment="1">
      <alignment horizontal="center"/>
    </xf>
    <xf numFmtId="1" fontId="2" fillId="7" borderId="8" xfId="0" applyFont="1" applyNumberFormat="1" applyFill="1" applyBorder="1" applyAlignment="1">
      <alignment horizontal="center"/>
    </xf>
    <xf numFmtId="0" fontId="26" fillId="0" borderId="0" xfId="0" applyFont="1" applyAlignment="1">
      <alignment horizontal="center" vertical="top" wrapText="1"/>
    </xf>
    <xf numFmtId="1" fontId="2" fillId="7" borderId="3" xfId="0" applyFont="1" applyNumberFormat="1" applyFill="1" applyBorder="1" applyAlignment="1">
      <alignment horizontal="center" vertical="top" wrapText="1"/>
    </xf>
    <xf numFmtId="0" fontId="28" fillId="0" borderId="62" xfId="0" applyFont="1" applyBorder="1" applyAlignment="1">
      <alignment horizontal="left" indent="2"/>
    </xf>
    <xf numFmtId="0" fontId="23" fillId="0" borderId="0" xfId="0" applyFont="1" applyAlignment="1">
      <alignment horizontal="center" vertical="top" wrapText="1"/>
    </xf>
    <xf numFmtId="3" fontId="23" fillId="0" borderId="0" xfId="0" applyFont="1" applyNumberFormat="1" applyAlignment="1">
      <alignment horizontal="center" vertical="top" wrapText="1"/>
    </xf>
    <xf numFmtId="168" fontId="36" fillId="7" borderId="7" xfId="0" applyFont="1" applyNumberFormat="1" applyFill="1" applyBorder="1" applyAlignment="1">
      <alignment horizontal="center"/>
    </xf>
    <xf numFmtId="2" fontId="2" fillId="0" borderId="4" xfId="0" applyFont="1" applyNumberFormat="1" applyBorder="1" applyAlignment="1">
      <alignment horizontal="center"/>
    </xf>
    <xf numFmtId="2" fontId="2" fillId="0" borderId="5" xfId="0" applyFont="1" applyNumberFormat="1" applyBorder="1" applyAlignment="1">
      <alignment horizontal="center"/>
    </xf>
    <xf numFmtId="2" fontId="2" fillId="0" borderId="2" xfId="0" applyFont="1" applyNumberFormat="1" applyBorder="1" applyAlignment="1">
      <alignment horizontal="center"/>
    </xf>
    <xf numFmtId="167" fontId="2" fillId="0" borderId="4" xfId="0" applyFont="1" applyNumberFormat="1" applyBorder="1" applyAlignment="1">
      <alignment horizontal="center"/>
    </xf>
    <xf numFmtId="0" fontId="23" fillId="0" borderId="0" xfId="0" applyFont="1" applyAlignment="1">
      <alignment horizontal="left" vertical="top" wrapText="1"/>
    </xf>
    <xf numFmtId="0" fontId="35" fillId="0" borderId="4" xfId="0" applyFont="1" applyBorder="1" applyAlignment="1">
      <alignment horizontal="left"/>
    </xf>
    <xf numFmtId="168" fontId="23" fillId="16" borderId="3" xfId="0" applyFont="1" applyNumberFormat="1" applyFill="1" applyBorder="1" applyAlignment="1">
      <alignment horizontal="center" vertical="top" wrapText="1"/>
    </xf>
    <xf numFmtId="0" fontId="28" fillId="0" borderId="63" xfId="0" applyFont="1" applyBorder="1" applyAlignment="1">
      <alignment horizontal="left" indent="2"/>
    </xf>
    <xf numFmtId="165" fontId="2" fillId="0" borderId="64" xfId="0" applyFont="1" applyNumberFormat="1" applyBorder="1" applyAlignment="1">
      <alignment horizontal="center" vertical="top" wrapText="1"/>
    </xf>
    <xf numFmtId="1" fontId="2" fillId="7" borderId="64" xfId="0" applyFont="1" applyNumberFormat="1" applyFill="1" applyBorder="1" applyAlignment="1">
      <alignment horizontal="center" vertical="top" wrapText="1"/>
    </xf>
    <xf numFmtId="3" fontId="2" fillId="0" borderId="59" xfId="0" applyFont="1" applyNumberFormat="1" applyBorder="1" applyAlignment="1">
      <alignment horizontal="center" vertical="top" wrapText="1"/>
    </xf>
    <xf numFmtId="174" fontId="28" fillId="0" borderId="0" xfId="0" applyFont="1" applyNumberFormat="1" applyAlignment="1">
      <alignment horizontal="center"/>
    </xf>
    <xf numFmtId="0" fontId="2" fillId="0" borderId="4" xfId="0" applyFont="1" applyBorder="1" applyAlignment="1">
      <alignment horizontal="left" indent="1"/>
    </xf>
    <xf numFmtId="0" fontId="35" fillId="0" borderId="1" xfId="0" applyFont="1" applyBorder="1" applyAlignment="1">
      <alignment horizontal="left" wrapText="1"/>
    </xf>
    <xf numFmtId="43" fontId="28" fillId="0" borderId="0" xfId="0" applyFont="1" applyNumberFormat="1"/>
    <xf numFmtId="0" fontId="2" fillId="0" borderId="1" xfId="0" applyFont="1" applyBorder="1" applyAlignment="1">
      <alignment horizontal="left" indent="2"/>
    </xf>
    <xf numFmtId="0" fontId="37" fillId="0" borderId="0" xfId="0" applyFont="1"/>
    <xf numFmtId="0" fontId="28" fillId="0" borderId="0" xfId="0" applyFont="1"/>
    <xf numFmtId="0" fontId="35" fillId="0" borderId="0" xfId="0" applyFont="1"/>
    <xf numFmtId="0" fontId="38" fillId="0" borderId="1" xfId="0" applyFont="1" applyBorder="1" applyAlignment="1">
      <alignment horizontal="left"/>
    </xf>
    <xf numFmtId="174" fontId="28" fillId="0" borderId="3" xfId="0" applyFont="1" applyNumberFormat="1" applyBorder="1" applyAlignment="1">
      <alignment horizontal="center"/>
    </xf>
    <xf numFmtId="167" fontId="23" fillId="0" borderId="0" xfId="0" applyFont="1" applyNumberFormat="1"/>
    <xf numFmtId="0" fontId="23" fillId="0" borderId="6" xfId="0" applyFont="1" applyBorder="1" applyAlignment="1">
      <alignment horizontal="left" vertical="top" wrapText="1"/>
    </xf>
    <xf numFmtId="0" fontId="12" fillId="0" borderId="57" xfId="0" applyFont="1" applyBorder="1"/>
    <xf numFmtId="0" fontId="2" fillId="0" borderId="12" xfId="0" applyFont="1" applyBorder="1" applyAlignment="1">
      <alignment horizontal="left" indent="1"/>
    </xf>
    <xf numFmtId="0" fontId="2" fillId="0" borderId="13" xfId="0" applyFont="1" applyBorder="1" applyAlignment="1">
      <alignment horizontal="left" indent="1"/>
    </xf>
    <xf numFmtId="0" fontId="28" fillId="0" borderId="13" xfId="0" applyFont="1" applyBorder="1" applyAlignment="1">
      <alignment horizontal="left" indent="1"/>
    </xf>
    <xf numFmtId="0" fontId="28" fillId="0" borderId="12" xfId="0" applyFont="1" applyBorder="1" applyAlignment="1">
      <alignment horizontal="left" indent="1"/>
    </xf>
    <xf numFmtId="0" fontId="2" fillId="0" borderId="45" xfId="0" applyFont="1" applyBorder="1"/>
    <xf numFmtId="168" fontId="23" fillId="0" borderId="0" xfId="0" applyFont="1" applyNumberFormat="1" applyAlignment="1">
      <alignment horizontal="right" vertical="top" wrapText="1"/>
    </xf>
    <xf numFmtId="174" fontId="35" fillId="0" borderId="0" xfId="0" applyFont="1" applyNumberFormat="1" applyAlignment="1">
      <alignment horizontal="center"/>
    </xf>
    <xf numFmtId="43" fontId="2" fillId="0" borderId="0" xfId="0" applyFont="1" applyNumberFormat="1"/>
    <xf numFmtId="1" fontId="35" fillId="0" borderId="0" xfId="0" applyFont="1" applyNumberFormat="1" applyAlignment="1">
      <alignment horizontal="center"/>
    </xf>
    <xf numFmtId="174" fontId="35" fillId="0" borderId="0" xfId="0" applyFont="1" applyNumberFormat="1"/>
    <xf numFmtId="0" fontId="35" fillId="0" borderId="0" xfId="0" applyFont="1" applyAlignment="1">
      <alignment horizontal="left" indent="2"/>
    </xf>
    <xf numFmtId="175" fontId="35" fillId="0" borderId="0" xfId="0" applyFont="1" applyNumberFormat="1" applyAlignment="1">
      <alignment horizontal="center"/>
    </xf>
    <xf numFmtId="1" fontId="12" fillId="0" borderId="0" xfId="0" applyFont="1" applyNumberFormat="1" applyAlignment="1">
      <alignment horizontal="center"/>
    </xf>
    <xf numFmtId="174" fontId="35" fillId="16" borderId="5" xfId="0" applyFont="1" applyNumberFormat="1" applyFill="1" applyBorder="1" applyAlignment="1">
      <alignment horizontal="center"/>
    </xf>
    <xf numFmtId="169" fontId="2" fillId="0" borderId="5" xfId="0" applyFont="1" applyNumberFormat="1" applyBorder="1"/>
    <xf numFmtId="168" fontId="2" fillId="0" borderId="1" xfId="0" applyFont="1" applyNumberFormat="1" applyBorder="1" applyAlignment="1">
      <alignment horizontal="right" vertical="top" wrapText="1"/>
    </xf>
    <xf numFmtId="3" fontId="23" fillId="0" borderId="7" xfId="0" applyFont="1" applyNumberFormat="1" applyBorder="1" applyAlignment="1">
      <alignment horizontal="center" vertical="top" wrapText="1"/>
    </xf>
    <xf numFmtId="175" fontId="28" fillId="0" borderId="0" xfId="0" applyFont="1" applyNumberFormat="1" applyAlignment="1">
      <alignment horizontal="center"/>
    </xf>
    <xf numFmtId="0" fontId="12" fillId="16" borderId="55" xfId="0" applyFont="1" applyFill="1" applyBorder="1" applyAlignment="1">
      <alignment horizontal="center"/>
    </xf>
    <xf numFmtId="0" fontId="12" fillId="16" borderId="56" xfId="0" applyFont="1" applyFill="1" applyBorder="1" applyAlignment="1">
      <alignment horizontal="center"/>
    </xf>
    <xf numFmtId="0" fontId="12" fillId="16" borderId="5" xfId="0" applyFont="1" applyFill="1" applyBorder="1" applyAlignment="1">
      <alignment horizontal="center"/>
    </xf>
    <xf numFmtId="0" fontId="12" fillId="16" borderId="2" xfId="0" applyFont="1" applyFill="1" applyBorder="1" applyAlignment="1">
      <alignment horizontal="center"/>
    </xf>
    <xf numFmtId="0" fontId="28" fillId="0" borderId="1" xfId="0" applyFont="1" applyBorder="1"/>
    <xf numFmtId="174" fontId="35" fillId="16" borderId="2" xfId="0" applyFont="1" applyNumberFormat="1" applyFill="1" applyBorder="1" applyAlignment="1">
      <alignment horizontal="center"/>
    </xf>
    <xf numFmtId="174" fontId="35" fillId="16" borderId="55" xfId="0" applyFont="1" applyNumberFormat="1" applyFill="1" applyBorder="1" applyAlignment="1">
      <alignment horizontal="center"/>
    </xf>
    <xf numFmtId="174" fontId="35" fillId="16" borderId="56" xfId="0" applyFont="1" applyNumberFormat="1" applyFill="1" applyBorder="1" applyAlignment="1">
      <alignment horizontal="center"/>
    </xf>
    <xf numFmtId="174" fontId="28" fillId="0" borderId="0" xfId="0" applyFont="1" applyNumberFormat="1" applyAlignment="1">
      <alignment horizontal="left"/>
    </xf>
    <xf numFmtId="0" fontId="28" fillId="0" borderId="1" xfId="0" applyFont="1" applyBorder="1" applyAlignment="1">
      <alignment horizontal="left" indent="1"/>
    </xf>
    <xf numFmtId="0" fontId="28" fillId="0" borderId="6" xfId="0" applyFont="1" applyBorder="1" applyAlignment="1">
      <alignment horizontal="left" indent="1"/>
    </xf>
    <xf numFmtId="167" fontId="2" fillId="0" borderId="0" xfId="0" applyFont="1" applyNumberFormat="1" applyAlignment="1">
      <alignment vertical="center" wrapText="1"/>
    </xf>
    <xf numFmtId="167" fontId="2" fillId="0" borderId="1" xfId="0" applyFont="1" applyNumberFormat="1" applyBorder="1" applyAlignment="1">
      <alignment vertical="center" wrapText="1"/>
    </xf>
    <xf numFmtId="0" fontId="2" fillId="0" borderId="1" xfId="0" applyFont="1" applyBorder="1" applyAlignment="1">
      <alignment horizontal="left" indent="4"/>
    </xf>
    <xf numFmtId="1" fontId="2" fillId="7" borderId="5" xfId="0" applyFont="1" applyNumberFormat="1" applyFill="1" applyBorder="1" applyAlignment="1">
      <alignment horizontal="center"/>
    </xf>
    <xf numFmtId="0" fontId="12" fillId="3" borderId="0" xfId="0" applyFont="1" applyFill="1" applyAlignment="1">
      <alignment horizontal="left"/>
    </xf>
    <xf numFmtId="0" fontId="12" fillId="3" borderId="0" xfId="0" applyFont="1" applyFill="1"/>
    <xf numFmtId="1" fontId="23" fillId="0" borderId="1" xfId="0" applyFont="1" applyNumberFormat="1" applyBorder="1" applyAlignment="1">
      <alignment horizontal="center" vertical="top" wrapText="1"/>
    </xf>
    <xf numFmtId="168" fontId="23" fillId="0" borderId="1" xfId="0" applyFont="1" applyNumberFormat="1" applyBorder="1" applyAlignment="1">
      <alignment horizontal="center" vertical="top" wrapText="1"/>
    </xf>
    <xf numFmtId="168" fontId="23" fillId="0" borderId="6" xfId="0" applyFont="1" applyNumberFormat="1" applyBorder="1" applyAlignment="1">
      <alignment horizontal="center" vertical="top" wrapText="1"/>
    </xf>
    <xf numFmtId="0" fontId="12" fillId="0" borderId="57" xfId="0" applyFont="1" applyBorder="1" applyAlignment="1">
      <alignment horizontal="left" indent="1"/>
    </xf>
    <xf numFmtId="0" fontId="2" fillId="0" borderId="4" xfId="0" applyFont="1" applyBorder="1" applyAlignment="1">
      <alignment horizontal="left" indent="2"/>
    </xf>
    <xf numFmtId="0" fontId="2" fillId="0" borderId="0" xfId="0" applyFont="1" applyAlignment="1">
      <alignment horizontal="left" indent="2"/>
    </xf>
    <xf numFmtId="165" fontId="3" fillId="0" borderId="0" xfId="0" applyFont="1" applyNumberFormat="1" applyAlignment="1">
      <alignment horizontal="right"/>
    </xf>
    <xf numFmtId="165" fontId="3" fillId="0" borderId="65" xfId="0" applyFont="1" applyNumberFormat="1" applyBorder="1" applyAlignment="1">
      <alignment horizontal="right"/>
    </xf>
    <xf numFmtId="168" fontId="1" fillId="0" borderId="66" xfId="0" applyFont="1" applyNumberFormat="1" applyBorder="1" applyAlignment="1">
      <alignment horizontal="center"/>
    </xf>
    <xf numFmtId="174" fontId="28" fillId="0" borderId="8" xfId="0" applyFont="1" applyNumberFormat="1" applyBorder="1" applyAlignment="1">
      <alignment horizontal="center"/>
    </xf>
    <xf numFmtId="168" fontId="1" fillId="0" borderId="67" xfId="0" applyFont="1" applyNumberFormat="1" applyBorder="1" applyAlignment="1">
      <alignment horizontal="center"/>
    </xf>
    <xf numFmtId="10" fontId="23" fillId="0" borderId="0" xfId="0" applyFont="1" applyNumberFormat="1" applyAlignment="1">
      <alignment horizontal="center" vertical="top" wrapText="1"/>
    </xf>
    <xf numFmtId="3" fontId="2" fillId="0" borderId="1" xfId="0" applyFont="1" applyNumberFormat="1" applyBorder="1" applyAlignment="1">
      <alignment horizontal="center"/>
    </xf>
    <xf numFmtId="3" fontId="2" fillId="0" borderId="4" xfId="0" applyFont="1" applyNumberFormat="1" applyBorder="1" applyAlignment="1">
      <alignment horizontal="center"/>
    </xf>
    <xf numFmtId="0" fontId="12" fillId="11" borderId="6" xfId="0" applyFont="1" applyFill="1" applyBorder="1" applyAlignment="1">
      <alignment horizontal="center" wrapText="1"/>
    </xf>
    <xf numFmtId="0" fontId="12" fillId="11" borderId="7" xfId="0" applyFont="1" applyFill="1" applyBorder="1" applyAlignment="1">
      <alignment horizontal="center" wrapText="1"/>
    </xf>
    <xf numFmtId="3" fontId="2" fillId="0" borderId="0" xfId="0" applyFont="1" applyNumberFormat="1" applyAlignment="1">
      <alignment wrapText="1"/>
    </xf>
    <xf numFmtId="0" fontId="11" fillId="0" borderId="0" xfId="0" applyFont="1"/>
    <xf numFmtId="167" fontId="2" fillId="0" borderId="0" xfId="0" applyFont="1" applyNumberFormat="1" applyAlignment="1">
      <alignment horizontal="left"/>
    </xf>
    <xf numFmtId="14" fontId="2" fillId="0" borderId="0" xfId="0" applyFont="1" applyNumberFormat="1" applyAlignment="1">
      <alignment horizontal="center"/>
    </xf>
    <xf numFmtId="14" fontId="2" fillId="11" borderId="13" xfId="0" applyFont="1" applyNumberFormat="1" applyFill="1" applyBorder="1" applyAlignment="1">
      <alignment horizontal="right"/>
    </xf>
    <xf numFmtId="14" fontId="2" fillId="11" borderId="12" xfId="0" applyFont="1" applyNumberFormat="1" applyFill="1" applyBorder="1" applyAlignment="1">
      <alignment horizontal="right"/>
    </xf>
    <xf numFmtId="2" fontId="2" fillId="0" borderId="3" xfId="0" applyFont="1" applyNumberFormat="1" applyBorder="1" applyAlignment="1">
      <alignment horizontal="center"/>
    </xf>
    <xf numFmtId="2" fontId="2" fillId="0" borderId="8" xfId="0" applyFont="1" applyNumberFormat="1" applyBorder="1" applyAlignment="1">
      <alignment horizontal="center"/>
    </xf>
    <xf numFmtId="0" fontId="2" fillId="11" borderId="6" xfId="0" applyFont="1" applyFill="1" applyBorder="1" applyAlignment="1">
      <alignment horizontal="center" wrapText="1"/>
    </xf>
    <xf numFmtId="0" fontId="2" fillId="11" borderId="7" xfId="0" applyFont="1" applyFill="1" applyBorder="1" applyAlignment="1">
      <alignment horizontal="center" wrapText="1"/>
    </xf>
    <xf numFmtId="0" fontId="2" fillId="7" borderId="14" xfId="0" applyFont="1" applyFill="1" applyBorder="1"/>
    <xf numFmtId="0" fontId="2" fillId="11" borderId="5" xfId="0" applyFont="1" applyFill="1" applyBorder="1"/>
    <xf numFmtId="0" fontId="2" fillId="7" borderId="12" xfId="0" applyFont="1" applyFill="1" applyBorder="1" applyAlignment="1">
      <alignment horizontal="center" wrapText="1"/>
    </xf>
    <xf numFmtId="3" fontId="2" fillId="0" borderId="5" xfId="0" applyFont="1" applyNumberFormat="1" applyBorder="1" applyAlignment="1">
      <alignment horizontal="center"/>
    </xf>
    <xf numFmtId="0" fontId="2" fillId="11" borderId="57" xfId="0" applyFont="1" applyFill="1" applyBorder="1" applyAlignment="1">
      <alignment horizontal="center" wrapText="1"/>
    </xf>
    <xf numFmtId="0" fontId="2" fillId="11" borderId="56" xfId="0" applyFont="1" applyFill="1" applyBorder="1" applyAlignment="1">
      <alignment horizontal="center" wrapText="1"/>
    </xf>
    <xf numFmtId="14" fontId="2" fillId="11" borderId="14" xfId="0" applyFont="1" applyNumberFormat="1" applyFill="1" applyBorder="1" applyAlignment="1">
      <alignment horizontal="right"/>
    </xf>
    <xf numFmtId="0" fontId="3" fillId="11" borderId="4" xfId="0" applyFont="1" applyFill="1" applyBorder="1" applyAlignment="1">
      <alignment horizontal="center" wrapText="1"/>
    </xf>
    <xf numFmtId="0" fontId="3" fillId="11" borderId="5" xfId="0" applyFont="1" applyFill="1" applyBorder="1" applyAlignment="1">
      <alignment horizontal="center" wrapText="1"/>
    </xf>
    <xf numFmtId="0" fontId="3" fillId="11" borderId="1" xfId="0" applyFont="1" applyFill="1" applyBorder="1" applyAlignment="1">
      <alignment horizontal="center" wrapText="1"/>
    </xf>
    <xf numFmtId="0" fontId="3" fillId="11" borderId="0" xfId="0" applyFont="1" applyFill="1" applyAlignment="1">
      <alignment horizontal="center" wrapText="1"/>
    </xf>
    <xf numFmtId="0" fontId="1" fillId="11" borderId="4" xfId="0" applyFont="1" applyFill="1" applyBorder="1" applyAlignment="1">
      <alignment horizontal="center"/>
    </xf>
    <xf numFmtId="0" fontId="1" fillId="11" borderId="5" xfId="0" applyFont="1" applyFill="1" applyBorder="1" applyAlignment="1">
      <alignment horizontal="center"/>
    </xf>
    <xf numFmtId="0" fontId="1" fillId="11" borderId="4" xfId="0" applyFont="1" applyFill="1" applyBorder="1" applyAlignment="1">
      <alignment horizontal="center" wrapText="1"/>
    </xf>
    <xf numFmtId="0" fontId="1" fillId="11" borderId="5" xfId="0" applyFont="1" applyFill="1" applyBorder="1" applyAlignment="1">
      <alignment horizontal="center" wrapText="1"/>
    </xf>
    <xf numFmtId="0" fontId="1" fillId="11" borderId="2" xfId="0" applyFont="1" applyFill="1" applyBorder="1" applyAlignment="1">
      <alignment horizontal="center" wrapText="1"/>
    </xf>
    <xf numFmtId="0" fontId="39" fillId="11" borderId="4" xfId="0" applyFont="1" applyFill="1" applyBorder="1" applyAlignment="1">
      <alignment horizontal="center"/>
    </xf>
    <xf numFmtId="0" fontId="39" fillId="11" borderId="5" xfId="0" applyFont="1" applyFill="1" applyBorder="1" applyAlignment="1">
      <alignment horizontal="center"/>
    </xf>
    <xf numFmtId="0" fontId="39" fillId="11" borderId="2" xfId="0" applyFont="1" applyFill="1" applyBorder="1" applyAlignment="1">
      <alignment horizontal="center"/>
    </xf>
    <xf numFmtId="0" fontId="1" fillId="11" borderId="44" xfId="0" applyFont="1" applyFill="1" applyBorder="1" applyAlignment="1">
      <alignment horizontal="center"/>
    </xf>
    <xf numFmtId="0" fontId="1" fillId="11" borderId="2" xfId="0" applyFont="1" applyFill="1" applyBorder="1" applyAlignment="1">
      <alignment horizontal="center"/>
    </xf>
    <xf numFmtId="165" fontId="1" fillId="0" borderId="44" xfId="0" applyFont="1" applyNumberFormat="1" applyBorder="1" applyAlignment="1">
      <alignment horizontal="center"/>
    </xf>
    <xf numFmtId="165" fontId="1" fillId="11" borderId="2"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10" borderId="8" xfId="0" applyFont="1" applyFill="1" applyBorder="1" applyAlignment="1">
      <alignment horizontal="center"/>
    </xf>
    <xf numFmtId="165" fontId="1" fillId="11" borderId="0" xfId="0" applyFont="1" applyNumberFormat="1" applyFill="1" applyAlignment="1">
      <alignment horizontal="center"/>
    </xf>
    <xf numFmtId="165" fontId="1" fillId="11" borderId="44" xfId="0" applyFont="1" applyNumberFormat="1" applyFill="1" applyBorder="1" applyAlignment="1">
      <alignment horizontal="center"/>
    </xf>
    <xf numFmtId="0" fontId="1" fillId="0" borderId="0" xfId="0" applyFont="1" applyAlignment="1">
      <alignment horizontal="left" indent="2" wrapText="1"/>
    </xf>
    <xf numFmtId="0" fontId="1" fillId="0" borderId="4" xfId="0" applyFont="1" applyBorder="1" applyAlignment="1">
      <alignment horizontal="left" indent="2" wrapText="1"/>
    </xf>
    <xf numFmtId="0" fontId="1" fillId="0" borderId="44" xfId="0" applyFont="1" applyBorder="1" applyAlignment="1">
      <alignment horizontal="left" indent="2" wrapText="1"/>
    </xf>
    <xf numFmtId="165" fontId="1" fillId="11" borderId="3" xfId="0" applyFont="1" applyNumberFormat="1" applyFill="1" applyBorder="1" applyAlignment="1">
      <alignment horizontal="center"/>
    </xf>
    <xf numFmtId="0" fontId="1" fillId="11" borderId="8" xfId="0" applyFont="1" applyFill="1" applyBorder="1" applyAlignment="1">
      <alignment horizontal="center"/>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0" borderId="6" xfId="0" applyFont="1" applyBorder="1" applyAlignment="1">
      <alignment horizontal="left" indent="2"/>
    </xf>
    <xf numFmtId="0" fontId="1" fillId="11" borderId="14" xfId="0" applyFont="1" applyFill="1" applyBorder="1" applyAlignment="1">
      <alignment horizontal="center" wrapText="1"/>
    </xf>
    <xf numFmtId="0" fontId="1" fillId="3" borderId="56"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indent="2" wrapText="1"/>
    </xf>
    <xf numFmtId="0" fontId="1" fillId="11" borderId="13" xfId="0" applyFont="1" applyFill="1" applyBorder="1" applyAlignment="1">
      <alignment horizontal="center" wrapText="1"/>
    </xf>
    <xf numFmtId="0" fontId="1" fillId="11" borderId="1" xfId="0" applyFont="1" applyFill="1" applyBorder="1" applyAlignment="1">
      <alignment horizontal="center" wrapText="1"/>
    </xf>
    <xf numFmtId="0" fontId="1" fillId="11" borderId="3" xfId="0" applyFont="1" applyFill="1" applyBorder="1" applyAlignment="1">
      <alignment horizontal="center"/>
    </xf>
    <xf numFmtId="165" fontId="1" fillId="10" borderId="8" xfId="0" applyFont="1" applyNumberFormat="1" applyFill="1" applyBorder="1" applyAlignment="1">
      <alignment horizontal="center"/>
    </xf>
    <xf numFmtId="0" fontId="4" fillId="0" borderId="4" xfId="0" applyFont="1" applyBorder="1" applyAlignment="1">
      <alignment horizontal="left" indent="2" wrapText="1"/>
    </xf>
    <xf numFmtId="0" fontId="1" fillId="11" borderId="7" xfId="0" applyFont="1" applyFill="1" applyBorder="1" applyAlignment="1">
      <alignment horizontal="center"/>
    </xf>
    <xf numFmtId="0" fontId="1" fillId="11" borderId="14" xfId="0" applyFont="1" applyFill="1" applyBorder="1" applyAlignment="1">
      <alignment horizontal="center"/>
    </xf>
    <xf numFmtId="0" fontId="1" fillId="11" borderId="12" xfId="0" applyFont="1" applyFill="1" applyBorder="1" applyAlignment="1">
      <alignment horizontal="center"/>
    </xf>
    <xf numFmtId="0" fontId="23" fillId="11" borderId="0" xfId="0" applyFont="1" applyFill="1" applyAlignment="1">
      <alignment horizontal="center"/>
    </xf>
    <xf numFmtId="0" fontId="2" fillId="0" borderId="44" xfId="0" applyFont="1" applyBorder="1"/>
    <xf numFmtId="0" fontId="23" fillId="11" borderId="3" xfId="0" applyFont="1" applyFill="1" applyBorder="1" applyAlignment="1">
      <alignment horizontal="center"/>
    </xf>
    <xf numFmtId="0" fontId="23" fillId="0" borderId="8" xfId="0" applyFont="1" applyBorder="1" applyAlignment="1">
      <alignment horizontal="center"/>
    </xf>
    <xf numFmtId="0" fontId="1" fillId="0" borderId="1" xfId="0" applyFont="1" applyBorder="1" applyAlignment="1">
      <alignment horizontal="center"/>
    </xf>
    <xf numFmtId="0" fontId="23" fillId="7" borderId="7" xfId="0" applyFont="1" applyFill="1" applyBorder="1" applyAlignment="1">
      <alignment horizontal="center"/>
    </xf>
    <xf numFmtId="0" fontId="23" fillId="7" borderId="8" xfId="0" applyFont="1" applyFill="1" applyBorder="1" applyAlignment="1">
      <alignment horizontal="center"/>
    </xf>
    <xf numFmtId="0" fontId="1" fillId="0" borderId="12" xfId="0" applyFont="1" applyBorder="1" applyAlignment="1">
      <alignment horizontal="left"/>
    </xf>
    <xf numFmtId="0" fontId="1" fillId="11" borderId="6" xfId="0" applyFont="1" applyFill="1" applyBorder="1" applyAlignment="1">
      <alignment horizontal="center"/>
    </xf>
    <xf numFmtId="165" fontId="1" fillId="0" borderId="7" xfId="0" applyFont="1" applyNumberFormat="1" applyBorder="1" applyAlignment="1">
      <alignment horizontal="center"/>
    </xf>
    <xf numFmtId="165" fontId="1" fillId="0" borderId="8" xfId="0" applyFont="1" applyNumberFormat="1" applyBorder="1" applyAlignment="1">
      <alignment horizontal="center"/>
    </xf>
    <xf numFmtId="0" fontId="23" fillId="0" borderId="7" xfId="0" applyFont="1" applyBorder="1" applyAlignment="1">
      <alignment horizontal="left" vertical="top" wrapText="1"/>
    </xf>
    <xf numFmtId="0" fontId="23" fillId="0" borderId="6" xfId="0" applyFont="1" applyBorder="1" applyAlignment="1">
      <alignment horizontal="center"/>
    </xf>
    <xf numFmtId="0" fontId="2" fillId="0" borderId="0" xfId="0" applyFont="1" applyAlignment="1">
      <alignment horizontal="center" vertical="top" wrapText="1"/>
    </xf>
    <xf numFmtId="0" fontId="4" fillId="17" borderId="6" xfId="0" applyFont="1" applyFill="1" applyBorder="1" applyAlignment="1">
      <alignment horizontal="center"/>
    </xf>
    <xf numFmtId="0" fontId="4" fillId="17" borderId="7" xfId="0" applyFont="1" applyFill="1" applyBorder="1" applyAlignment="1">
      <alignment horizontal="center"/>
    </xf>
    <xf numFmtId="0" fontId="4" fillId="17" borderId="8" xfId="0" applyFont="1" applyFill="1" applyBorder="1" applyAlignment="1">
      <alignment horizontal="center"/>
    </xf>
    <xf numFmtId="0" fontId="12" fillId="0" borderId="44" xfId="0" applyFont="1" applyBorder="1" applyAlignment="1">
      <alignment vertical="center" wrapText="1"/>
    </xf>
    <xf numFmtId="0" fontId="1" fillId="6" borderId="0" xfId="0" applyFont="1" applyFill="1"/>
    <xf numFmtId="0" fontId="1" fillId="0" borderId="5" xfId="0" applyFont="1" applyBorder="1"/>
    <xf numFmtId="10" fontId="40" fillId="11" borderId="7" xfId="0" applyFont="1" applyNumberFormat="1" applyFill="1" applyBorder="1" applyAlignment="1">
      <alignment horizontal="center"/>
    </xf>
    <xf numFmtId="10" fontId="40" fillId="11" borderId="0" xfId="0" applyFont="1" applyNumberFormat="1" applyFill="1" applyAlignment="1">
      <alignment horizontal="center"/>
    </xf>
    <xf numFmtId="10" fontId="40" fillId="0" borderId="4" xfId="0" applyFont="1" applyNumberFormat="1" applyBorder="1" applyAlignment="1">
      <alignment horizontal="center"/>
    </xf>
    <xf numFmtId="10" fontId="40" fillId="11" borderId="44" xfId="0" applyFont="1" applyNumberFormat="1" applyFill="1" applyBorder="1" applyAlignment="1">
      <alignment horizontal="center"/>
    </xf>
    <xf numFmtId="10" fontId="40" fillId="11" borderId="2" xfId="0" applyFont="1" applyNumberFormat="1" applyFill="1" applyBorder="1" applyAlignment="1">
      <alignment horizontal="center"/>
    </xf>
    <xf numFmtId="10" fontId="40" fillId="11" borderId="3" xfId="0" applyFont="1" applyNumberFormat="1" applyFill="1" applyBorder="1" applyAlignment="1">
      <alignment horizontal="center"/>
    </xf>
    <xf numFmtId="10" fontId="40" fillId="11" borderId="8" xfId="0" applyFont="1" applyNumberFormat="1" applyFill="1" applyBorder="1" applyAlignment="1">
      <alignment horizontal="center"/>
    </xf>
    <xf numFmtId="0" fontId="41" fillId="0" borderId="0" xfId="0" applyFont="1" applyAlignment="1">
      <alignment wrapText="1"/>
    </xf>
    <xf numFmtId="0" fontId="41" fillId="0" borderId="7" xfId="0" applyFont="1" applyBorder="1" applyAlignment="1">
      <alignment wrapText="1"/>
    </xf>
    <xf numFmtId="0" fontId="1" fillId="0" borderId="44" xfId="0" applyFont="1" applyBorder="1"/>
    <xf numFmtId="1" fontId="1" fillId="0" borderId="44" xfId="0" applyFont="1" applyNumberFormat="1" applyBorder="1"/>
    <xf numFmtId="2" fontId="40" fillId="0" borderId="2" xfId="0" applyFont="1" applyNumberFormat="1" applyBorder="1" applyAlignment="1">
      <alignment horizontal="center"/>
    </xf>
    <xf numFmtId="0" fontId="40" fillId="0" borderId="3" xfId="0" applyFont="1" applyBorder="1" applyAlignment="1">
      <alignment horizontal="center"/>
    </xf>
    <xf numFmtId="0" fontId="40" fillId="0" borderId="8" xfId="0" applyFont="1" applyBorder="1" applyAlignment="1">
      <alignment horizontal="center"/>
    </xf>
    <xf numFmtId="167" fontId="3" fillId="0" borderId="0" xfId="0" applyFont="1" applyNumberFormat="1" applyAlignment="1">
      <alignment wrapText="1"/>
    </xf>
    <xf numFmtId="0" fontId="4" fillId="0" borderId="5" xfId="0" applyFont="1" applyBorder="1" applyAlignment="1">
      <alignment horizontal="left"/>
    </xf>
    <xf numFmtId="0" fontId="4" fillId="0" borderId="0" xfId="0" applyFont="1" applyAlignment="1">
      <alignment horizontal="left"/>
    </xf>
    <xf numFmtId="0" fontId="4" fillId="0" borderId="7" xfId="0" applyFont="1" applyBorder="1" applyAlignment="1">
      <alignment horizontal="left"/>
    </xf>
    <xf numFmtId="176" fontId="1" fillId="0" borderId="0" xfId="0" applyFont="1" applyNumberFormat="1"/>
    <xf numFmtId="10" fontId="40" fillId="0" borderId="5" xfId="0" applyFont="1" applyNumberFormat="1" applyBorder="1" applyAlignment="1">
      <alignment horizontal="center"/>
    </xf>
    <xf numFmtId="10" fontId="40" fillId="0" borderId="1" xfId="0" applyFont="1" applyNumberFormat="1" applyBorder="1" applyAlignment="1">
      <alignment horizontal="center"/>
    </xf>
    <xf numFmtId="10" fontId="40" fillId="0" borderId="3" xfId="0" applyFont="1" applyNumberFormat="1" applyBorder="1" applyAlignment="1">
      <alignment horizontal="center"/>
    </xf>
    <xf numFmtId="10" fontId="40" fillId="0" borderId="6" xfId="0" applyFont="1" applyNumberFormat="1" applyBorder="1" applyAlignment="1">
      <alignment horizontal="center"/>
    </xf>
    <xf numFmtId="10" fontId="40" fillId="0" borderId="7" xfId="0" applyFont="1" applyNumberFormat="1" applyBorder="1" applyAlignment="1">
      <alignment horizontal="center"/>
    </xf>
    <xf numFmtId="10" fontId="40" fillId="0" borderId="8" xfId="0" applyFont="1" applyNumberFormat="1" applyBorder="1" applyAlignment="1">
      <alignment horizontal="center"/>
    </xf>
    <xf numFmtId="0" fontId="12" fillId="0" borderId="1" xfId="0" applyFont="1" applyBorder="1" applyAlignment="1">
      <alignment wrapText="1"/>
    </xf>
    <xf numFmtId="0" fontId="40" fillId="0" borderId="1" xfId="0" applyFont="1" applyBorder="1" applyAlignment="1">
      <alignment wrapText="1"/>
    </xf>
    <xf numFmtId="0" fontId="40" fillId="0" borderId="6" xfId="0" applyFont="1" applyBorder="1" applyAlignment="1">
      <alignment wrapText="1"/>
    </xf>
    <xf numFmtId="0" fontId="40" fillId="0" borderId="0" xfId="0" applyFont="1" applyAlignment="1">
      <alignment wrapText="1"/>
    </xf>
    <xf numFmtId="2" fontId="40" fillId="0" borderId="0" xfId="0" applyFont="1" applyNumberFormat="1" applyAlignment="1">
      <alignment horizontal="center"/>
    </xf>
    <xf numFmtId="2" fontId="42" fillId="0" borderId="0" xfId="0" applyFont="1" applyNumberFormat="1" applyAlignment="1">
      <alignment horizontal="center"/>
    </xf>
    <xf numFmtId="2" fontId="42" fillId="0" borderId="3" xfId="0" applyFont="1" applyNumberFormat="1" applyBorder="1" applyAlignment="1">
      <alignment horizontal="center"/>
    </xf>
    <xf numFmtId="0" fontId="40" fillId="0" borderId="0" xfId="0" applyFont="1" applyAlignment="1">
      <alignment horizontal="center"/>
    </xf>
    <xf numFmtId="0" fontId="42" fillId="0" borderId="0" xfId="0" applyFont="1" applyAlignment="1">
      <alignment horizontal="center"/>
    </xf>
    <xf numFmtId="0" fontId="42" fillId="0" borderId="3" xfId="0" applyFont="1" applyBorder="1" applyAlignment="1">
      <alignment horizontal="center"/>
    </xf>
    <xf numFmtId="2" fontId="40" fillId="0" borderId="7" xfId="0" applyFont="1" applyNumberFormat="1" applyBorder="1" applyAlignment="1">
      <alignment horizontal="center"/>
    </xf>
    <xf numFmtId="0" fontId="40" fillId="0" borderId="7" xfId="0" applyFont="1" applyBorder="1" applyAlignment="1">
      <alignment horizontal="center"/>
    </xf>
    <xf numFmtId="0" fontId="42" fillId="0" borderId="7" xfId="0" applyFont="1" applyBorder="1" applyAlignment="1">
      <alignment horizontal="center"/>
    </xf>
    <xf numFmtId="0" fontId="42" fillId="0" borderId="8" xfId="0" applyFont="1" applyBorder="1" applyAlignment="1">
      <alignment horizontal="center"/>
    </xf>
    <xf numFmtId="2" fontId="40" fillId="0" borderId="5" xfId="0" applyFont="1" applyNumberFormat="1" applyBorder="1" applyAlignment="1">
      <alignment horizontal="center"/>
    </xf>
    <xf numFmtId="2" fontId="40" fillId="0" borderId="3" xfId="0" applyFont="1" applyNumberFormat="1" applyBorder="1" applyAlignment="1">
      <alignment horizontal="center"/>
    </xf>
    <xf numFmtId="2" fontId="40" fillId="0" borderId="8" xfId="0" applyFont="1" applyNumberFormat="1" applyBorder="1" applyAlignment="1">
      <alignment horizontal="center"/>
    </xf>
    <xf numFmtId="0" fontId="12" fillId="0" borderId="4" xfId="0" applyFont="1" applyBorder="1" applyAlignment="1">
      <alignment vertical="center" wrapText="1"/>
    </xf>
    <xf numFmtId="0" fontId="41" fillId="0" borderId="4" xfId="0" applyFont="1" applyBorder="1" applyAlignment="1">
      <alignment wrapText="1"/>
    </xf>
    <xf numFmtId="0" fontId="41" fillId="0" borderId="2" xfId="0" applyFont="1" applyBorder="1" applyAlignment="1">
      <alignment wrapText="1"/>
    </xf>
    <xf numFmtId="0" fontId="41" fillId="0" borderId="55" xfId="0" applyFont="1" applyBorder="1" applyAlignment="1">
      <alignment wrapText="1"/>
    </xf>
    <xf numFmtId="0" fontId="41" fillId="0" borderId="56" xfId="0" applyFont="1" applyBorder="1" applyAlignment="1">
      <alignment wrapText="1"/>
    </xf>
    <xf numFmtId="1" fontId="1" fillId="0" borderId="7" xfId="0" applyFont="1" applyNumberFormat="1" applyBorder="1"/>
    <xf numFmtId="10" fontId="40" fillId="17" borderId="0" xfId="0" applyFont="1" applyNumberFormat="1" applyFill="1" applyAlignment="1">
      <alignment horizontal="center"/>
    </xf>
    <xf numFmtId="10" fontId="40" fillId="17" borderId="3" xfId="0" applyFont="1" applyNumberFormat="1" applyFill="1" applyBorder="1" applyAlignment="1">
      <alignment horizontal="center"/>
    </xf>
    <xf numFmtId="10" fontId="1" fillId="17" borderId="1" xfId="0" applyFont="1" applyNumberFormat="1" applyFill="1" applyBorder="1"/>
    <xf numFmtId="0" fontId="4" fillId="17" borderId="3" xfId="0" applyFont="1" applyFill="1" applyBorder="1" applyAlignment="1">
      <alignment horizontal="left"/>
    </xf>
    <xf numFmtId="0" fontId="1" fillId="17" borderId="1" xfId="0" applyFont="1" applyFill="1" applyBorder="1"/>
    <xf numFmtId="0" fontId="1" fillId="17" borderId="6" xfId="0" applyFont="1" applyFill="1" applyBorder="1"/>
    <xf numFmtId="0" fontId="4" fillId="17" borderId="8" xfId="0" applyFont="1" applyFill="1" applyBorder="1" applyAlignment="1">
      <alignment horizontal="left"/>
    </xf>
    <xf numFmtId="10" fontId="40" fillId="17" borderId="7" xfId="0" applyFont="1" applyNumberFormat="1" applyFill="1" applyBorder="1" applyAlignment="1">
      <alignment horizontal="center"/>
    </xf>
    <xf numFmtId="10" fontId="40" fillId="17" borderId="8" xfId="0" applyFont="1" applyNumberFormat="1" applyFill="1" applyBorder="1" applyAlignment="1">
      <alignment horizontal="center"/>
    </xf>
    <xf numFmtId="10" fontId="40" fillId="0" borderId="0" xfId="0" applyFont="1" applyNumberFormat="1" applyAlignment="1">
      <alignment horizontal="center"/>
    </xf>
    <xf numFmtId="10" fontId="40" fillId="0" borderId="44" xfId="0" applyFont="1" applyNumberFormat="1" applyBorder="1" applyAlignment="1">
      <alignment horizontal="center"/>
    </xf>
    <xf numFmtId="10" fontId="40" fillId="0" borderId="2" xfId="0" applyFont="1" applyNumberFormat="1" applyBorder="1" applyAlignment="1">
      <alignment horizontal="center"/>
    </xf>
    <xf numFmtId="10" fontId="1" fillId="0" borderId="4" xfId="0" applyFont="1" applyNumberFormat="1" applyBorder="1"/>
    <xf numFmtId="0" fontId="4" fillId="0" borderId="2" xfId="0" applyFont="1" applyBorder="1" applyAlignment="1">
      <alignment horizontal="left"/>
    </xf>
    <xf numFmtId="0" fontId="4" fillId="0" borderId="8" xfId="0" applyFont="1" applyBorder="1" applyAlignment="1">
      <alignment horizontal="left"/>
    </xf>
    <xf numFmtId="10" fontId="40" fillId="0" borderId="68" xfId="0" applyFont="1" applyNumberFormat="1" applyBorder="1" applyAlignment="1">
      <alignment horizontal="center"/>
    </xf>
    <xf numFmtId="10" fontId="40" fillId="0" borderId="69" xfId="0" applyFont="1" applyNumberFormat="1" applyBorder="1" applyAlignment="1">
      <alignment horizontal="center"/>
    </xf>
    <xf numFmtId="10" fontId="40" fillId="0" borderId="70" xfId="0" applyFont="1" applyNumberFormat="1" applyBorder="1" applyAlignment="1">
      <alignment horizontal="center"/>
    </xf>
    <xf numFmtId="0" fontId="1" fillId="0" borderId="69" xfId="0" applyFont="1" applyBorder="1"/>
    <xf numFmtId="10" fontId="1" fillId="0" borderId="6" xfId="0" applyFont="1" applyNumberFormat="1" applyBorder="1"/>
    <xf numFmtId="0" fontId="2" fillId="0" borderId="0" xfId="0" applyFont="1" applyAlignment="1">
      <alignment horizontal="right"/>
    </xf>
    <xf numFmtId="0" fontId="2" fillId="0" borderId="0" xfId="0" applyFont="1" applyAlignment="1">
      <alignment horizontal="right" vertical="center"/>
    </xf>
    <xf numFmtId="0" fontId="2" fillId="0" borderId="7" xfId="0" applyFont="1" applyBorder="1" applyAlignment="1">
      <alignment vertical="center"/>
    </xf>
    <xf numFmtId="0" fontId="2"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2" fillId="0" borderId="0" xfId="0" applyFont="1" applyNumberFormat="1" applyAlignment="1">
      <alignment horizontal="right"/>
    </xf>
    <xf numFmtId="3" fontId="2" fillId="0" borderId="5" xfId="0" applyFont="1" applyNumberFormat="1" applyBorder="1" applyAlignment="1">
      <alignment horizontal="right"/>
    </xf>
    <xf numFmtId="3" fontId="2" fillId="0" borderId="7" xfId="0" applyFont="1" applyNumberFormat="1" applyBorder="1"/>
    <xf numFmtId="3" fontId="2" fillId="0" borderId="7" xfId="0" applyFont="1" applyNumberFormat="1" applyBorder="1" applyAlignment="1">
      <alignment horizontal="right"/>
    </xf>
    <xf numFmtId="0" fontId="2" fillId="0" borderId="0" xfId="0" applyFont="1" applyAlignment="1">
      <alignment horizontal="left" vertical="center" wrapText="1"/>
    </xf>
    <xf numFmtId="3" fontId="12" fillId="0" borderId="0" xfId="0" applyFont="1" applyNumberFormat="1" applyAlignment="1">
      <alignment horizontal="left" wrapText="1"/>
    </xf>
    <xf numFmtId="3" fontId="12" fillId="0" borderId="0" xfId="0" applyFont="1" applyNumberFormat="1" applyAlignment="1">
      <alignment horizontal="left"/>
    </xf>
    <xf numFmtId="0" fontId="2" fillId="0" borderId="0" xfId="0" applyFont="1" applyAlignment="1">
      <alignment vertical="center" wrapText="1"/>
    </xf>
    <xf numFmtId="0" fontId="2" fillId="0" borderId="0" xfId="0" applyFont="1" applyAlignment="1">
      <alignment vertical="center"/>
    </xf>
    <xf numFmtId="0" fontId="2" fillId="10" borderId="0" xfId="0" applyFont="1" applyFill="1" applyAlignment="1">
      <alignment horizontal="left" vertical="top" wrapText="1"/>
    </xf>
    <xf numFmtId="1" fontId="2" fillId="0" borderId="0" xfId="0" applyFont="1" applyNumberFormat="1" applyAlignment="1">
      <alignment horizontal="right"/>
    </xf>
    <xf numFmtId="0" fontId="2" fillId="0" borderId="7" xfId="0" applyFont="1" applyBorder="1" applyAlignment="1">
      <alignment horizontal="right"/>
    </xf>
    <xf numFmtId="3" fontId="44" fillId="22" borderId="0" xfId="0" applyFont="1" applyNumberFormat="1" applyFill="1" applyAlignment="1">
      <alignment horizontal="center" vertical="top"/>
    </xf>
    <xf numFmtId="0" fontId="44" fillId="0" borderId="0" xfId="0" applyFont="1" applyAlignment="1">
      <alignment horizontal="center" vertical="top"/>
    </xf>
    <xf numFmtId="0" fontId="45" fillId="22" borderId="0" xfId="0" applyFont="1" applyFill="1" applyAlignment="1">
      <alignment horizontal="left" vertical="top" wrapText="1"/>
    </xf>
    <xf numFmtId="0" fontId="45" fillId="22" borderId="0" xfId="0" applyFont="1" applyFill="1" applyAlignment="1">
      <alignment horizontal="center" vertical="top"/>
    </xf>
    <xf numFmtId="0" fontId="44" fillId="22" borderId="0" xfId="0" applyFont="1" applyFill="1" applyAlignment="1">
      <alignment horizontal="center" vertical="top"/>
    </xf>
    <xf numFmtId="0" fontId="46" fillId="22" borderId="0" xfId="0" applyFont="1" applyFill="1" applyAlignment="1">
      <alignment horizontal="left" vertical="top" wrapText="1"/>
    </xf>
    <xf numFmtId="1" fontId="47" fillId="0" borderId="71" xfId="0" applyFont="1" applyNumberFormat="1" applyBorder="1" applyAlignment="1">
      <alignment vertical="top"/>
    </xf>
    <xf numFmtId="1" fontId="47" fillId="0" borderId="71" xfId="0" applyFont="1" applyNumberFormat="1" applyBorder="1" applyAlignment="1">
      <alignment horizontal="right" vertical="top"/>
    </xf>
    <xf numFmtId="0" fontId="48" fillId="23" borderId="71" xfId="0" applyFont="1" applyFill="1" applyBorder="1" applyAlignment="1">
      <alignment vertical="top"/>
    </xf>
    <xf numFmtId="0" fontId="1" fillId="0" borderId="54" xfId="0" applyFont="1" applyBorder="1"/>
    <xf numFmtId="0" fontId="1" fillId="0" borderId="55" xfId="0" applyFont="1" applyBorder="1"/>
    <xf numFmtId="3" fontId="1" fillId="0" borderId="55" xfId="0" applyFont="1" applyNumberFormat="1" applyBorder="1"/>
    <xf numFmtId="3" fontId="1" fillId="0" borderId="56" xfId="0" applyFont="1" applyNumberFormat="1" applyBorder="1"/>
    <xf numFmtId="1" fontId="47" fillId="0" borderId="0" xfId="0" applyFont="1" applyNumberFormat="1" applyAlignment="1">
      <alignment vertical="top"/>
    </xf>
    <xf numFmtId="1" fontId="47" fillId="0" borderId="0" xfId="0" applyFont="1" applyNumberFormat="1" applyAlignment="1">
      <alignment horizontal="right" vertical="top"/>
    </xf>
    <xf numFmtId="0" fontId="48" fillId="23" borderId="0" xfId="0" applyFont="1" applyFill="1" applyAlignment="1">
      <alignment vertical="top"/>
    </xf>
    <xf numFmtId="0" fontId="48" fillId="23" borderId="7" xfId="0" applyFont="1" applyFill="1" applyBorder="1" applyAlignment="1">
      <alignment vertical="top"/>
    </xf>
    <xf numFmtId="1" fontId="49" fillId="0" borderId="0" xfId="0" applyFont="1" applyNumberFormat="1"/>
    <xf numFmtId="1" fontId="45" fillId="22" borderId="0" xfId="0" applyFont="1" applyNumberFormat="1" applyFill="1" applyAlignment="1">
      <alignment horizontal="center"/>
    </xf>
    <xf numFmtId="0" fontId="44" fillId="23" borderId="0" xfId="0" applyFont="1" applyFill="1" applyAlignment="1">
      <alignment horizontal="center" vertical="center"/>
    </xf>
    <xf numFmtId="0" fontId="45" fillId="23" borderId="0" xfId="0" applyFont="1" applyFill="1" applyAlignment="1">
      <alignment horizontal="left" vertical="center" wrapText="1"/>
    </xf>
    <xf numFmtId="1" fontId="44" fillId="6" borderId="0" xfId="0" applyFont="1" applyNumberFormat="1" applyFill="1" applyAlignment="1">
      <alignment horizontal="center" vertical="top"/>
    </xf>
    <xf numFmtId="0" fontId="45" fillId="6" borderId="0" xfId="0" applyFont="1" applyFill="1" applyAlignment="1">
      <alignment horizontal="center" vertical="top"/>
    </xf>
    <xf numFmtId="0" fontId="49" fillId="0" borderId="0" xfId="0" applyFont="1"/>
    <xf numFmtId="0" fontId="3" fillId="24" borderId="0" xfId="0" applyFont="1" applyFill="1" applyAlignment="1">
      <alignment horizontal="left"/>
    </xf>
    <xf numFmtId="0" fontId="3" fillId="6" borderId="0" xfId="0" applyFont="1" applyFill="1" applyAlignment="1">
      <alignment horizontal="left"/>
    </xf>
    <xf numFmtId="0" fontId="3" fillId="7" borderId="0" xfId="0" applyFont="1" applyFill="1" applyAlignment="1">
      <alignment horizontal="left"/>
    </xf>
    <xf numFmtId="0" fontId="3" fillId="25" borderId="0" xfId="0" applyFont="1" applyFill="1" applyAlignment="1">
      <alignment horizontal="left"/>
    </xf>
    <xf numFmtId="0" fontId="3" fillId="26" borderId="0" xfId="0" applyFont="1" applyFill="1" applyAlignment="1">
      <alignment horizontal="left"/>
    </xf>
    <xf numFmtId="0" fontId="3" fillId="3" borderId="0" xfId="0" applyFont="1" applyFill="1" applyAlignment="1">
      <alignment horizontal="left"/>
    </xf>
    <xf numFmtId="169" fontId="49" fillId="0" borderId="0" xfId="0" applyFont="1" applyNumberFormat="1"/>
    <xf numFmtId="2" fontId="49" fillId="0" borderId="0" xfId="0" applyFont="1" applyNumberFormat="1"/>
    <xf numFmtId="0" fontId="50" fillId="0" borderId="0" xfId="0" applyFont="1"/>
    <xf numFmtId="0" fontId="45" fillId="0" borderId="0" xfId="0" applyFont="1" applyAlignment="1">
      <alignment horizontal="left"/>
    </xf>
    <xf numFmtId="0" fontId="45" fillId="0" borderId="0" xfId="0" applyFont="1" applyAlignment="1">
      <alignment horizontal="center" wrapText="1"/>
    </xf>
    <xf numFmtId="1" fontId="44" fillId="0" borderId="71" xfId="0" applyFont="1" applyNumberFormat="1" applyBorder="1" applyAlignment="1">
      <alignment horizontal="center" vertical="top"/>
    </xf>
    <xf numFmtId="0" fontId="45" fillId="23" borderId="71" xfId="0" applyFont="1" applyFill="1" applyBorder="1" applyAlignment="1">
      <alignment horizontal="center" vertical="top"/>
    </xf>
    <xf numFmtId="0" fontId="45" fillId="0" borderId="0" xfId="0" applyFont="1" applyAlignment="1">
      <alignment horizontal="center"/>
    </xf>
    <xf numFmtId="0" fontId="45" fillId="0" borderId="0" xfId="0" applyFont="1" applyAlignment="1">
      <alignment horizontal="left" wrapText="1"/>
    </xf>
    <xf numFmtId="0" fontId="44" fillId="0" borderId="0" xfId="0" applyFont="1" applyAlignment="1">
      <alignment horizontal="left" vertical="top"/>
    </xf>
    <xf numFmtId="0" fontId="44" fillId="0" borderId="0" xfId="0" applyFont="1" applyAlignment="1">
      <alignment horizontal="center" vertical="top" wrapText="1"/>
    </xf>
    <xf numFmtId="1" fontId="44" fillId="24" borderId="0" xfId="0" applyFont="1" applyNumberFormat="1" applyFill="1" applyAlignment="1">
      <alignment horizontal="center" vertical="top"/>
    </xf>
    <xf numFmtId="0" fontId="45" fillId="24" borderId="0" xfId="0" applyFont="1" applyFill="1" applyAlignment="1">
      <alignment horizontal="center" vertical="top"/>
    </xf>
    <xf numFmtId="0" fontId="45" fillId="24" borderId="0" xfId="0" applyFont="1" applyFill="1" applyAlignment="1">
      <alignment horizontal="left" vertical="top" wrapText="1"/>
    </xf>
    <xf numFmtId="0" fontId="45" fillId="0" borderId="0" xfId="0" applyFont="1" applyAlignment="1">
      <alignment horizontal="left" vertical="top" wrapText="1"/>
    </xf>
    <xf numFmtId="0" fontId="44" fillId="0" borderId="55" xfId="0" applyFont="1" applyBorder="1" applyAlignment="1">
      <alignment horizontal="left" vertical="top"/>
    </xf>
    <xf numFmtId="0" fontId="44" fillId="0" borderId="55" xfId="0" applyFont="1" applyBorder="1" applyAlignment="1">
      <alignment horizontal="center" vertical="top" wrapText="1"/>
    </xf>
    <xf numFmtId="1" fontId="44" fillId="3" borderId="55" xfId="0" applyFont="1" applyNumberFormat="1" applyFill="1" applyBorder="1" applyAlignment="1">
      <alignment horizontal="center" vertical="top"/>
    </xf>
    <xf numFmtId="3" fontId="44" fillId="3" borderId="55" xfId="0" applyFont="1" applyNumberFormat="1" applyFill="1" applyBorder="1" applyAlignment="1">
      <alignment horizontal="center" vertical="top"/>
    </xf>
    <xf numFmtId="0" fontId="45" fillId="3" borderId="55" xfId="0" applyFont="1" applyFill="1" applyBorder="1" applyAlignment="1">
      <alignment horizontal="center" vertical="top"/>
    </xf>
    <xf numFmtId="0" fontId="45" fillId="0" borderId="55" xfId="0" applyFont="1" applyBorder="1" applyAlignment="1">
      <alignment horizontal="left" vertical="top" wrapText="1"/>
    </xf>
    <xf numFmtId="0" fontId="44" fillId="0" borderId="5" xfId="0" applyFont="1" applyBorder="1" applyAlignment="1">
      <alignment horizontal="left" vertical="top"/>
    </xf>
    <xf numFmtId="0" fontId="44" fillId="0" borderId="5" xfId="0" applyFont="1" applyBorder="1" applyAlignment="1">
      <alignment horizontal="center" vertical="top" wrapText="1"/>
    </xf>
    <xf numFmtId="3" fontId="47" fillId="0" borderId="0" xfId="0" applyFont="1" applyNumberFormat="1" applyAlignment="1">
      <alignment vertical="top"/>
    </xf>
    <xf numFmtId="0" fontId="44" fillId="24" borderId="5" xfId="0" applyFont="1" applyFill="1" applyBorder="1" applyAlignment="1">
      <alignment horizontal="center" vertical="top"/>
    </xf>
    <xf numFmtId="0" fontId="45" fillId="0" borderId="5" xfId="0" applyFont="1" applyBorder="1" applyAlignment="1">
      <alignment horizontal="left" vertical="top" wrapText="1"/>
    </xf>
    <xf numFmtId="0" fontId="45" fillId="0" borderId="0" xfId="0" applyFont="1" applyAlignment="1">
      <alignment horizontal="left" vertical="top"/>
    </xf>
    <xf numFmtId="0" fontId="45" fillId="0" borderId="0" xfId="0" applyFont="1" applyAlignment="1">
      <alignment horizontal="center" vertical="top" wrapText="1"/>
    </xf>
    <xf numFmtId="3" fontId="44" fillId="24" borderId="0" xfId="0" applyFont="1" applyNumberFormat="1" applyFill="1" applyAlignment="1">
      <alignment horizontal="center" vertical="top"/>
    </xf>
    <xf numFmtId="0" fontId="44" fillId="24" borderId="0" xfId="0" applyFont="1" applyFill="1" applyAlignment="1">
      <alignment horizontal="center" vertical="top"/>
    </xf>
    <xf numFmtId="1" fontId="45" fillId="24" borderId="0" xfId="0" applyFont="1" applyNumberFormat="1" applyFill="1" applyAlignment="1">
      <alignment horizontal="center" vertical="top"/>
    </xf>
    <xf numFmtId="0" fontId="45" fillId="0" borderId="0" xfId="0" applyFont="1" applyAlignment="1">
      <alignment horizontal="center" vertical="top"/>
    </xf>
    <xf numFmtId="1" fontId="45" fillId="24" borderId="0" xfId="0" applyFont="1" applyNumberFormat="1" applyFill="1" applyAlignment="1">
      <alignment horizontal="center"/>
    </xf>
    <xf numFmtId="1" fontId="45" fillId="24" borderId="0" xfId="0" applyFont="1" applyNumberFormat="1" applyFill="1" applyAlignment="1">
      <alignment horizontal="center" vertical="center"/>
    </xf>
    <xf numFmtId="1" fontId="44" fillId="24" borderId="0" xfId="0" applyFont="1" applyNumberFormat="1" applyFill="1" applyAlignment="1">
      <alignment horizontal="center" vertical="center"/>
    </xf>
    <xf numFmtId="0" fontId="45" fillId="0" borderId="0" xfId="0" applyFont="1" applyAlignment="1">
      <alignment horizontal="left" vertical="center"/>
    </xf>
    <xf numFmtId="0" fontId="45" fillId="0" borderId="0" xfId="0" applyFont="1" applyAlignment="1">
      <alignment horizontal="center" vertical="center" wrapText="1"/>
    </xf>
    <xf numFmtId="0" fontId="44" fillId="0" borderId="0" xfId="0" applyFont="1" applyAlignment="1">
      <alignment horizontal="left" vertical="top" wrapText="1"/>
    </xf>
    <xf numFmtId="1" fontId="44" fillId="24" borderId="5" xfId="0" applyFont="1" applyNumberFormat="1" applyFill="1" applyBorder="1" applyAlignment="1">
      <alignment horizontal="center" vertical="top"/>
    </xf>
    <xf numFmtId="3" fontId="44" fillId="24" borderId="5" xfId="0" applyFont="1" applyNumberFormat="1" applyFill="1" applyBorder="1" applyAlignment="1">
      <alignment horizontal="center" vertical="top"/>
    </xf>
    <xf numFmtId="0" fontId="45" fillId="24" borderId="5" xfId="0" applyFont="1" applyFill="1" applyBorder="1" applyAlignment="1">
      <alignment horizontal="center" vertical="top"/>
    </xf>
    <xf numFmtId="0" fontId="13" fillId="24" borderId="5" xfId="0" applyFont="1" applyFill="1" applyBorder="1" applyAlignment="1">
      <alignment horizontal="left" vertical="top" wrapText="1"/>
    </xf>
    <xf numFmtId="0" fontId="44" fillId="23" borderId="0" xfId="0" applyFont="1" applyFill="1" applyAlignment="1">
      <alignment horizontal="center"/>
    </xf>
    <xf numFmtId="0" fontId="45" fillId="23" borderId="0" xfId="0" applyFont="1" applyFill="1" applyAlignment="1">
      <alignment horizontal="left" wrapText="1"/>
    </xf>
    <xf numFmtId="1" fontId="44" fillId="27" borderId="0" xfId="0" applyFont="1" applyNumberFormat="1" applyFill="1" applyAlignment="1">
      <alignment horizontal="center" vertical="top"/>
    </xf>
    <xf numFmtId="3" fontId="44" fillId="27" borderId="0" xfId="0" applyFont="1" applyNumberFormat="1" applyFill="1" applyAlignment="1">
      <alignment horizontal="center" vertical="top"/>
    </xf>
    <xf numFmtId="0" fontId="45" fillId="27" borderId="0" xfId="0" applyFont="1" applyFill="1" applyAlignment="1">
      <alignment horizontal="center" vertical="top"/>
    </xf>
    <xf numFmtId="0" fontId="45" fillId="27" borderId="0" xfId="0" applyFont="1" applyFill="1" applyAlignment="1">
      <alignment horizontal="left" vertical="top" wrapText="1"/>
    </xf>
    <xf numFmtId="1" fontId="45" fillId="28" borderId="0" xfId="0" applyFont="1" applyNumberFormat="1" applyFill="1" applyAlignment="1">
      <alignment horizontal="center" vertical="top"/>
    </xf>
    <xf numFmtId="0" fontId="45" fillId="28" borderId="0" xfId="0" applyFont="1" applyFill="1" applyAlignment="1">
      <alignment horizontal="center" vertical="top"/>
    </xf>
    <xf numFmtId="0" fontId="45" fillId="28" borderId="0" xfId="0" applyFont="1" applyFill="1" applyAlignment="1">
      <alignment horizontal="left" vertical="top" wrapText="1"/>
    </xf>
    <xf numFmtId="1" fontId="45" fillId="28" borderId="0" xfId="0" applyFont="1" applyNumberFormat="1" applyFill="1" applyAlignment="1">
      <alignment horizontal="center"/>
    </xf>
    <xf numFmtId="1" fontId="44" fillId="28" borderId="0" xfId="0" applyFont="1" applyNumberFormat="1" applyFill="1" applyAlignment="1">
      <alignment horizontal="center" vertical="top"/>
    </xf>
    <xf numFmtId="3" fontId="44" fillId="28" borderId="0" xfId="0" applyFont="1" applyNumberFormat="1" applyFill="1" applyAlignment="1">
      <alignment horizontal="center" vertical="top"/>
    </xf>
    <xf numFmtId="1" fontId="44" fillId="26" borderId="0" xfId="0" applyFont="1" applyNumberFormat="1" applyFill="1" applyAlignment="1">
      <alignment horizontal="center" vertical="top"/>
    </xf>
    <xf numFmtId="0" fontId="45" fillId="26" borderId="0" xfId="0" applyFont="1" applyFill="1" applyAlignment="1">
      <alignment horizontal="center" vertical="top"/>
    </xf>
    <xf numFmtId="3" fontId="44" fillId="26" borderId="0" xfId="0" applyFont="1" applyNumberFormat="1" applyFill="1" applyAlignment="1">
      <alignment horizontal="center" vertical="top"/>
    </xf>
    <xf numFmtId="0" fontId="44" fillId="26" borderId="0" xfId="0" applyFont="1" applyFill="1" applyAlignment="1">
      <alignment horizontal="center" vertical="top"/>
    </xf>
    <xf numFmtId="0" fontId="44" fillId="9" borderId="0" xfId="0" applyFont="1" applyFill="1" applyAlignment="1">
      <alignment horizontal="left" vertical="top"/>
    </xf>
    <xf numFmtId="0" fontId="44" fillId="9" borderId="0" xfId="0" applyFont="1" applyFill="1" applyAlignment="1">
      <alignment horizontal="center" vertical="top" wrapText="1"/>
    </xf>
    <xf numFmtId="0" fontId="45" fillId="9" borderId="0" xfId="0" applyFont="1" applyFill="1" applyAlignment="1">
      <alignment horizontal="left" vertical="top" wrapText="1"/>
    </xf>
    <xf numFmtId="1" fontId="44" fillId="26" borderId="54" xfId="0" applyFont="1" applyNumberFormat="1" applyFill="1" applyBorder="1" applyAlignment="1">
      <alignment horizontal="center" vertical="top"/>
    </xf>
    <xf numFmtId="1" fontId="44" fillId="26" borderId="55" xfId="0" applyFont="1" applyNumberFormat="1" applyFill="1" applyBorder="1" applyAlignment="1">
      <alignment horizontal="center" vertical="top"/>
    </xf>
    <xf numFmtId="3" fontId="44" fillId="26" borderId="55" xfId="0" applyFont="1" applyNumberFormat="1" applyFill="1" applyBorder="1" applyAlignment="1">
      <alignment horizontal="center" vertical="top"/>
    </xf>
    <xf numFmtId="0" fontId="45" fillId="26" borderId="56" xfId="0" applyFont="1" applyFill="1" applyBorder="1" applyAlignment="1">
      <alignment horizontal="center" vertical="top" wrapText="1"/>
    </xf>
    <xf numFmtId="1" fontId="44" fillId="11" borderId="0" xfId="0" applyFont="1" applyNumberFormat="1" applyFill="1" applyAlignment="1">
      <alignment horizontal="center" vertical="top"/>
    </xf>
    <xf numFmtId="1" fontId="45" fillId="11" borderId="0" xfId="0" applyFont="1" applyNumberFormat="1" applyFill="1" applyAlignment="1">
      <alignment horizontal="center" vertical="top"/>
    </xf>
    <xf numFmtId="0" fontId="44" fillId="11" borderId="0" xfId="0" applyFont="1" applyFill="1" applyAlignment="1">
      <alignment horizontal="center" vertical="top"/>
    </xf>
    <xf numFmtId="0" fontId="13" fillId="0" borderId="0" xfId="0" applyFont="1" applyAlignment="1">
      <alignment horizontal="left" vertical="top" wrapText="1"/>
    </xf>
    <xf numFmtId="1" fontId="44" fillId="22" borderId="0" xfId="0" applyFont="1" applyNumberFormat="1" applyFill="1" applyAlignment="1">
      <alignment horizontal="center" vertical="top"/>
    </xf>
    <xf numFmtId="1" fontId="47" fillId="0" borderId="72" xfId="0" applyFont="1" applyNumberFormat="1" applyBorder="1" applyAlignment="1">
      <alignment horizontal="center" vertical="top"/>
    </xf>
    <xf numFmtId="1" fontId="47" fillId="0" borderId="0" xfId="0" applyFont="1" applyNumberFormat="1" applyAlignment="1">
      <alignment horizontal="center" vertical="top"/>
    </xf>
    <xf numFmtId="1" fontId="47" fillId="0" borderId="54" xfId="0" applyFont="1" applyNumberFormat="1" applyBorder="1" applyAlignment="1">
      <alignment horizontal="center" vertical="top"/>
    </xf>
    <xf numFmtId="1" fontId="47" fillId="0" borderId="55" xfId="0" applyFont="1" applyNumberFormat="1" applyBorder="1" applyAlignment="1">
      <alignment horizontal="center" vertical="top"/>
    </xf>
    <xf numFmtId="1" fontId="47" fillId="0" borderId="56" xfId="0" applyFont="1" applyNumberFormat="1" applyBorder="1" applyAlignment="1">
      <alignment horizontal="center" vertical="top"/>
    </xf>
    <xf numFmtId="0" fontId="2" fillId="2" borderId="0" xfId="0" applyFont="1" applyFill="1" applyAlignment="1">
      <alignment horizontal="left" indent="2"/>
    </xf>
    <xf numFmtId="0" fontId="2"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8" borderId="0" xfId="0" applyFont="1" applyFill="1"/>
    <xf numFmtId="0" fontId="12" fillId="8" borderId="0" xfId="0" applyFont="1" applyFill="1" applyAlignment="1">
      <alignment horizontal="left"/>
    </xf>
    <xf numFmtId="0" fontId="2" fillId="8" borderId="0" xfId="0" applyFont="1" applyFill="1" applyAlignment="1">
      <alignment horizontal="left" indent="2"/>
    </xf>
    <xf numFmtId="0" fontId="2" fillId="8" borderId="0" xfId="0" applyFont="1" applyFill="1" applyAlignment="1">
      <alignment horizontal="right"/>
    </xf>
    <xf numFmtId="0" fontId="12" fillId="29" borderId="0" xfId="0" applyFont="1" applyFill="1" applyAlignment="1">
      <alignment horizontal="center"/>
    </xf>
    <xf numFmtId="0" fontId="53" fillId="0" borderId="0" xfId="0" applyFont="1" applyAlignment="1">
      <alignment horizontal="right" vertical="top"/>
    </xf>
    <xf numFmtId="3" fontId="40" fillId="0" borderId="0" xfId="0" applyFont="1" applyNumberFormat="1"/>
    <xf numFmtId="3" fontId="54" fillId="0" borderId="0" xfId="0" applyFont="1" applyNumberFormat="1" applyAlignment="1">
      <alignment horizontal="right" vertical="top"/>
    </xf>
    <xf numFmtId="0" fontId="55" fillId="30" borderId="0" xfId="0" applyFont="1" applyFill="1" applyAlignment="1">
      <alignment horizontal="right"/>
    </xf>
    <xf numFmtId="0" fontId="56" fillId="0" borderId="0" xfId="0" applyFont="1"/>
    <xf numFmtId="0" fontId="44" fillId="0" borderId="0" xfId="0" applyFont="1" applyAlignment="1">
      <alignment horizontal="right"/>
    </xf>
    <xf numFmtId="165" fontId="57" fillId="0" borderId="0" xfId="0" applyFont="1" applyNumberFormat="1" applyAlignment="1">
      <alignment horizontal="right" vertical="top"/>
    </xf>
    <xf numFmtId="165" fontId="55" fillId="30" borderId="0" xfId="0" applyFont="1" applyNumberFormat="1" applyFill="1" applyAlignment="1">
      <alignment horizontal="right"/>
    </xf>
    <xf numFmtId="3" fontId="7" fillId="0" borderId="0" xfId="0" applyFont="1" applyNumberFormat="1"/>
    <xf numFmtId="0" fontId="7" fillId="0" borderId="0" xfId="0" applyFont="1"/>
    <xf numFmtId="165" fontId="44" fillId="0" borderId="0" xfId="0" applyFont="1" applyNumberFormat="1" applyAlignment="1">
      <alignment horizontal="right"/>
    </xf>
    <xf numFmtId="3" fontId="44" fillId="0" borderId="0" xfId="0" applyFont="1" applyNumberFormat="1" applyAlignment="1">
      <alignment horizontal="right"/>
    </xf>
    <xf numFmtId="0" fontId="7" fillId="31" borderId="0" xfId="0" applyFont="1" applyFill="1" applyAlignment="1">
      <alignment wrapText="1"/>
    </xf>
    <xf numFmtId="0" fontId="8" fillId="31" borderId="0" xfId="0" applyFont="1" applyFill="1" applyAlignment="1">
      <alignment vertical="top"/>
    </xf>
    <xf numFmtId="0" fontId="7" fillId="31" borderId="0" xfId="0" applyFont="1" applyFill="1" applyAlignment="1">
      <alignment horizontal="right"/>
    </xf>
    <xf numFmtId="0" fontId="7" fillId="31" borderId="0" xfId="0" applyFont="1" applyFill="1"/>
    <xf numFmtId="168" fontId="7" fillId="31" borderId="0" xfId="0" applyFont="1" applyNumberFormat="1" applyFill="1" applyAlignment="1">
      <alignment horizontal="center"/>
    </xf>
    <xf numFmtId="0" fontId="1" fillId="31" borderId="0" xfId="0" applyFont="1" applyFill="1" applyAlignment="1">
      <alignment wrapText="1"/>
    </xf>
    <xf numFmtId="170" fontId="7" fillId="0" borderId="0" xfId="0" applyFont="1" applyNumberFormat="1" applyAlignment="1">
      <alignment horizontal="right"/>
    </xf>
    <xf numFmtId="0" fontId="58" fillId="31" borderId="0" xfId="0" applyFont="1" applyFill="1" applyAlignment="1">
      <alignment horizontal="center" wrapText="1"/>
    </xf>
    <xf numFmtId="0" fontId="7" fillId="31"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2" borderId="0" xfId="0" applyFont="1" applyFill="1" applyAlignment="1">
      <alignment horizontal="center" wrapText="1"/>
    </xf>
    <xf numFmtId="0" fontId="8" fillId="33" borderId="0" xfId="0" applyFont="1" applyFill="1" applyAlignment="1">
      <alignment vertical="top"/>
    </xf>
    <xf numFmtId="0" fontId="40" fillId="33" borderId="0" xfId="0" applyFont="1" applyFill="1"/>
    <xf numFmtId="0" fontId="7" fillId="33" borderId="0" xfId="0" applyFont="1" applyFill="1"/>
    <xf numFmtId="0" fontId="59" fillId="33" borderId="0" xfId="0" applyFont="1" applyFill="1"/>
    <xf numFmtId="0" fontId="7" fillId="33" borderId="0" xfId="0" applyFont="1" applyFill="1" applyAlignment="1">
      <alignment horizontal="right"/>
    </xf>
    <xf numFmtId="0" fontId="1" fillId="33"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3" borderId="0" xfId="0" applyFont="1" applyFill="1" applyAlignment="1">
      <alignment vertical="top" wrapText="1"/>
    </xf>
    <xf numFmtId="0" fontId="8" fillId="31" borderId="0" xfId="0" applyFont="1" applyFill="1" applyAlignment="1">
      <alignment wrapText="1"/>
    </xf>
    <xf numFmtId="0" fontId="59" fillId="0" borderId="0" xfId="0" applyFont="1"/>
    <xf numFmtId="1" fontId="8" fillId="0" borderId="0" xfId="0" applyFont="1" applyNumberFormat="1" applyAlignment="1">
      <alignment vertical="top"/>
    </xf>
    <xf numFmtId="0" fontId="7" fillId="0" borderId="0" xfId="0" applyFont="1" applyAlignment="1">
      <alignment horizontal="right"/>
    </xf>
    <xf numFmtId="0" fontId="40" fillId="0" borderId="0" xfId="0" applyFont="1" applyAlignment="1">
      <alignment horizontal="right"/>
    </xf>
    <xf numFmtId="0" fontId="40" fillId="0" borderId="0" xfId="0" applyFont="1"/>
    <xf numFmtId="0" fontId="1" fillId="10" borderId="0" xfId="0" applyFont="1" applyFill="1" applyAlignment="1">
      <alignment wrapText="1"/>
    </xf>
    <xf numFmtId="0" fontId="8" fillId="10" borderId="0" xfId="0" applyFont="1" applyFill="1" applyAlignment="1">
      <alignment vertical="top"/>
    </xf>
    <xf numFmtId="0" fontId="8" fillId="10" borderId="0" xfId="0" applyFont="1" applyFill="1" applyAlignment="1">
      <alignment vertical="top" wrapText="1"/>
    </xf>
    <xf numFmtId="0" fontId="7" fillId="34" borderId="0" xfId="0" applyFont="1" applyFill="1" applyAlignment="1">
      <alignment wrapText="1"/>
    </xf>
    <xf numFmtId="0" fontId="7" fillId="35" borderId="0" xfId="0" applyFont="1" applyFill="1" applyAlignment="1">
      <alignment horizontal="center" wrapText="1"/>
    </xf>
    <xf numFmtId="0" fontId="40" fillId="10" borderId="0" xfId="0" applyFont="1" applyFill="1" applyAlignment="1">
      <alignment horizontal="right"/>
    </xf>
    <xf numFmtId="0" fontId="7" fillId="10" borderId="0" xfId="0" applyFont="1" applyFill="1" applyAlignment="1">
      <alignment horizontal="right"/>
    </xf>
    <xf numFmtId="0" fontId="55" fillId="0" borderId="0" xfId="0" applyFont="1"/>
    <xf numFmtId="170" fontId="53"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36" borderId="0" xfId="0" applyFont="1" applyFill="1" applyAlignment="1">
      <alignment horizontal="center" wrapText="1"/>
    </xf>
    <xf numFmtId="0" fontId="1" fillId="10" borderId="0" xfId="0" applyFont="1" applyFill="1" applyAlignment="1">
      <alignment horizontal="center" wrapText="1"/>
    </xf>
    <xf numFmtId="0" fontId="7" fillId="37" borderId="0" xfId="0" applyFont="1" applyFill="1" applyAlignment="1">
      <alignment horizontal="center" wrapText="1"/>
    </xf>
    <xf numFmtId="9" fontId="1" fillId="0" borderId="0" xfId="0" applyFont="1" applyNumberFormat="1"/>
    <xf numFmtId="0" fontId="40" fillId="38" borderId="0" xfId="0" applyFont="1" applyFill="1" applyAlignment="1">
      <alignment wrapText="1"/>
    </xf>
    <xf numFmtId="0" fontId="1" fillId="38" borderId="0" xfId="0" applyFont="1" applyFill="1"/>
    <xf numFmtId="0" fontId="7" fillId="0" borderId="0" xfId="0" applyFont="1" applyAlignment="1">
      <alignment horizontal="center"/>
    </xf>
    <xf numFmtId="2" fontId="7" fillId="0" borderId="0" xfId="0" applyFont="1" applyNumberFormat="1" applyAlignment="1">
      <alignment horizontal="center"/>
    </xf>
    <xf numFmtId="2" fontId="7" fillId="0" borderId="0" xfId="0" applyFont="1" applyNumberFormat="1"/>
    <xf numFmtId="0" fontId="58"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58" fillId="0" borderId="0" xfId="0" applyFont="1" applyAlignment="1">
      <alignment horizontal="center" wrapText="1"/>
    </xf>
    <xf numFmtId="0" fontId="7" fillId="16" borderId="0" xfId="0" applyFont="1" applyFill="1"/>
    <xf numFmtId="0" fontId="28" fillId="24" borderId="1" xfId="0" applyFont="1" applyFill="1" applyBorder="1" applyAlignment="1">
      <alignment horizontal="left" indent="2"/>
    </xf>
  </cellXfs>
  <cellStyles count="1">
    <cellStyle name="Normal" xfId="0" builtinId="0"/>
  </cellStyles>
  <dxfs count="19">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externalLink" Target="externalLinks/externalLink1.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 Id="rId38" Type="http://schemas.microsoft.com/office/2017/10/relationships/person" Target="persons/person.xml"/></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s>
</file>

<file path=xl/drawings/_rels/drawing24.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9.xml.rels><?xml version="1.0" encoding="UTF-8" standalone="yes"?><Relationships xmlns="http://schemas.openxmlformats.org/package/2006/relationships"></Relationships>
</file>

<file path=xl/drawings/_rels/drawing30.xml.rels><?xml version="1.0" encoding="UTF-8" standalone="yes"?><Relationships xmlns="http://schemas.openxmlformats.org/package/2006/relationships"></Relationships>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49741</xdr:rowOff>
    </xdr:from>
    <xdr:to>
      <xdr:col>4</xdr:col>
      <xdr:colOff>0</xdr:colOff>
      <xdr:row>41</xdr:row>
      <xdr:rowOff>44803</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49741</xdr:rowOff>
    </xdr:from>
    <xdr:to>
      <xdr:col>4</xdr:col>
      <xdr:colOff>0</xdr:colOff>
      <xdr:row>41</xdr:row>
      <xdr:rowOff>44803</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68</xdr:row>
      <xdr:rowOff>86431</xdr:rowOff>
    </xdr:from>
    <xdr:to>
      <xdr:col>5</xdr:col>
      <xdr:colOff>0</xdr:colOff>
      <xdr:row>73</xdr:row>
      <xdr:rowOff>39709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88896</xdr:rowOff>
    </xdr:from>
    <xdr:to>
      <xdr:col>4</xdr:col>
      <xdr:colOff>800100</xdr:colOff>
      <xdr:row>67</xdr:row>
      <xdr:rowOff>163276</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86431</xdr:rowOff>
    </xdr:from>
    <xdr:to>
      <xdr:col>5</xdr:col>
      <xdr:colOff>0</xdr:colOff>
      <xdr:row>73</xdr:row>
      <xdr:rowOff>39709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29946</xdr:rowOff>
    </xdr:from>
    <xdr:to>
      <xdr:col>20</xdr:col>
      <xdr:colOff>381000</xdr:colOff>
      <xdr:row>106</xdr:row>
      <xdr:rowOff>107779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101</xdr:row>
      <xdr:rowOff>59515</xdr:rowOff>
    </xdr:from>
    <xdr:to>
      <xdr:col>20</xdr:col>
      <xdr:colOff>381000</xdr:colOff>
      <xdr:row>105</xdr:row>
      <xdr:rowOff>9532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101</xdr:row>
      <xdr:rowOff>59515</xdr:rowOff>
    </xdr:from>
    <xdr:to>
      <xdr:col>20</xdr:col>
      <xdr:colOff>381000</xdr:colOff>
      <xdr:row>105</xdr:row>
      <xdr:rowOff>9532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59515</xdr:rowOff>
    </xdr:from>
    <xdr:to>
      <xdr:col>20</xdr:col>
      <xdr:colOff>381000</xdr:colOff>
      <xdr:row>105</xdr:row>
      <xdr:rowOff>9532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160349</xdr:rowOff>
    </xdr:from>
    <xdr:to>
      <xdr:col>5</xdr:col>
      <xdr:colOff>0</xdr:colOff>
      <xdr:row>59</xdr:row>
      <xdr:rowOff>29268</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59515</xdr:rowOff>
    </xdr:from>
    <xdr:to>
      <xdr:col>20</xdr:col>
      <xdr:colOff>381000</xdr:colOff>
      <xdr:row>105</xdr:row>
      <xdr:rowOff>9532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106374</xdr:rowOff>
    </xdr:from>
    <xdr:to>
      <xdr:col>5</xdr:col>
      <xdr:colOff>0</xdr:colOff>
      <xdr:row>59</xdr:row>
      <xdr:rowOff>83814</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126092</xdr:rowOff>
    </xdr:from>
    <xdr:to>
      <xdr:col>4</xdr:col>
      <xdr:colOff>800100</xdr:colOff>
      <xdr:row>53</xdr:row>
      <xdr:rowOff>16430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106374</xdr:rowOff>
    </xdr:from>
    <xdr:to>
      <xdr:col>5</xdr:col>
      <xdr:colOff>0</xdr:colOff>
      <xdr:row>59</xdr:row>
      <xdr:rowOff>83814</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141357</xdr:rowOff>
    </xdr:from>
    <xdr:to>
      <xdr:col>20</xdr:col>
      <xdr:colOff>381000</xdr:colOff>
      <xdr:row>106</xdr:row>
      <xdr:rowOff>28404</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101708</xdr:rowOff>
    </xdr:from>
    <xdr:to>
      <xdr:col>5</xdr:col>
      <xdr:colOff>0</xdr:colOff>
      <xdr:row>82</xdr:row>
      <xdr:rowOff>46169</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113773</xdr:rowOff>
    </xdr:from>
    <xdr:to>
      <xdr:col>4</xdr:col>
      <xdr:colOff>800100</xdr:colOff>
      <xdr:row>76</xdr:row>
      <xdr:rowOff>132188</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101708</xdr:rowOff>
    </xdr:from>
    <xdr:to>
      <xdr:col>5</xdr:col>
      <xdr:colOff>0</xdr:colOff>
      <xdr:row>82</xdr:row>
      <xdr:rowOff>46169</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134</xdr:row>
      <xdr:rowOff>161218</xdr:rowOff>
    </xdr:from>
    <xdr:to>
      <xdr:col>20</xdr:col>
      <xdr:colOff>381000</xdr:colOff>
      <xdr:row>140</xdr:row>
      <xdr:rowOff>28368</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101708</xdr:rowOff>
    </xdr:from>
    <xdr:to>
      <xdr:col>5</xdr:col>
      <xdr:colOff>0</xdr:colOff>
      <xdr:row>82</xdr:row>
      <xdr:rowOff>27754</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101708</xdr:rowOff>
    </xdr:from>
    <xdr:to>
      <xdr:col>4</xdr:col>
      <xdr:colOff>800100</xdr:colOff>
      <xdr:row>76</xdr:row>
      <xdr:rowOff>101708</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101708</xdr:rowOff>
    </xdr:from>
    <xdr:to>
      <xdr:col>5</xdr:col>
      <xdr:colOff>0</xdr:colOff>
      <xdr:row>82</xdr:row>
      <xdr:rowOff>27754</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134</xdr:row>
      <xdr:rowOff>142803</xdr:rowOff>
    </xdr:from>
    <xdr:to>
      <xdr:col>20</xdr:col>
      <xdr:colOff>381000</xdr:colOff>
      <xdr:row>140</xdr:row>
      <xdr:rowOff>6778</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105132</xdr:rowOff>
    </xdr:from>
    <xdr:to>
      <xdr:col>21</xdr:col>
      <xdr:colOff>438150</xdr:colOff>
      <xdr:row>46</xdr:row>
      <xdr:rowOff>101956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100</xdr:row>
      <xdr:rowOff>10024</xdr:rowOff>
    </xdr:from>
    <xdr:to>
      <xdr:col>13</xdr:col>
      <xdr:colOff>19050</xdr:colOff>
      <xdr:row>103</xdr:row>
      <xdr:rowOff>85583</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84192</xdr:rowOff>
    </xdr:from>
    <xdr:to>
      <xdr:col>5</xdr:col>
      <xdr:colOff>0</xdr:colOff>
      <xdr:row>70</xdr:row>
      <xdr:rowOff>134277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84192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84192</xdr:rowOff>
    </xdr:from>
    <xdr:to>
      <xdr:col>5</xdr:col>
      <xdr:colOff>0</xdr:colOff>
      <xdr:row>70</xdr:row>
      <xdr:rowOff>134277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31</xdr:row>
      <xdr:rowOff>125251</xdr:rowOff>
    </xdr:from>
    <xdr:to>
      <xdr:col>21</xdr:col>
      <xdr:colOff>438150</xdr:colOff>
      <xdr:row>34</xdr:row>
      <xdr:rowOff>235663</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102314</xdr:rowOff>
    </xdr:from>
    <xdr:to>
      <xdr:col>13</xdr:col>
      <xdr:colOff>19050</xdr:colOff>
      <xdr:row>89</xdr:row>
      <xdr:rowOff>495941</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140877</xdr:rowOff>
    </xdr:from>
    <xdr:to>
      <xdr:col>21</xdr:col>
      <xdr:colOff>266700</xdr:colOff>
      <xdr:row>115</xdr:row>
      <xdr:rowOff>150759</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102884</xdr:rowOff>
    </xdr:from>
    <xdr:to>
      <xdr:col>21</xdr:col>
      <xdr:colOff>419100</xdr:colOff>
      <xdr:row>34</xdr:row>
      <xdr:rowOff>216613</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121934</xdr:rowOff>
    </xdr:from>
    <xdr:to>
      <xdr:col>21</xdr:col>
      <xdr:colOff>419100</xdr:colOff>
      <xdr:row>34</xdr:row>
      <xdr:rowOff>216613</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4</xdr:col>
      <xdr:colOff>800100</xdr:colOff>
      <xdr:row>64</xdr:row>
      <xdr:rowOff>36567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36567</xdr:rowOff>
    </xdr:from>
    <xdr:to>
      <xdr:col>5</xdr:col>
      <xdr:colOff>0</xdr:colOff>
      <xdr:row>70</xdr:row>
      <xdr:rowOff>115227</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26577</xdr:rowOff>
    </xdr:from>
    <xdr:to>
      <xdr:col>20</xdr:col>
      <xdr:colOff>381000</xdr:colOff>
      <xdr:row>114</xdr:row>
      <xdr:rowOff>95250</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121934</xdr:rowOff>
    </xdr:from>
    <xdr:to>
      <xdr:col>21</xdr:col>
      <xdr:colOff>419100</xdr:colOff>
      <xdr:row>34</xdr:row>
      <xdr:rowOff>216613</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83264</xdr:rowOff>
    </xdr:from>
    <xdr:to>
      <xdr:col>13</xdr:col>
      <xdr:colOff>0</xdr:colOff>
      <xdr:row>89</xdr:row>
      <xdr:rowOff>495941</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140877</xdr:rowOff>
    </xdr:from>
    <xdr:to>
      <xdr:col>21</xdr:col>
      <xdr:colOff>266700</xdr:colOff>
      <xdr:row>115</xdr:row>
      <xdr:rowOff>125359</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4</xdr:col>
      <xdr:colOff>800100</xdr:colOff>
      <xdr:row>57</xdr:row>
      <xdr:rowOff>114300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76200</xdr:rowOff>
    </xdr:from>
    <xdr:to>
      <xdr:col>20</xdr:col>
      <xdr:colOff>381000</xdr:colOff>
      <xdr:row>97</xdr:row>
      <xdr:rowOff>114300</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0</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57150</xdr:rowOff>
    </xdr:from>
    <xdr:to>
      <xdr:col>13</xdr:col>
      <xdr:colOff>0</xdr:colOff>
      <xdr:row>85</xdr:row>
      <xdr:rowOff>133350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0</xdr:rowOff>
    </xdr:from>
    <xdr:to>
      <xdr:col>21</xdr:col>
      <xdr:colOff>266700</xdr:colOff>
      <xdr:row>98</xdr:row>
      <xdr:rowOff>76200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114300</xdr:rowOff>
    </xdr:from>
    <xdr:to>
      <xdr:col>4</xdr:col>
      <xdr:colOff>133350</xdr:colOff>
      <xdr:row>87</xdr:row>
      <xdr:rowOff>171450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114300</xdr:rowOff>
    </xdr:from>
    <xdr:to>
      <xdr:col>4</xdr:col>
      <xdr:colOff>133350</xdr:colOff>
      <xdr:row>102</xdr:row>
      <xdr:rowOff>19050</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4</xdr:col>
      <xdr:colOff>800100</xdr:colOff>
      <xdr:row>57</xdr:row>
      <xdr:rowOff>114300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76200</xdr:rowOff>
    </xdr:from>
    <xdr:to>
      <xdr:col>20</xdr:col>
      <xdr:colOff>381000</xdr:colOff>
      <xdr:row>97</xdr:row>
      <xdr:rowOff>114300</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0</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57150</xdr:rowOff>
    </xdr:from>
    <xdr:to>
      <xdr:col>13</xdr:col>
      <xdr:colOff>0</xdr:colOff>
      <xdr:row>85</xdr:row>
      <xdr:rowOff>133350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0</xdr:rowOff>
    </xdr:from>
    <xdr:to>
      <xdr:col>21</xdr:col>
      <xdr:colOff>266700</xdr:colOff>
      <xdr:row>98</xdr:row>
      <xdr:rowOff>76200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114300</xdr:rowOff>
    </xdr:from>
    <xdr:to>
      <xdr:col>4</xdr:col>
      <xdr:colOff>133350</xdr:colOff>
      <xdr:row>87</xdr:row>
      <xdr:rowOff>171450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114300</xdr:rowOff>
    </xdr:from>
    <xdr:to>
      <xdr:col>4</xdr:col>
      <xdr:colOff>133350</xdr:colOff>
      <xdr:row>102</xdr:row>
      <xdr:rowOff>19050</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4</xdr:col>
      <xdr:colOff>800100</xdr:colOff>
      <xdr:row>57</xdr:row>
      <xdr:rowOff>114300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114300</xdr:rowOff>
    </xdr:from>
    <xdr:to>
      <xdr:col>5</xdr:col>
      <xdr:colOff>0</xdr:colOff>
      <xdr:row>63</xdr:row>
      <xdr:rowOff>171450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76200</xdr:rowOff>
    </xdr:from>
    <xdr:to>
      <xdr:col>20</xdr:col>
      <xdr:colOff>381000</xdr:colOff>
      <xdr:row>97</xdr:row>
      <xdr:rowOff>114300</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0</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57150</xdr:rowOff>
    </xdr:from>
    <xdr:to>
      <xdr:col>13</xdr:col>
      <xdr:colOff>0</xdr:colOff>
      <xdr:row>85</xdr:row>
      <xdr:rowOff>133350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0</xdr:rowOff>
    </xdr:from>
    <xdr:to>
      <xdr:col>21</xdr:col>
      <xdr:colOff>266700</xdr:colOff>
      <xdr:row>98</xdr:row>
      <xdr:rowOff>76200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114300</xdr:rowOff>
    </xdr:from>
    <xdr:to>
      <xdr:col>4</xdr:col>
      <xdr:colOff>133350</xdr:colOff>
      <xdr:row>87</xdr:row>
      <xdr:rowOff>171450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114300</xdr:rowOff>
    </xdr:from>
    <xdr:to>
      <xdr:col>4</xdr:col>
      <xdr:colOff>133350</xdr:colOff>
      <xdr:row>102</xdr:row>
      <xdr:rowOff>19050</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449614</xdr:colOff>
      <xdr:row>62</xdr:row>
      <xdr:rowOff>102184</xdr:rowOff>
    </xdr:from>
    <xdr:to>
      <xdr:col>38</xdr:col>
      <xdr:colOff>641241</xdr:colOff>
      <xdr:row>62</xdr:row>
      <xdr:rowOff>102184</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62</xdr:row>
      <xdr:rowOff>102184</xdr:rowOff>
    </xdr:from>
    <xdr:to>
      <xdr:col>38</xdr:col>
      <xdr:colOff>526941</xdr:colOff>
      <xdr:row>63</xdr:row>
      <xdr:rowOff>187915</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74</xdr:row>
      <xdr:rowOff>41731</xdr:rowOff>
    </xdr:from>
    <xdr:to>
      <xdr:col>38</xdr:col>
      <xdr:colOff>526941</xdr:colOff>
      <xdr:row>74</xdr:row>
      <xdr:rowOff>41731</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74</xdr:row>
      <xdr:rowOff>41731</xdr:rowOff>
    </xdr:from>
    <xdr:to>
      <xdr:col>38</xdr:col>
      <xdr:colOff>603141</xdr:colOff>
      <xdr:row>74</xdr:row>
      <xdr:rowOff>41731</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62</xdr:row>
      <xdr:rowOff>102184</xdr:rowOff>
    </xdr:from>
    <xdr:to>
      <xdr:col>38</xdr:col>
      <xdr:colOff>603141</xdr:colOff>
      <xdr:row>62</xdr:row>
      <xdr:rowOff>102184</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115645</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155820</xdr:rowOff>
    </xdr:from>
    <xdr:to>
      <xdr:col>2</xdr:col>
      <xdr:colOff>564864</xdr:colOff>
      <xdr:row>16</xdr:row>
      <xdr:rowOff>93211</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139924</xdr:rowOff>
    </xdr:from>
    <xdr:to>
      <xdr:col>38</xdr:col>
      <xdr:colOff>641241</xdr:colOff>
      <xdr:row>48</xdr:row>
      <xdr:rowOff>139924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48</xdr:row>
      <xdr:rowOff>139924</xdr:rowOff>
    </xdr:from>
    <xdr:to>
      <xdr:col>38</xdr:col>
      <xdr:colOff>526941</xdr:colOff>
      <xdr:row>53</xdr:row>
      <xdr:rowOff>23799</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54</xdr:row>
      <xdr:rowOff>88167</xdr:rowOff>
    </xdr:from>
    <xdr:to>
      <xdr:col>38</xdr:col>
      <xdr:colOff>526941</xdr:colOff>
      <xdr:row>54</xdr:row>
      <xdr:rowOff>88167</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88167</xdr:rowOff>
    </xdr:from>
    <xdr:to>
      <xdr:col>38</xdr:col>
      <xdr:colOff>603141</xdr:colOff>
      <xdr:row>54</xdr:row>
      <xdr:rowOff>88167</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139924</xdr:rowOff>
    </xdr:from>
    <xdr:to>
      <xdr:col>38</xdr:col>
      <xdr:colOff>603141</xdr:colOff>
      <xdr:row>48</xdr:row>
      <xdr:rowOff>139924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115645</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155820</xdr:rowOff>
    </xdr:from>
    <xdr:to>
      <xdr:col>2</xdr:col>
      <xdr:colOff>564864</xdr:colOff>
      <xdr:row>16</xdr:row>
      <xdr:rowOff>93211</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608623</xdr:colOff>
      <xdr:row>40</xdr:row>
      <xdr:rowOff>186740</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181025</xdr:rowOff>
    </xdr:from>
    <xdr:to>
      <xdr:col>38</xdr:col>
      <xdr:colOff>492418</xdr:colOff>
      <xdr:row>49</xdr:row>
      <xdr:rowOff>1541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93152</xdr:rowOff>
    </xdr:from>
    <xdr:to>
      <xdr:col>38</xdr:col>
      <xdr:colOff>492418</xdr:colOff>
      <xdr:row>52</xdr:row>
      <xdr:rowOff>9481</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93152</xdr:rowOff>
    </xdr:from>
    <xdr:to>
      <xdr:col>38</xdr:col>
      <xdr:colOff>568618</xdr:colOff>
      <xdr:row>52</xdr:row>
      <xdr:rowOff>9481</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568618</xdr:colOff>
      <xdr:row>40</xdr:row>
      <xdr:rowOff>186740</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608623</xdr:colOff>
      <xdr:row>40</xdr:row>
      <xdr:rowOff>186740</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181025</xdr:rowOff>
    </xdr:from>
    <xdr:to>
      <xdr:col>38</xdr:col>
      <xdr:colOff>492418</xdr:colOff>
      <xdr:row>49</xdr:row>
      <xdr:rowOff>1541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93152</xdr:rowOff>
    </xdr:from>
    <xdr:to>
      <xdr:col>38</xdr:col>
      <xdr:colOff>492418</xdr:colOff>
      <xdr:row>52</xdr:row>
      <xdr:rowOff>9481</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93152</xdr:rowOff>
    </xdr:from>
    <xdr:to>
      <xdr:col>38</xdr:col>
      <xdr:colOff>568618</xdr:colOff>
      <xdr:row>52</xdr:row>
      <xdr:rowOff>9481</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568618</xdr:colOff>
      <xdr:row>40</xdr:row>
      <xdr:rowOff>186740</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608623</xdr:colOff>
      <xdr:row>40</xdr:row>
      <xdr:rowOff>186740</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181025</xdr:rowOff>
    </xdr:from>
    <xdr:to>
      <xdr:col>38</xdr:col>
      <xdr:colOff>492418</xdr:colOff>
      <xdr:row>48</xdr:row>
      <xdr:rowOff>174986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96721</xdr:rowOff>
    </xdr:from>
    <xdr:to>
      <xdr:col>38</xdr:col>
      <xdr:colOff>568618</xdr:colOff>
      <xdr:row>51</xdr:row>
      <xdr:rowOff>176607</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568618</xdr:colOff>
      <xdr:row>40</xdr:row>
      <xdr:rowOff>186740</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608623</xdr:colOff>
      <xdr:row>40</xdr:row>
      <xdr:rowOff>186740</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181025</xdr:rowOff>
    </xdr:from>
    <xdr:to>
      <xdr:col>38</xdr:col>
      <xdr:colOff>492418</xdr:colOff>
      <xdr:row>48</xdr:row>
      <xdr:rowOff>174986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96721</xdr:rowOff>
    </xdr:from>
    <xdr:to>
      <xdr:col>38</xdr:col>
      <xdr:colOff>568618</xdr:colOff>
      <xdr:row>51</xdr:row>
      <xdr:rowOff>176607</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181025</xdr:rowOff>
    </xdr:from>
    <xdr:to>
      <xdr:col>38</xdr:col>
      <xdr:colOff>568618</xdr:colOff>
      <xdr:row>40</xdr:row>
      <xdr:rowOff>186740</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181025</xdr:rowOff>
    </xdr:from>
    <xdr:to>
      <xdr:col>38</xdr:col>
      <xdr:colOff>608623</xdr:colOff>
      <xdr:row>41</xdr:row>
      <xdr:rowOff>21229</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181025</xdr:rowOff>
    </xdr:from>
    <xdr:to>
      <xdr:col>38</xdr:col>
      <xdr:colOff>492418</xdr:colOff>
      <xdr:row>48</xdr:row>
      <xdr:rowOff>174986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96721</xdr:rowOff>
    </xdr:from>
    <xdr:to>
      <xdr:col>38</xdr:col>
      <xdr:colOff>492418</xdr:colOff>
      <xdr:row>51</xdr:row>
      <xdr:rowOff>176607</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96721</xdr:rowOff>
    </xdr:from>
    <xdr:to>
      <xdr:col>38</xdr:col>
      <xdr:colOff>568618</xdr:colOff>
      <xdr:row>51</xdr:row>
      <xdr:rowOff>176607</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181025</xdr:rowOff>
    </xdr:from>
    <xdr:to>
      <xdr:col>38</xdr:col>
      <xdr:colOff>568618</xdr:colOff>
      <xdr:row>41</xdr:row>
      <xdr:rowOff>21229</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608623</xdr:colOff>
      <xdr:row>42</xdr:row>
      <xdr:rowOff>44064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42</xdr:row>
      <xdr:rowOff>43218</xdr:rowOff>
    </xdr:from>
    <xdr:to>
      <xdr:col>38</xdr:col>
      <xdr:colOff>456223</xdr:colOff>
      <xdr:row>54</xdr:row>
      <xdr:rowOff>40735</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127244</xdr:rowOff>
    </xdr:from>
    <xdr:to>
      <xdr:col>38</xdr:col>
      <xdr:colOff>456223</xdr:colOff>
      <xdr:row>50</xdr:row>
      <xdr:rowOff>127244</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127244</xdr:rowOff>
    </xdr:from>
    <xdr:to>
      <xdr:col>38</xdr:col>
      <xdr:colOff>532423</xdr:colOff>
      <xdr:row>50</xdr:row>
      <xdr:rowOff>127244</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532423</xdr:colOff>
      <xdr:row>42</xdr:row>
      <xdr:rowOff>44064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146500</xdr:rowOff>
    </xdr:from>
    <xdr:to>
      <xdr:col>3</xdr:col>
      <xdr:colOff>304800</xdr:colOff>
      <xdr:row>26</xdr:row>
      <xdr:rowOff>21122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135526</xdr:rowOff>
    </xdr:from>
    <xdr:to>
      <xdr:col>20</xdr:col>
      <xdr:colOff>149519</xdr:colOff>
      <xdr:row>28</xdr:row>
      <xdr:rowOff>164644</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608623</xdr:colOff>
      <xdr:row>42</xdr:row>
      <xdr:rowOff>44064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42</xdr:row>
      <xdr:rowOff>43218</xdr:rowOff>
    </xdr:from>
    <xdr:to>
      <xdr:col>38</xdr:col>
      <xdr:colOff>456223</xdr:colOff>
      <xdr:row>54</xdr:row>
      <xdr:rowOff>40735</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127244</xdr:rowOff>
    </xdr:from>
    <xdr:to>
      <xdr:col>38</xdr:col>
      <xdr:colOff>456223</xdr:colOff>
      <xdr:row>50</xdr:row>
      <xdr:rowOff>127244</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127244</xdr:rowOff>
    </xdr:from>
    <xdr:to>
      <xdr:col>38</xdr:col>
      <xdr:colOff>532423</xdr:colOff>
      <xdr:row>50</xdr:row>
      <xdr:rowOff>127244</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42</xdr:row>
      <xdr:rowOff>43218</xdr:rowOff>
    </xdr:from>
    <xdr:to>
      <xdr:col>38</xdr:col>
      <xdr:colOff>532423</xdr:colOff>
      <xdr:row>42</xdr:row>
      <xdr:rowOff>44064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146500</xdr:rowOff>
    </xdr:from>
    <xdr:to>
      <xdr:col>3</xdr:col>
      <xdr:colOff>304800</xdr:colOff>
      <xdr:row>26</xdr:row>
      <xdr:rowOff>21122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135526</xdr:rowOff>
    </xdr:from>
    <xdr:to>
      <xdr:col>20</xdr:col>
      <xdr:colOff>149519</xdr:colOff>
      <xdr:row>28</xdr:row>
      <xdr:rowOff>164644</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608623</xdr:colOff>
      <xdr:row>57</xdr:row>
      <xdr:rowOff>216092</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123889</xdr:rowOff>
    </xdr:from>
    <xdr:to>
      <xdr:col>38</xdr:col>
      <xdr:colOff>456223</xdr:colOff>
      <xdr:row>66</xdr:row>
      <xdr:rowOff>7998</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532423</xdr:colOff>
      <xdr:row>57</xdr:row>
      <xdr:rowOff>216092</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149519</xdr:colOff>
      <xdr:row>33</xdr:row>
      <xdr:rowOff>104136</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608623</xdr:colOff>
      <xdr:row>57</xdr:row>
      <xdr:rowOff>216092</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123889</xdr:rowOff>
    </xdr:from>
    <xdr:to>
      <xdr:col>38</xdr:col>
      <xdr:colOff>456223</xdr:colOff>
      <xdr:row>66</xdr:row>
      <xdr:rowOff>7998</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123889</xdr:rowOff>
    </xdr:from>
    <xdr:to>
      <xdr:col>38</xdr:col>
      <xdr:colOff>532423</xdr:colOff>
      <xdr:row>57</xdr:row>
      <xdr:rowOff>216092</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117134</xdr:colOff>
      <xdr:row>33</xdr:row>
      <xdr:rowOff>104136</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608623</xdr:colOff>
      <xdr:row>57</xdr:row>
      <xdr:rowOff>216092</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124720</xdr:rowOff>
    </xdr:from>
    <xdr:to>
      <xdr:col>38</xdr:col>
      <xdr:colOff>456223</xdr:colOff>
      <xdr:row>66</xdr:row>
      <xdr:rowOff>7998</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532423</xdr:colOff>
      <xdr:row>57</xdr:row>
      <xdr:rowOff>216092</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113324</xdr:colOff>
      <xdr:row>33</xdr:row>
      <xdr:rowOff>104136</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608623</xdr:colOff>
      <xdr:row>57</xdr:row>
      <xdr:rowOff>216092</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55</xdr:row>
      <xdr:rowOff>124720</xdr:rowOff>
    </xdr:from>
    <xdr:to>
      <xdr:col>38</xdr:col>
      <xdr:colOff>456223</xdr:colOff>
      <xdr:row>66</xdr:row>
      <xdr:rowOff>7998</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153306</xdr:rowOff>
    </xdr:from>
    <xdr:to>
      <xdr:col>38</xdr:col>
      <xdr:colOff>456223</xdr:colOff>
      <xdr:row>61</xdr:row>
      <xdr:rowOff>153306</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153306</xdr:rowOff>
    </xdr:from>
    <xdr:to>
      <xdr:col>38</xdr:col>
      <xdr:colOff>532423</xdr:colOff>
      <xdr:row>61</xdr:row>
      <xdr:rowOff>153306</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55</xdr:row>
      <xdr:rowOff>124720</xdr:rowOff>
    </xdr:from>
    <xdr:to>
      <xdr:col>38</xdr:col>
      <xdr:colOff>532423</xdr:colOff>
      <xdr:row>57</xdr:row>
      <xdr:rowOff>216092</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9071</xdr:rowOff>
    </xdr:from>
    <xdr:to>
      <xdr:col>3</xdr:col>
      <xdr:colOff>304800</xdr:colOff>
      <xdr:row>31</xdr:row>
      <xdr:rowOff>121633</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364660</xdr:rowOff>
    </xdr:from>
    <xdr:to>
      <xdr:col>20</xdr:col>
      <xdr:colOff>113324</xdr:colOff>
      <xdr:row>33</xdr:row>
      <xdr:rowOff>104136</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208817</xdr:rowOff>
    </xdr:from>
    <xdr:to>
      <xdr:col>40</xdr:col>
      <xdr:colOff>349885</xdr:colOff>
      <xdr:row>63</xdr:row>
      <xdr:rowOff>13385</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106391</xdr:rowOff>
    </xdr:from>
    <xdr:to>
      <xdr:col>40</xdr:col>
      <xdr:colOff>228600</xdr:colOff>
      <xdr:row>85</xdr:row>
      <xdr:rowOff>176568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249968</xdr:rowOff>
    </xdr:from>
    <xdr:to>
      <xdr:col>38</xdr:col>
      <xdr:colOff>457200</xdr:colOff>
      <xdr:row>60</xdr:row>
      <xdr:rowOff>20076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249968</xdr:rowOff>
    </xdr:from>
    <xdr:to>
      <xdr:col>38</xdr:col>
      <xdr:colOff>533400</xdr:colOff>
      <xdr:row>60</xdr:row>
      <xdr:rowOff>20076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188051</xdr:rowOff>
    </xdr:from>
    <xdr:to>
      <xdr:col>40</xdr:col>
      <xdr:colOff>228600</xdr:colOff>
      <xdr:row>71</xdr:row>
      <xdr:rowOff>4816</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12196</xdr:rowOff>
    </xdr:from>
    <xdr:to>
      <xdr:col>3</xdr:col>
      <xdr:colOff>304800</xdr:colOff>
      <xdr:row>31</xdr:row>
      <xdr:rowOff>539132</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116802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556904</xdr:rowOff>
    </xdr:from>
    <xdr:to>
      <xdr:col>20</xdr:col>
      <xdr:colOff>152400</xdr:colOff>
      <xdr:row>46</xdr:row>
      <xdr:rowOff>50432</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180807</xdr:rowOff>
    </xdr:from>
    <xdr:to>
      <xdr:col>20</xdr:col>
      <xdr:colOff>311785</xdr:colOff>
      <xdr:row>39</xdr:row>
      <xdr:rowOff>42718</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2616</xdr:rowOff>
    </xdr:from>
    <xdr:to>
      <xdr:col>40</xdr:col>
      <xdr:colOff>342900</xdr:colOff>
      <xdr:row>82</xdr:row>
      <xdr:rowOff>157629</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73211</xdr:rowOff>
    </xdr:from>
    <xdr:to>
      <xdr:col>40</xdr:col>
      <xdr:colOff>228600</xdr:colOff>
      <xdr:row>114</xdr:row>
      <xdr:rowOff>127748</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76</xdr:row>
      <xdr:rowOff>175671</xdr:rowOff>
    </xdr:from>
    <xdr:to>
      <xdr:col>38</xdr:col>
      <xdr:colOff>450215</xdr:colOff>
      <xdr:row>78</xdr:row>
      <xdr:rowOff>89274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76</xdr:row>
      <xdr:rowOff>175671</xdr:rowOff>
    </xdr:from>
    <xdr:to>
      <xdr:col>38</xdr:col>
      <xdr:colOff>533400</xdr:colOff>
      <xdr:row>78</xdr:row>
      <xdr:rowOff>89274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73211</xdr:rowOff>
    </xdr:from>
    <xdr:to>
      <xdr:col>40</xdr:col>
      <xdr:colOff>228600</xdr:colOff>
      <xdr:row>91</xdr:row>
      <xdr:rowOff>154455</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181833</xdr:rowOff>
    </xdr:from>
    <xdr:to>
      <xdr:col>3</xdr:col>
      <xdr:colOff>304800</xdr:colOff>
      <xdr:row>39</xdr:row>
      <xdr:rowOff>5790</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42</xdr:row>
      <xdr:rowOff>5156</xdr:rowOff>
    </xdr:from>
    <xdr:to>
      <xdr:col>20</xdr:col>
      <xdr:colOff>145415</xdr:colOff>
      <xdr:row>60</xdr:row>
      <xdr:rowOff>266438</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16174</xdr:rowOff>
    </xdr:from>
    <xdr:to>
      <xdr:col>3</xdr:col>
      <xdr:colOff>304800</xdr:colOff>
      <xdr:row>18</xdr:row>
      <xdr:rowOff>184448</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16996</xdr:rowOff>
    </xdr:from>
    <xdr:to>
      <xdr:col>3</xdr:col>
      <xdr:colOff>304800</xdr:colOff>
      <xdr:row>20</xdr:row>
      <xdr:rowOff>189304</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44</xdr:row>
      <xdr:rowOff>1009</xdr:rowOff>
    </xdr:from>
    <xdr:to>
      <xdr:col>3</xdr:col>
      <xdr:colOff>304800</xdr:colOff>
      <xdr:row>48</xdr:row>
      <xdr:rowOff>14757</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45</xdr:row>
      <xdr:rowOff>182393</xdr:rowOff>
    </xdr:from>
    <xdr:to>
      <xdr:col>20</xdr:col>
      <xdr:colOff>335915</xdr:colOff>
      <xdr:row>50</xdr:row>
      <xdr:rowOff>24951</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177054</xdr:rowOff>
    </xdr:from>
    <xdr:to>
      <xdr:col>40</xdr:col>
      <xdr:colOff>342900</xdr:colOff>
      <xdr:row>83</xdr:row>
      <xdr:rowOff>177426</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85</xdr:row>
      <xdr:rowOff>43703</xdr:rowOff>
    </xdr:from>
    <xdr:to>
      <xdr:col>40</xdr:col>
      <xdr:colOff>238125</xdr:colOff>
      <xdr:row>116</xdr:row>
      <xdr:rowOff>108697</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146423</xdr:rowOff>
    </xdr:from>
    <xdr:to>
      <xdr:col>38</xdr:col>
      <xdr:colOff>438150</xdr:colOff>
      <xdr:row>79</xdr:row>
      <xdr:rowOff>40716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146423</xdr:rowOff>
    </xdr:from>
    <xdr:to>
      <xdr:col>38</xdr:col>
      <xdr:colOff>542925</xdr:colOff>
      <xdr:row>79</xdr:row>
      <xdr:rowOff>40716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85</xdr:row>
      <xdr:rowOff>43703</xdr:rowOff>
    </xdr:from>
    <xdr:to>
      <xdr:col>40</xdr:col>
      <xdr:colOff>238125</xdr:colOff>
      <xdr:row>92</xdr:row>
      <xdr:rowOff>175933</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182468</xdr:rowOff>
    </xdr:from>
    <xdr:to>
      <xdr:col>3</xdr:col>
      <xdr:colOff>304800</xdr:colOff>
      <xdr:row>39</xdr:row>
      <xdr:rowOff>5790</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91889</xdr:rowOff>
    </xdr:from>
    <xdr:to>
      <xdr:col>20</xdr:col>
      <xdr:colOff>133350</xdr:colOff>
      <xdr:row>60</xdr:row>
      <xdr:rowOff>248957</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16809</xdr:rowOff>
    </xdr:from>
    <xdr:to>
      <xdr:col>3</xdr:col>
      <xdr:colOff>304800</xdr:colOff>
      <xdr:row>18</xdr:row>
      <xdr:rowOff>169208</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16996</xdr:rowOff>
    </xdr:from>
    <xdr:to>
      <xdr:col>3</xdr:col>
      <xdr:colOff>304800</xdr:colOff>
      <xdr:row>20</xdr:row>
      <xdr:rowOff>174064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42</xdr:row>
      <xdr:rowOff>153709</xdr:rowOff>
    </xdr:from>
    <xdr:to>
      <xdr:col>3</xdr:col>
      <xdr:colOff>314325</xdr:colOff>
      <xdr:row>47</xdr:row>
      <xdr:rowOff>34738</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127563</xdr:rowOff>
    </xdr:from>
    <xdr:to>
      <xdr:col>20</xdr:col>
      <xdr:colOff>333375</xdr:colOff>
      <xdr:row>51</xdr:row>
      <xdr:rowOff>77509</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68</xdr:row>
      <xdr:rowOff>4483</xdr:rowOff>
    </xdr:from>
    <xdr:to>
      <xdr:col>40</xdr:col>
      <xdr:colOff>342900</xdr:colOff>
      <xdr:row>72</xdr:row>
      <xdr:rowOff>92636</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71</xdr:row>
      <xdr:rowOff>9526</xdr:rowOff>
    </xdr:from>
    <xdr:to>
      <xdr:col>40</xdr:col>
      <xdr:colOff>228600</xdr:colOff>
      <xdr:row>101</xdr:row>
      <xdr:rowOff>72651</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66</xdr:row>
      <xdr:rowOff>42024</xdr:rowOff>
    </xdr:from>
    <xdr:to>
      <xdr:col>38</xdr:col>
      <xdr:colOff>438150</xdr:colOff>
      <xdr:row>68</xdr:row>
      <xdr:rowOff>9899</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66</xdr:row>
      <xdr:rowOff>42024</xdr:rowOff>
    </xdr:from>
    <xdr:to>
      <xdr:col>38</xdr:col>
      <xdr:colOff>533400</xdr:colOff>
      <xdr:row>68</xdr:row>
      <xdr:rowOff>9899</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71</xdr:row>
      <xdr:rowOff>9526</xdr:rowOff>
    </xdr:from>
    <xdr:to>
      <xdr:col>40</xdr:col>
      <xdr:colOff>228600</xdr:colOff>
      <xdr:row>78</xdr:row>
      <xdr:rowOff>77508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182468</xdr:rowOff>
    </xdr:from>
    <xdr:to>
      <xdr:col>3</xdr:col>
      <xdr:colOff>304800</xdr:colOff>
      <xdr:row>39</xdr:row>
      <xdr:rowOff>5790</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109817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91889</xdr:rowOff>
    </xdr:from>
    <xdr:to>
      <xdr:col>20</xdr:col>
      <xdr:colOff>133350</xdr:colOff>
      <xdr:row>60</xdr:row>
      <xdr:rowOff>265392</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16809</xdr:rowOff>
    </xdr:from>
    <xdr:to>
      <xdr:col>3</xdr:col>
      <xdr:colOff>304800</xdr:colOff>
      <xdr:row>18</xdr:row>
      <xdr:rowOff>169208</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16996</xdr:rowOff>
    </xdr:from>
    <xdr:to>
      <xdr:col>3</xdr:col>
      <xdr:colOff>304800</xdr:colOff>
      <xdr:row>20</xdr:row>
      <xdr:rowOff>174064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23271</xdr:rowOff>
    </xdr:from>
    <xdr:to>
      <xdr:col>40</xdr:col>
      <xdr:colOff>342900</xdr:colOff>
      <xdr:row>59</xdr:row>
      <xdr:rowOff>165847</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125095</xdr:rowOff>
    </xdr:from>
    <xdr:to>
      <xdr:col>40</xdr:col>
      <xdr:colOff>228600</xdr:colOff>
      <xdr:row>79</xdr:row>
      <xdr:rowOff>112209</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125095</xdr:rowOff>
    </xdr:from>
    <xdr:to>
      <xdr:col>40</xdr:col>
      <xdr:colOff>228600</xdr:colOff>
      <xdr:row>59</xdr:row>
      <xdr:rowOff>57263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270209</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20731</xdr:rowOff>
    </xdr:from>
    <xdr:to>
      <xdr:col>40</xdr:col>
      <xdr:colOff>342900</xdr:colOff>
      <xdr:row>59</xdr:row>
      <xdr:rowOff>165847</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79</xdr:row>
      <xdr:rowOff>107764</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59</xdr:row>
      <xdr:rowOff>54723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262589</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20731</xdr:rowOff>
    </xdr:from>
    <xdr:to>
      <xdr:col>40</xdr:col>
      <xdr:colOff>342900</xdr:colOff>
      <xdr:row>59</xdr:row>
      <xdr:rowOff>165847</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79</xdr:row>
      <xdr:rowOff>107764</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336362</xdr:rowOff>
    </xdr:from>
    <xdr:to>
      <xdr:col>38</xdr:col>
      <xdr:colOff>419100</xdr:colOff>
      <xdr:row>56</xdr:row>
      <xdr:rowOff>42581</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336362</xdr:rowOff>
    </xdr:from>
    <xdr:to>
      <xdr:col>38</xdr:col>
      <xdr:colOff>533400</xdr:colOff>
      <xdr:row>56</xdr:row>
      <xdr:rowOff>42581</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104775</xdr:rowOff>
    </xdr:from>
    <xdr:to>
      <xdr:col>40</xdr:col>
      <xdr:colOff>228600</xdr:colOff>
      <xdr:row>59</xdr:row>
      <xdr:rowOff>54723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262589</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118000</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99881</xdr:rowOff>
    </xdr:from>
    <xdr:to>
      <xdr:col>20</xdr:col>
      <xdr:colOff>160020</xdr:colOff>
      <xdr:row>39</xdr:row>
      <xdr:rowOff>61072</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60</xdr:row>
      <xdr:rowOff>187</xdr:rowOff>
    </xdr:from>
    <xdr:to>
      <xdr:col>40</xdr:col>
      <xdr:colOff>342900</xdr:colOff>
      <xdr:row>65</xdr:row>
      <xdr:rowOff>75455</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86</xdr:row>
      <xdr:rowOff>180976</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250639</xdr:rowOff>
    </xdr:from>
    <xdr:to>
      <xdr:col>38</xdr:col>
      <xdr:colOff>419100</xdr:colOff>
      <xdr:row>60</xdr:row>
      <xdr:rowOff>228600</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250639</xdr:rowOff>
    </xdr:from>
    <xdr:to>
      <xdr:col>38</xdr:col>
      <xdr:colOff>533400</xdr:colOff>
      <xdr:row>60</xdr:row>
      <xdr:rowOff>228600</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60</xdr:row>
      <xdr:rowOff>77881</xdr:rowOff>
    </xdr:from>
    <xdr:to>
      <xdr:col>40</xdr:col>
      <xdr:colOff>228600</xdr:colOff>
      <xdr:row>64</xdr:row>
      <xdr:rowOff>107205</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263150</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104961</xdr:rowOff>
    </xdr:from>
    <xdr:to>
      <xdr:col>20</xdr:col>
      <xdr:colOff>152400</xdr:colOff>
      <xdr:row>39</xdr:row>
      <xdr:rowOff>61072</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185644</xdr:rowOff>
    </xdr:from>
    <xdr:to>
      <xdr:col>40</xdr:col>
      <xdr:colOff>342900</xdr:colOff>
      <xdr:row>59</xdr:row>
      <xdr:rowOff>185233</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199239</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199239</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23683</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252803</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185644</xdr:rowOff>
    </xdr:from>
    <xdr:to>
      <xdr:col>40</xdr:col>
      <xdr:colOff>342900</xdr:colOff>
      <xdr:row>59</xdr:row>
      <xdr:rowOff>166594</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185644</xdr:rowOff>
    </xdr:from>
    <xdr:to>
      <xdr:col>40</xdr:col>
      <xdr:colOff>342900</xdr:colOff>
      <xdr:row>59</xdr:row>
      <xdr:rowOff>166594</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54</xdr:row>
      <xdr:rowOff>185644</xdr:rowOff>
    </xdr:from>
    <xdr:to>
      <xdr:col>40</xdr:col>
      <xdr:colOff>342900</xdr:colOff>
      <xdr:row>59</xdr:row>
      <xdr:rowOff>166594</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79</xdr:row>
      <xdr:rowOff>110192</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79374</xdr:rowOff>
    </xdr:from>
    <xdr:to>
      <xdr:col>38</xdr:col>
      <xdr:colOff>419100</xdr:colOff>
      <xdr:row>56</xdr:row>
      <xdr:rowOff>178919</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79374</xdr:rowOff>
    </xdr:from>
    <xdr:to>
      <xdr:col>38</xdr:col>
      <xdr:colOff>533400</xdr:colOff>
      <xdr:row>56</xdr:row>
      <xdr:rowOff>178919</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55</xdr:row>
      <xdr:rowOff>99919</xdr:rowOff>
    </xdr:from>
    <xdr:to>
      <xdr:col>40</xdr:col>
      <xdr:colOff>228600</xdr:colOff>
      <xdr:row>59</xdr:row>
      <xdr:rowOff>19238</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39033</xdr:rowOff>
    </xdr:from>
    <xdr:to>
      <xdr:col>3</xdr:col>
      <xdr:colOff>304800</xdr:colOff>
      <xdr:row>31</xdr:row>
      <xdr:rowOff>526676</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22411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951192</xdr:rowOff>
    </xdr:from>
    <xdr:to>
      <xdr:col>20</xdr:col>
      <xdr:colOff>114300</xdr:colOff>
      <xdr:row>56</xdr:row>
      <xdr:rowOff>243913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67235</xdr:rowOff>
    </xdr:from>
    <xdr:to>
      <xdr:col>3</xdr:col>
      <xdr:colOff>304800</xdr:colOff>
      <xdr:row>24</xdr:row>
      <xdr:rowOff>173691</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3361</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295835</xdr:rowOff>
    </xdr:from>
    <xdr:to>
      <xdr:col>20</xdr:col>
      <xdr:colOff>114300</xdr:colOff>
      <xdr:row>49</xdr:row>
      <xdr:rowOff>170330</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105335</xdr:rowOff>
    </xdr:from>
    <xdr:to>
      <xdr:col>3</xdr:col>
      <xdr:colOff>171450</xdr:colOff>
      <xdr:row>24</xdr:row>
      <xdr:rowOff>135591</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66675</xdr:rowOff>
    </xdr:from>
    <xdr:to>
      <xdr:col>3</xdr:col>
      <xdr:colOff>304800</xdr:colOff>
      <xdr:row>23</xdr:row>
      <xdr:rowOff>152400</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180975</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66675</xdr:rowOff>
    </xdr:from>
    <xdr:to>
      <xdr:col>3</xdr:col>
      <xdr:colOff>304800</xdr:colOff>
      <xdr:row>23</xdr:row>
      <xdr:rowOff>152400</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180975</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166158</xdr:rowOff>
    </xdr:from>
    <xdr:to>
      <xdr:col>4</xdr:col>
      <xdr:colOff>0</xdr:colOff>
      <xdr:row>30</xdr:row>
      <xdr:rowOff>3880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166158</xdr:rowOff>
    </xdr:from>
    <xdr:to>
      <xdr:col>4</xdr:col>
      <xdr:colOff>0</xdr:colOff>
      <xdr:row>30</xdr:row>
      <xdr:rowOff>3880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109009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89959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247650</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247650</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174413</xdr:rowOff>
    </xdr:from>
    <xdr:to>
      <xdr:col>6</xdr:col>
      <xdr:colOff>0</xdr:colOff>
      <xdr:row>24</xdr:row>
      <xdr:rowOff>137935</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190367</xdr:rowOff>
    </xdr:from>
    <xdr:to>
      <xdr:col>4</xdr:col>
      <xdr:colOff>228600</xdr:colOff>
      <xdr:row>30</xdr:row>
      <xdr:rowOff>91416</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137935</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190367</xdr:rowOff>
    </xdr:from>
    <xdr:to>
      <xdr:col>4</xdr:col>
      <xdr:colOff>228600</xdr:colOff>
      <xdr:row>30</xdr:row>
      <xdr:rowOff>91416</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22</xdr:row>
      <xdr:rowOff>8466</xdr:rowOff>
    </xdr:from>
    <xdr:to>
      <xdr:col>4</xdr:col>
      <xdr:colOff>447040</xdr:colOff>
      <xdr:row>26</xdr:row>
      <xdr:rowOff>45578</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419100</xdr:colOff>
      <xdr:row>21</xdr:row>
      <xdr:rowOff>91722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12559</xdr:rowOff>
    </xdr:from>
    <xdr:to>
      <xdr:col>4</xdr:col>
      <xdr:colOff>419100</xdr:colOff>
      <xdr:row>22</xdr:row>
      <xdr:rowOff>177657</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181891</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180621</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190500</xdr:rowOff>
    </xdr:from>
    <xdr:to>
      <xdr:col>4</xdr:col>
      <xdr:colOff>266700</xdr:colOff>
      <xdr:row>21</xdr:row>
      <xdr:rowOff>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218712</xdr:colOff>
      <xdr:row>92</xdr:row>
      <xdr:rowOff>28644</xdr:rowOff>
    </xdr:from>
    <xdr:to>
      <xdr:col>10</xdr:col>
      <xdr:colOff>218712</xdr:colOff>
      <xdr:row>92</xdr:row>
      <xdr:rowOff>28644</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92</xdr:row>
      <xdr:rowOff>28644</xdr:rowOff>
    </xdr:from>
    <xdr:to>
      <xdr:col>13</xdr:col>
      <xdr:colOff>218712</xdr:colOff>
      <xdr:row>92</xdr:row>
      <xdr:rowOff>28644</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46</xdr:row>
      <xdr:rowOff>196850</xdr:rowOff>
    </xdr:from>
    <xdr:to>
      <xdr:col>3</xdr:col>
      <xdr:colOff>142240</xdr:colOff>
      <xdr:row>48</xdr:row>
      <xdr:rowOff>174467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92</xdr:row>
      <xdr:rowOff>28644</xdr:rowOff>
    </xdr:from>
    <xdr:to>
      <xdr:col>10</xdr:col>
      <xdr:colOff>218712</xdr:colOff>
      <xdr:row>92</xdr:row>
      <xdr:rowOff>28644</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92</xdr:row>
      <xdr:rowOff>28644</xdr:rowOff>
    </xdr:from>
    <xdr:to>
      <xdr:col>13</xdr:col>
      <xdr:colOff>218712</xdr:colOff>
      <xdr:row>92</xdr:row>
      <xdr:rowOff>28644</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46</xdr:row>
      <xdr:rowOff>104933</xdr:rowOff>
    </xdr:from>
    <xdr:to>
      <xdr:col>10</xdr:col>
      <xdr:colOff>218712</xdr:colOff>
      <xdr:row>46</xdr:row>
      <xdr:rowOff>104933</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46</xdr:row>
      <xdr:rowOff>104933</xdr:rowOff>
    </xdr:from>
    <xdr:to>
      <xdr:col>13</xdr:col>
      <xdr:colOff>218712</xdr:colOff>
      <xdr:row>46</xdr:row>
      <xdr:rowOff>104933</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65</xdr:row>
      <xdr:rowOff>31138</xdr:rowOff>
    </xdr:from>
    <xdr:to>
      <xdr:col>10</xdr:col>
      <xdr:colOff>218712</xdr:colOff>
      <xdr:row>65</xdr:row>
      <xdr:rowOff>31138</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65</xdr:row>
      <xdr:rowOff>31138</xdr:rowOff>
    </xdr:from>
    <xdr:to>
      <xdr:col>13</xdr:col>
      <xdr:colOff>218712</xdr:colOff>
      <xdr:row>65</xdr:row>
      <xdr:rowOff>31138</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65</xdr:row>
      <xdr:rowOff>31138</xdr:rowOff>
    </xdr:from>
    <xdr:to>
      <xdr:col>10</xdr:col>
      <xdr:colOff>218712</xdr:colOff>
      <xdr:row>65</xdr:row>
      <xdr:rowOff>31138</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65</xdr:row>
      <xdr:rowOff>31138</xdr:rowOff>
    </xdr:from>
    <xdr:to>
      <xdr:col>13</xdr:col>
      <xdr:colOff>218712</xdr:colOff>
      <xdr:row>65</xdr:row>
      <xdr:rowOff>31138</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65</xdr:row>
      <xdr:rowOff>31138</xdr:rowOff>
    </xdr:from>
    <xdr:to>
      <xdr:col>10</xdr:col>
      <xdr:colOff>218712</xdr:colOff>
      <xdr:row>65</xdr:row>
      <xdr:rowOff>31138</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65</xdr:row>
      <xdr:rowOff>31138</xdr:rowOff>
    </xdr:from>
    <xdr:to>
      <xdr:col>13</xdr:col>
      <xdr:colOff>218712</xdr:colOff>
      <xdr:row>65</xdr:row>
      <xdr:rowOff>31138</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65</xdr:row>
      <xdr:rowOff>31138</xdr:rowOff>
    </xdr:from>
    <xdr:to>
      <xdr:col>10</xdr:col>
      <xdr:colOff>218712</xdr:colOff>
      <xdr:row>65</xdr:row>
      <xdr:rowOff>31138</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65</xdr:row>
      <xdr:rowOff>31138</xdr:rowOff>
    </xdr:from>
    <xdr:to>
      <xdr:col>13</xdr:col>
      <xdr:colOff>218712</xdr:colOff>
      <xdr:row>65</xdr:row>
      <xdr:rowOff>31138</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353377</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66</xdr:row>
      <xdr:rowOff>40140</xdr:rowOff>
    </xdr:from>
    <xdr:to>
      <xdr:col>10</xdr:col>
      <xdr:colOff>218712</xdr:colOff>
      <xdr:row>66</xdr:row>
      <xdr:rowOff>40140</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66</xdr:row>
      <xdr:rowOff>40140</xdr:rowOff>
    </xdr:from>
    <xdr:to>
      <xdr:col>13</xdr:col>
      <xdr:colOff>218712</xdr:colOff>
      <xdr:row>66</xdr:row>
      <xdr:rowOff>40140</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312737</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218712</xdr:colOff>
      <xdr:row>66</xdr:row>
      <xdr:rowOff>40140</xdr:rowOff>
    </xdr:from>
    <xdr:to>
      <xdr:col>10</xdr:col>
      <xdr:colOff>218712</xdr:colOff>
      <xdr:row>66</xdr:row>
      <xdr:rowOff>40140</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142512</xdr:colOff>
      <xdr:row>66</xdr:row>
      <xdr:rowOff>40140</xdr:rowOff>
    </xdr:from>
    <xdr:to>
      <xdr:col>13</xdr:col>
      <xdr:colOff>218712</xdr:colOff>
      <xdr:row>66</xdr:row>
      <xdr:rowOff>40140</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312737</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66</xdr:row>
      <xdr:rowOff>40140</xdr:rowOff>
    </xdr:from>
    <xdr:to>
      <xdr:col>10</xdr:col>
      <xdr:colOff>228600</xdr:colOff>
      <xdr:row>66</xdr:row>
      <xdr:rowOff>40140</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66</xdr:row>
      <xdr:rowOff>40140</xdr:rowOff>
    </xdr:from>
    <xdr:to>
      <xdr:col>13</xdr:col>
      <xdr:colOff>228600</xdr:colOff>
      <xdr:row>66</xdr:row>
      <xdr:rowOff>40140</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312737</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66</xdr:row>
      <xdr:rowOff>40140</xdr:rowOff>
    </xdr:from>
    <xdr:to>
      <xdr:col>10</xdr:col>
      <xdr:colOff>228600</xdr:colOff>
      <xdr:row>66</xdr:row>
      <xdr:rowOff>40140</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66</xdr:row>
      <xdr:rowOff>40140</xdr:rowOff>
    </xdr:from>
    <xdr:to>
      <xdr:col>13</xdr:col>
      <xdr:colOff>228600</xdr:colOff>
      <xdr:row>66</xdr:row>
      <xdr:rowOff>40140</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3</xdr:col>
      <xdr:colOff>114300</xdr:colOff>
      <xdr:row>27</xdr:row>
      <xdr:rowOff>312737</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198120</xdr:colOff>
      <xdr:row>65</xdr:row>
      <xdr:rowOff>68489</xdr:rowOff>
    </xdr:from>
    <xdr:to>
      <xdr:col>10</xdr:col>
      <xdr:colOff>198120</xdr:colOff>
      <xdr:row>65</xdr:row>
      <xdr:rowOff>68489</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121920</xdr:colOff>
      <xdr:row>65</xdr:row>
      <xdr:rowOff>68489</xdr:rowOff>
    </xdr:from>
    <xdr:to>
      <xdr:col>13</xdr:col>
      <xdr:colOff>198120</xdr:colOff>
      <xdr:row>65</xdr:row>
      <xdr:rowOff>68489</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83820</xdr:colOff>
      <xdr:row>27</xdr:row>
      <xdr:rowOff>312737</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541020</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541020</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238918</xdr:rowOff>
    </xdr:from>
    <xdr:to>
      <xdr:col>21</xdr:col>
      <xdr:colOff>571500</xdr:colOff>
      <xdr:row>64</xdr:row>
      <xdr:rowOff>164101</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65</xdr:row>
      <xdr:rowOff>68489</xdr:rowOff>
    </xdr:from>
    <xdr:to>
      <xdr:col>10</xdr:col>
      <xdr:colOff>190500</xdr:colOff>
      <xdr:row>65</xdr:row>
      <xdr:rowOff>68489</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65</xdr:row>
      <xdr:rowOff>68489</xdr:rowOff>
    </xdr:from>
    <xdr:to>
      <xdr:col>13</xdr:col>
      <xdr:colOff>190500</xdr:colOff>
      <xdr:row>65</xdr:row>
      <xdr:rowOff>68489</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238918</xdr:rowOff>
    </xdr:from>
    <xdr:to>
      <xdr:col>21</xdr:col>
      <xdr:colOff>571500</xdr:colOff>
      <xdr:row>64</xdr:row>
      <xdr:rowOff>140606</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65</xdr:row>
      <xdr:rowOff>68489</xdr:rowOff>
    </xdr:from>
    <xdr:to>
      <xdr:col>10</xdr:col>
      <xdr:colOff>190500</xdr:colOff>
      <xdr:row>65</xdr:row>
      <xdr:rowOff>68489</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65</xdr:row>
      <xdr:rowOff>68489</xdr:rowOff>
    </xdr:from>
    <xdr:to>
      <xdr:col>13</xdr:col>
      <xdr:colOff>190500</xdr:colOff>
      <xdr:row>65</xdr:row>
      <xdr:rowOff>68489</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238918</xdr:rowOff>
    </xdr:from>
    <xdr:to>
      <xdr:col>21</xdr:col>
      <xdr:colOff>571500</xdr:colOff>
      <xdr:row>64</xdr:row>
      <xdr:rowOff>140606</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64770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64770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64770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66</xdr:row>
      <xdr:rowOff>75406</xdr:rowOff>
    </xdr:from>
    <xdr:to>
      <xdr:col>10</xdr:col>
      <xdr:colOff>190500</xdr:colOff>
      <xdr:row>66</xdr:row>
      <xdr:rowOff>75406</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66</xdr:row>
      <xdr:rowOff>75406</xdr:rowOff>
    </xdr:from>
    <xdr:to>
      <xdr:col>13</xdr:col>
      <xdr:colOff>190500</xdr:colOff>
      <xdr:row>66</xdr:row>
      <xdr:rowOff>75406</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312737</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60</xdr:row>
      <xdr:rowOff>429418</xdr:rowOff>
    </xdr:from>
    <xdr:to>
      <xdr:col>21</xdr:col>
      <xdr:colOff>571500</xdr:colOff>
      <xdr:row>65</xdr:row>
      <xdr:rowOff>53975</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57</xdr:row>
      <xdr:rowOff>838200</xdr:rowOff>
    </xdr:from>
    <xdr:to>
      <xdr:col>10</xdr:col>
      <xdr:colOff>190500</xdr:colOff>
      <xdr:row>57</xdr:row>
      <xdr:rowOff>838200</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57</xdr:row>
      <xdr:rowOff>838200</xdr:rowOff>
    </xdr:from>
    <xdr:to>
      <xdr:col>13</xdr:col>
      <xdr:colOff>190500</xdr:colOff>
      <xdr:row>57</xdr:row>
      <xdr:rowOff>838200</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57</xdr:row>
      <xdr:rowOff>685800</xdr:rowOff>
    </xdr:from>
    <xdr:to>
      <xdr:col>21</xdr:col>
      <xdr:colOff>571500</xdr:colOff>
      <xdr:row>57</xdr:row>
      <xdr:rowOff>685800</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76200</xdr:colOff>
      <xdr:row>15</xdr:row>
      <xdr:rowOff>152400</xdr:rowOff>
    </xdr:from>
    <xdr:to>
      <xdr:col>21</xdr:col>
      <xdr:colOff>609600</xdr:colOff>
      <xdr:row>18</xdr:row>
      <xdr:rowOff>152400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476250</xdr:rowOff>
    </xdr:from>
    <xdr:to>
      <xdr:col>3</xdr:col>
      <xdr:colOff>609600</xdr:colOff>
      <xdr:row>26</xdr:row>
      <xdr:rowOff>152400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57</xdr:row>
      <xdr:rowOff>838200</xdr:rowOff>
    </xdr:from>
    <xdr:to>
      <xdr:col>10</xdr:col>
      <xdr:colOff>190500</xdr:colOff>
      <xdr:row>57</xdr:row>
      <xdr:rowOff>838200</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57</xdr:row>
      <xdr:rowOff>838200</xdr:rowOff>
    </xdr:from>
    <xdr:to>
      <xdr:col>13</xdr:col>
      <xdr:colOff>190500</xdr:colOff>
      <xdr:row>57</xdr:row>
      <xdr:rowOff>838200</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57</xdr:row>
      <xdr:rowOff>685800</xdr:rowOff>
    </xdr:from>
    <xdr:to>
      <xdr:col>21</xdr:col>
      <xdr:colOff>571500</xdr:colOff>
      <xdr:row>57</xdr:row>
      <xdr:rowOff>685800</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76200</xdr:colOff>
      <xdr:row>15</xdr:row>
      <xdr:rowOff>152400</xdr:rowOff>
    </xdr:from>
    <xdr:to>
      <xdr:col>21</xdr:col>
      <xdr:colOff>609600</xdr:colOff>
      <xdr:row>18</xdr:row>
      <xdr:rowOff>152400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476250</xdr:rowOff>
    </xdr:from>
    <xdr:to>
      <xdr:col>3</xdr:col>
      <xdr:colOff>609600</xdr:colOff>
      <xdr:row>26</xdr:row>
      <xdr:rowOff>152400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57</xdr:row>
      <xdr:rowOff>838200</xdr:rowOff>
    </xdr:from>
    <xdr:to>
      <xdr:col>10</xdr:col>
      <xdr:colOff>190500</xdr:colOff>
      <xdr:row>57</xdr:row>
      <xdr:rowOff>838200</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57</xdr:row>
      <xdr:rowOff>838200</xdr:rowOff>
    </xdr:from>
    <xdr:to>
      <xdr:col>13</xdr:col>
      <xdr:colOff>190500</xdr:colOff>
      <xdr:row>57</xdr:row>
      <xdr:rowOff>838200</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57</xdr:row>
      <xdr:rowOff>685800</xdr:rowOff>
    </xdr:from>
    <xdr:to>
      <xdr:col>21</xdr:col>
      <xdr:colOff>571500</xdr:colOff>
      <xdr:row>57</xdr:row>
      <xdr:rowOff>685800</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76200</xdr:colOff>
      <xdr:row>15</xdr:row>
      <xdr:rowOff>152400</xdr:rowOff>
    </xdr:from>
    <xdr:to>
      <xdr:col>21</xdr:col>
      <xdr:colOff>609600</xdr:colOff>
      <xdr:row>18</xdr:row>
      <xdr:rowOff>152400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476250</xdr:rowOff>
    </xdr:from>
    <xdr:to>
      <xdr:col>3</xdr:col>
      <xdr:colOff>609600</xdr:colOff>
      <xdr:row>26</xdr:row>
      <xdr:rowOff>152400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75</xdr:row>
      <xdr:rowOff>107600</xdr:rowOff>
    </xdr:from>
    <xdr:to>
      <xdr:col>5</xdr:col>
      <xdr:colOff>190500</xdr:colOff>
      <xdr:row>82</xdr:row>
      <xdr:rowOff>7789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3261</xdr:rowOff>
    </xdr:from>
    <xdr:to>
      <xdr:col>5</xdr:col>
      <xdr:colOff>190500</xdr:colOff>
      <xdr:row>83</xdr:row>
      <xdr:rowOff>40975</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41148</xdr:rowOff>
    </xdr:from>
    <xdr:to>
      <xdr:col>5</xdr:col>
      <xdr:colOff>190500</xdr:colOff>
      <xdr:row>84</xdr:row>
      <xdr:rowOff>2495</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118335</xdr:rowOff>
    </xdr:from>
    <xdr:to>
      <xdr:col>5</xdr:col>
      <xdr:colOff>190500</xdr:colOff>
      <xdr:row>85</xdr:row>
      <xdr:rowOff>118044</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75598</xdr:rowOff>
    </xdr:from>
    <xdr:to>
      <xdr:col>5</xdr:col>
      <xdr:colOff>190500</xdr:colOff>
      <xdr:row>132</xdr:row>
      <xdr:rowOff>22321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190496</xdr:rowOff>
    </xdr:from>
    <xdr:to>
      <xdr:col>5</xdr:col>
      <xdr:colOff>190500</xdr:colOff>
      <xdr:row>116</xdr:row>
      <xdr:rowOff>70207</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75</xdr:row>
      <xdr:rowOff>119302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70</xdr:row>
      <xdr:rowOff>1123</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28955</xdr:rowOff>
    </xdr:from>
    <xdr:to>
      <xdr:col>5</xdr:col>
      <xdr:colOff>190500</xdr:colOff>
      <xdr:row>63</xdr:row>
      <xdr:rowOff>106322</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35240</xdr:rowOff>
    </xdr:from>
    <xdr:to>
      <xdr:col>5</xdr:col>
      <xdr:colOff>190500</xdr:colOff>
      <xdr:row>62</xdr:row>
      <xdr:rowOff>176620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163408</xdr:rowOff>
    </xdr:from>
    <xdr:to>
      <xdr:col>5</xdr:col>
      <xdr:colOff>190500</xdr:colOff>
      <xdr:row>61</xdr:row>
      <xdr:rowOff>167637</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17086</xdr:rowOff>
    </xdr:from>
    <xdr:to>
      <xdr:col>6</xdr:col>
      <xdr:colOff>38100</xdr:colOff>
      <xdr:row>113</xdr:row>
      <xdr:rowOff>161003</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145839</xdr:rowOff>
    </xdr:from>
    <xdr:to>
      <xdr:col>19</xdr:col>
      <xdr:colOff>637116</xdr:colOff>
      <xdr:row>15</xdr:row>
      <xdr:rowOff>140123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87587</xdr:rowOff>
    </xdr:from>
    <xdr:to>
      <xdr:col>5</xdr:col>
      <xdr:colOff>190500</xdr:colOff>
      <xdr:row>61</xdr:row>
      <xdr:rowOff>165491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87428</xdr:rowOff>
    </xdr:from>
    <xdr:to>
      <xdr:col>5</xdr:col>
      <xdr:colOff>190500</xdr:colOff>
      <xdr:row>62</xdr:row>
      <xdr:rowOff>96429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128806</xdr:rowOff>
    </xdr:from>
    <xdr:to>
      <xdr:col>5</xdr:col>
      <xdr:colOff>190500</xdr:colOff>
      <xdr:row>63</xdr:row>
      <xdr:rowOff>65864</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4125</xdr:rowOff>
    </xdr:from>
    <xdr:to>
      <xdr:col>5</xdr:col>
      <xdr:colOff>190500</xdr:colOff>
      <xdr:row>63</xdr:row>
      <xdr:rowOff>258959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173838</xdr:rowOff>
    </xdr:from>
    <xdr:to>
      <xdr:col>5</xdr:col>
      <xdr:colOff>190500</xdr:colOff>
      <xdr:row>110</xdr:row>
      <xdr:rowOff>190243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2771</xdr:rowOff>
    </xdr:from>
    <xdr:to>
      <xdr:col>5</xdr:col>
      <xdr:colOff>190500</xdr:colOff>
      <xdr:row>97</xdr:row>
      <xdr:rowOff>7913</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3115</xdr:rowOff>
    </xdr:from>
    <xdr:to>
      <xdr:col>5</xdr:col>
      <xdr:colOff>190500</xdr:colOff>
      <xdr:row>55</xdr:row>
      <xdr:rowOff>127310</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50</xdr:row>
      <xdr:rowOff>212555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47</xdr:row>
      <xdr:rowOff>178852</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69669</xdr:rowOff>
    </xdr:from>
    <xdr:to>
      <xdr:col>5</xdr:col>
      <xdr:colOff>190500</xdr:colOff>
      <xdr:row>47</xdr:row>
      <xdr:rowOff>31469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26328</xdr:rowOff>
    </xdr:from>
    <xdr:to>
      <xdr:col>5</xdr:col>
      <xdr:colOff>190500</xdr:colOff>
      <xdr:row>46</xdr:row>
      <xdr:rowOff>26829</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109082</xdr:rowOff>
    </xdr:from>
    <xdr:to>
      <xdr:col>6</xdr:col>
      <xdr:colOff>38100</xdr:colOff>
      <xdr:row>95</xdr:row>
      <xdr:rowOff>1820</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107739</xdr:rowOff>
    </xdr:from>
    <xdr:to>
      <xdr:col>19</xdr:col>
      <xdr:colOff>599016</xdr:colOff>
      <xdr:row>15</xdr:row>
      <xdr:rowOff>140123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38214</xdr:rowOff>
    </xdr:from>
    <xdr:to>
      <xdr:col>5</xdr:col>
      <xdr:colOff>190500</xdr:colOff>
      <xdr:row>85</xdr:row>
      <xdr:rowOff>19559</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39483</xdr:rowOff>
    </xdr:from>
    <xdr:to>
      <xdr:col>5</xdr:col>
      <xdr:colOff>190500</xdr:colOff>
      <xdr:row>85</xdr:row>
      <xdr:rowOff>173988</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40757</xdr:rowOff>
    </xdr:from>
    <xdr:to>
      <xdr:col>5</xdr:col>
      <xdr:colOff>190500</xdr:colOff>
      <xdr:row>86</xdr:row>
      <xdr:rowOff>137604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156870</xdr:rowOff>
    </xdr:from>
    <xdr:to>
      <xdr:col>5</xdr:col>
      <xdr:colOff>190500</xdr:colOff>
      <xdr:row>87</xdr:row>
      <xdr:rowOff>118516</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107</xdr:row>
      <xdr:rowOff>131726</xdr:rowOff>
    </xdr:from>
    <xdr:to>
      <xdr:col>5</xdr:col>
      <xdr:colOff>190500</xdr:colOff>
      <xdr:row>123</xdr:row>
      <xdr:rowOff>108943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62</xdr:row>
      <xdr:rowOff>42293</xdr:rowOff>
    </xdr:from>
    <xdr:to>
      <xdr:col>5</xdr:col>
      <xdr:colOff>190500</xdr:colOff>
      <xdr:row>81</xdr:row>
      <xdr:rowOff>117501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147287</xdr:rowOff>
    </xdr:from>
    <xdr:to>
      <xdr:col>5</xdr:col>
      <xdr:colOff>190500</xdr:colOff>
      <xdr:row>75</xdr:row>
      <xdr:rowOff>92329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184419</xdr:rowOff>
    </xdr:from>
    <xdr:to>
      <xdr:col>5</xdr:col>
      <xdr:colOff>190500</xdr:colOff>
      <xdr:row>67</xdr:row>
      <xdr:rowOff>117917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64</xdr:row>
      <xdr:rowOff>146338</xdr:rowOff>
    </xdr:from>
    <xdr:to>
      <xdr:col>5</xdr:col>
      <xdr:colOff>190500</xdr:colOff>
      <xdr:row>66</xdr:row>
      <xdr:rowOff>192048</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145559</xdr:rowOff>
    </xdr:from>
    <xdr:to>
      <xdr:col>5</xdr:col>
      <xdr:colOff>190500</xdr:colOff>
      <xdr:row>65</xdr:row>
      <xdr:rowOff>145559</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131726</xdr:rowOff>
    </xdr:from>
    <xdr:to>
      <xdr:col>6</xdr:col>
      <xdr:colOff>38100</xdr:colOff>
      <xdr:row>121</xdr:row>
      <xdr:rowOff>113809</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102236</xdr:rowOff>
    </xdr:from>
    <xdr:to>
      <xdr:col>18</xdr:col>
      <xdr:colOff>762000</xdr:colOff>
      <xdr:row>31</xdr:row>
      <xdr:rowOff>140335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102235</xdr:rowOff>
    </xdr:from>
    <xdr:to>
      <xdr:col>19</xdr:col>
      <xdr:colOff>713316</xdr:colOff>
      <xdr:row>35</xdr:row>
      <xdr:rowOff>140334</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64770</xdr:rowOff>
    </xdr:from>
    <xdr:to>
      <xdr:col>5</xdr:col>
      <xdr:colOff>190500</xdr:colOff>
      <xdr:row>58</xdr:row>
      <xdr:rowOff>158666</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109020</xdr:rowOff>
    </xdr:from>
    <xdr:to>
      <xdr:col>5</xdr:col>
      <xdr:colOff>190500</xdr:colOff>
      <xdr:row>59</xdr:row>
      <xdr:rowOff>162592</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127128</xdr:rowOff>
    </xdr:from>
    <xdr:to>
      <xdr:col>5</xdr:col>
      <xdr:colOff>190500</xdr:colOff>
      <xdr:row>60</xdr:row>
      <xdr:rowOff>85289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183361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46191</xdr:rowOff>
    </xdr:from>
    <xdr:to>
      <xdr:col>5</xdr:col>
      <xdr:colOff>190500</xdr:colOff>
      <xdr:row>96</xdr:row>
      <xdr:rowOff>171734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87405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11581</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107880</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46191</xdr:rowOff>
    </xdr:from>
    <xdr:to>
      <xdr:col>6</xdr:col>
      <xdr:colOff>38100</xdr:colOff>
      <xdr:row>94</xdr:row>
      <xdr:rowOff>117101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64770</xdr:rowOff>
    </xdr:from>
    <xdr:to>
      <xdr:col>5</xdr:col>
      <xdr:colOff>190500</xdr:colOff>
      <xdr:row>58</xdr:row>
      <xdr:rowOff>158666</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109020</xdr:rowOff>
    </xdr:from>
    <xdr:to>
      <xdr:col>5</xdr:col>
      <xdr:colOff>190500</xdr:colOff>
      <xdr:row>59</xdr:row>
      <xdr:rowOff>162592</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127128</xdr:rowOff>
    </xdr:from>
    <xdr:to>
      <xdr:col>5</xdr:col>
      <xdr:colOff>190500</xdr:colOff>
      <xdr:row>60</xdr:row>
      <xdr:rowOff>85289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183361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46191</xdr:rowOff>
    </xdr:from>
    <xdr:to>
      <xdr:col>5</xdr:col>
      <xdr:colOff>190500</xdr:colOff>
      <xdr:row>96</xdr:row>
      <xdr:rowOff>171734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87405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11581</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46191</xdr:rowOff>
    </xdr:from>
    <xdr:to>
      <xdr:col>6</xdr:col>
      <xdr:colOff>38100</xdr:colOff>
      <xdr:row>94</xdr:row>
      <xdr:rowOff>117101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64770</xdr:rowOff>
    </xdr:from>
    <xdr:to>
      <xdr:col>5</xdr:col>
      <xdr:colOff>190500</xdr:colOff>
      <xdr:row>58</xdr:row>
      <xdr:rowOff>158666</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109020</xdr:rowOff>
    </xdr:from>
    <xdr:to>
      <xdr:col>5</xdr:col>
      <xdr:colOff>190500</xdr:colOff>
      <xdr:row>59</xdr:row>
      <xdr:rowOff>162592</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127128</xdr:rowOff>
    </xdr:from>
    <xdr:to>
      <xdr:col>5</xdr:col>
      <xdr:colOff>190500</xdr:colOff>
      <xdr:row>60</xdr:row>
      <xdr:rowOff>85289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183361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8090</xdr:rowOff>
    </xdr:from>
    <xdr:to>
      <xdr:col>5</xdr:col>
      <xdr:colOff>190500</xdr:colOff>
      <xdr:row>96</xdr:row>
      <xdr:rowOff>171734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87405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11581</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46191</xdr:rowOff>
    </xdr:from>
    <xdr:to>
      <xdr:col>6</xdr:col>
      <xdr:colOff>38100</xdr:colOff>
      <xdr:row>94</xdr:row>
      <xdr:rowOff>117101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53</xdr:row>
      <xdr:rowOff>64770</xdr:rowOff>
    </xdr:from>
    <xdr:to>
      <xdr:col>5</xdr:col>
      <xdr:colOff>190500</xdr:colOff>
      <xdr:row>58</xdr:row>
      <xdr:rowOff>158666</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109020</xdr:rowOff>
    </xdr:from>
    <xdr:to>
      <xdr:col>5</xdr:col>
      <xdr:colOff>190500</xdr:colOff>
      <xdr:row>59</xdr:row>
      <xdr:rowOff>162592</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127128</xdr:rowOff>
    </xdr:from>
    <xdr:to>
      <xdr:col>5</xdr:col>
      <xdr:colOff>190500</xdr:colOff>
      <xdr:row>60</xdr:row>
      <xdr:rowOff>85289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87307</xdr:rowOff>
    </xdr:from>
    <xdr:to>
      <xdr:col>5</xdr:col>
      <xdr:colOff>190500</xdr:colOff>
      <xdr:row>60</xdr:row>
      <xdr:rowOff>183361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8090</xdr:rowOff>
    </xdr:from>
    <xdr:to>
      <xdr:col>5</xdr:col>
      <xdr:colOff>190500</xdr:colOff>
      <xdr:row>96</xdr:row>
      <xdr:rowOff>171734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55</xdr:row>
      <xdr:rowOff>87405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11581</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45</xdr:row>
      <xdr:rowOff>145580</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45</xdr:row>
      <xdr:rowOff>107480</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69780</xdr:rowOff>
    </xdr:from>
    <xdr:to>
      <xdr:col>5</xdr:col>
      <xdr:colOff>190500</xdr:colOff>
      <xdr:row>44</xdr:row>
      <xdr:rowOff>69780</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8090</xdr:rowOff>
    </xdr:from>
    <xdr:to>
      <xdr:col>6</xdr:col>
      <xdr:colOff>38100</xdr:colOff>
      <xdr:row>94</xdr:row>
      <xdr:rowOff>117101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1271</xdr:rowOff>
    </xdr:from>
    <xdr:to>
      <xdr:col>5</xdr:col>
      <xdr:colOff>637540</xdr:colOff>
      <xdr:row>47</xdr:row>
      <xdr:rowOff>216721</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428153</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165792</xdr:rowOff>
    </xdr:from>
    <xdr:to>
      <xdr:col>5</xdr:col>
      <xdr:colOff>637540</xdr:colOff>
      <xdr:row>63</xdr:row>
      <xdr:rowOff>363742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147498</xdr:rowOff>
    </xdr:from>
    <xdr:to>
      <xdr:col>5</xdr:col>
      <xdr:colOff>637540</xdr:colOff>
      <xdr:row>64</xdr:row>
      <xdr:rowOff>145914</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96126</xdr:rowOff>
    </xdr:from>
    <xdr:to>
      <xdr:col>5</xdr:col>
      <xdr:colOff>637540</xdr:colOff>
      <xdr:row>65</xdr:row>
      <xdr:rowOff>183234</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106896</xdr:rowOff>
    </xdr:from>
    <xdr:to>
      <xdr:col>5</xdr:col>
      <xdr:colOff>637540</xdr:colOff>
      <xdr:row>66</xdr:row>
      <xdr:rowOff>171728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117922</xdr:rowOff>
    </xdr:from>
    <xdr:to>
      <xdr:col>5</xdr:col>
      <xdr:colOff>637540</xdr:colOff>
      <xdr:row>89</xdr:row>
      <xdr:rowOff>1756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637540</xdr:colOff>
      <xdr:row>90</xdr:row>
      <xdr:rowOff>43754</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637540</xdr:colOff>
      <xdr:row>92</xdr:row>
      <xdr:rowOff>450</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1271</xdr:rowOff>
    </xdr:from>
    <xdr:to>
      <xdr:col>5</xdr:col>
      <xdr:colOff>637540</xdr:colOff>
      <xdr:row>47</xdr:row>
      <xdr:rowOff>216721</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428153</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165792</xdr:rowOff>
    </xdr:from>
    <xdr:to>
      <xdr:col>5</xdr:col>
      <xdr:colOff>637540</xdr:colOff>
      <xdr:row>63</xdr:row>
      <xdr:rowOff>363742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147498</xdr:rowOff>
    </xdr:from>
    <xdr:to>
      <xdr:col>5</xdr:col>
      <xdr:colOff>637540</xdr:colOff>
      <xdr:row>64</xdr:row>
      <xdr:rowOff>145914</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96126</xdr:rowOff>
    </xdr:from>
    <xdr:to>
      <xdr:col>5</xdr:col>
      <xdr:colOff>637540</xdr:colOff>
      <xdr:row>65</xdr:row>
      <xdr:rowOff>183234</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106896</xdr:rowOff>
    </xdr:from>
    <xdr:to>
      <xdr:col>5</xdr:col>
      <xdr:colOff>637540</xdr:colOff>
      <xdr:row>66</xdr:row>
      <xdr:rowOff>171728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117922</xdr:rowOff>
    </xdr:from>
    <xdr:to>
      <xdr:col>5</xdr:col>
      <xdr:colOff>637540</xdr:colOff>
      <xdr:row>89</xdr:row>
      <xdr:rowOff>1756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637540</xdr:colOff>
      <xdr:row>90</xdr:row>
      <xdr:rowOff>43754</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637540</xdr:colOff>
      <xdr:row>92</xdr:row>
      <xdr:rowOff>450</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44</xdr:row>
      <xdr:rowOff>102376</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45</xdr:row>
      <xdr:rowOff>144522</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637540</xdr:colOff>
      <xdr:row>47</xdr:row>
      <xdr:rowOff>178549</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637540</xdr:colOff>
      <xdr:row>47</xdr:row>
      <xdr:rowOff>408044</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637540</xdr:colOff>
      <xdr:row>48</xdr:row>
      <xdr:rowOff>143115</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127692</xdr:rowOff>
    </xdr:from>
    <xdr:to>
      <xdr:col>5</xdr:col>
      <xdr:colOff>637540</xdr:colOff>
      <xdr:row>63</xdr:row>
      <xdr:rowOff>363742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106616</xdr:rowOff>
    </xdr:from>
    <xdr:to>
      <xdr:col>5</xdr:col>
      <xdr:colOff>637540</xdr:colOff>
      <xdr:row>64</xdr:row>
      <xdr:rowOff>145914</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97396</xdr:rowOff>
    </xdr:from>
    <xdr:to>
      <xdr:col>5</xdr:col>
      <xdr:colOff>637540</xdr:colOff>
      <xdr:row>65</xdr:row>
      <xdr:rowOff>183234</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65621</xdr:rowOff>
    </xdr:from>
    <xdr:to>
      <xdr:col>5</xdr:col>
      <xdr:colOff>637540</xdr:colOff>
      <xdr:row>66</xdr:row>
      <xdr:rowOff>171728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637540</xdr:colOff>
      <xdr:row>89</xdr:row>
      <xdr:rowOff>1756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637540</xdr:colOff>
      <xdr:row>90</xdr:row>
      <xdr:rowOff>43754</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637540</xdr:colOff>
      <xdr:row>92</xdr:row>
      <xdr:rowOff>450</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127692</xdr:rowOff>
    </xdr:from>
    <xdr:to>
      <xdr:col>5</xdr:col>
      <xdr:colOff>609600</xdr:colOff>
      <xdr:row>63</xdr:row>
      <xdr:rowOff>363742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106616</xdr:rowOff>
    </xdr:from>
    <xdr:to>
      <xdr:col>5</xdr:col>
      <xdr:colOff>609600</xdr:colOff>
      <xdr:row>64</xdr:row>
      <xdr:rowOff>145914</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97396</xdr:rowOff>
    </xdr:from>
    <xdr:to>
      <xdr:col>5</xdr:col>
      <xdr:colOff>609600</xdr:colOff>
      <xdr:row>65</xdr:row>
      <xdr:rowOff>183234</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65621</xdr:rowOff>
    </xdr:from>
    <xdr:to>
      <xdr:col>5</xdr:col>
      <xdr:colOff>609600</xdr:colOff>
      <xdr:row>66</xdr:row>
      <xdr:rowOff>171728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1756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43754</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609600</xdr:colOff>
      <xdr:row>92</xdr:row>
      <xdr:rowOff>450</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127692</xdr:rowOff>
    </xdr:from>
    <xdr:to>
      <xdr:col>5</xdr:col>
      <xdr:colOff>609600</xdr:colOff>
      <xdr:row>63</xdr:row>
      <xdr:rowOff>363742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106616</xdr:rowOff>
    </xdr:from>
    <xdr:to>
      <xdr:col>5</xdr:col>
      <xdr:colOff>609600</xdr:colOff>
      <xdr:row>64</xdr:row>
      <xdr:rowOff>145914</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97396</xdr:rowOff>
    </xdr:from>
    <xdr:to>
      <xdr:col>5</xdr:col>
      <xdr:colOff>609600</xdr:colOff>
      <xdr:row>65</xdr:row>
      <xdr:rowOff>183234</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65621</xdr:rowOff>
    </xdr:from>
    <xdr:to>
      <xdr:col>5</xdr:col>
      <xdr:colOff>609600</xdr:colOff>
      <xdr:row>66</xdr:row>
      <xdr:rowOff>171728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1756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43754</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609600</xdr:colOff>
      <xdr:row>92</xdr:row>
      <xdr:rowOff>450</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40476</xdr:rowOff>
    </xdr:from>
    <xdr:to>
      <xdr:col>6</xdr:col>
      <xdr:colOff>38100</xdr:colOff>
      <xdr:row>94</xdr:row>
      <xdr:rowOff>77401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44</xdr:row>
      <xdr:rowOff>102376</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45</xdr:row>
      <xdr:rowOff>144522</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47</xdr:row>
      <xdr:rowOff>178549</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140476</xdr:rowOff>
    </xdr:from>
    <xdr:to>
      <xdr:col>5</xdr:col>
      <xdr:colOff>609600</xdr:colOff>
      <xdr:row>47</xdr:row>
      <xdr:rowOff>408044</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10843</xdr:rowOff>
    </xdr:from>
    <xdr:to>
      <xdr:col>5</xdr:col>
      <xdr:colOff>609600</xdr:colOff>
      <xdr:row>48</xdr:row>
      <xdr:rowOff>143115</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127692</xdr:rowOff>
    </xdr:from>
    <xdr:to>
      <xdr:col>5</xdr:col>
      <xdr:colOff>609600</xdr:colOff>
      <xdr:row>63</xdr:row>
      <xdr:rowOff>363742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106616</xdr:rowOff>
    </xdr:from>
    <xdr:to>
      <xdr:col>5</xdr:col>
      <xdr:colOff>609600</xdr:colOff>
      <xdr:row>64</xdr:row>
      <xdr:rowOff>145914</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97396</xdr:rowOff>
    </xdr:from>
    <xdr:to>
      <xdr:col>5</xdr:col>
      <xdr:colOff>609600</xdr:colOff>
      <xdr:row>65</xdr:row>
      <xdr:rowOff>183234</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65621</xdr:rowOff>
    </xdr:from>
    <xdr:to>
      <xdr:col>5</xdr:col>
      <xdr:colOff>609600</xdr:colOff>
      <xdr:row>66</xdr:row>
      <xdr:rowOff>171728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19559</xdr:rowOff>
    </xdr:from>
    <xdr:to>
      <xdr:col>5</xdr:col>
      <xdr:colOff>609600</xdr:colOff>
      <xdr:row>89</xdr:row>
      <xdr:rowOff>1756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19613</xdr:rowOff>
    </xdr:from>
    <xdr:to>
      <xdr:col>5</xdr:col>
      <xdr:colOff>609600</xdr:colOff>
      <xdr:row>90</xdr:row>
      <xdr:rowOff>43754</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117308</xdr:rowOff>
    </xdr:from>
    <xdr:to>
      <xdr:col>5</xdr:col>
      <xdr:colOff>609600</xdr:colOff>
      <xdr:row>92</xdr:row>
      <xdr:rowOff>450</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19236</xdr:rowOff>
    </xdr:from>
    <xdr:to>
      <xdr:col>6</xdr:col>
      <xdr:colOff>38100</xdr:colOff>
      <xdr:row>97</xdr:row>
      <xdr:rowOff>161246</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64700</xdr:rowOff>
    </xdr:from>
    <xdr:to>
      <xdr:col>5</xdr:col>
      <xdr:colOff>609600</xdr:colOff>
      <xdr:row>50</xdr:row>
      <xdr:rowOff>10734</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1507</xdr:rowOff>
    </xdr:from>
    <xdr:to>
      <xdr:col>5</xdr:col>
      <xdr:colOff>609600</xdr:colOff>
      <xdr:row>50</xdr:row>
      <xdr:rowOff>86934</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145817</xdr:rowOff>
    </xdr:from>
    <xdr:to>
      <xdr:col>5</xdr:col>
      <xdr:colOff>609600</xdr:colOff>
      <xdr:row>48</xdr:row>
      <xdr:rowOff>350601</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298001</xdr:rowOff>
    </xdr:from>
    <xdr:to>
      <xdr:col>5</xdr:col>
      <xdr:colOff>609600</xdr:colOff>
      <xdr:row>49</xdr:row>
      <xdr:rowOff>35734</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466888</xdr:rowOff>
    </xdr:from>
    <xdr:to>
      <xdr:col>5</xdr:col>
      <xdr:colOff>609600</xdr:colOff>
      <xdr:row>49</xdr:row>
      <xdr:rowOff>258663</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203672</xdr:rowOff>
    </xdr:from>
    <xdr:to>
      <xdr:col>5</xdr:col>
      <xdr:colOff>609600</xdr:colOff>
      <xdr:row>67</xdr:row>
      <xdr:rowOff>137390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35304</xdr:rowOff>
    </xdr:from>
    <xdr:to>
      <xdr:col>5</xdr:col>
      <xdr:colOff>609600</xdr:colOff>
      <xdr:row>68</xdr:row>
      <xdr:rowOff>173121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63316</xdr:rowOff>
    </xdr:from>
    <xdr:to>
      <xdr:col>5</xdr:col>
      <xdr:colOff>609600</xdr:colOff>
      <xdr:row>69</xdr:row>
      <xdr:rowOff>117644</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87302</xdr:rowOff>
    </xdr:from>
    <xdr:to>
      <xdr:col>5</xdr:col>
      <xdr:colOff>609600</xdr:colOff>
      <xdr:row>70</xdr:row>
      <xdr:rowOff>138525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92754</xdr:rowOff>
    </xdr:from>
    <xdr:to>
      <xdr:col>5</xdr:col>
      <xdr:colOff>609600</xdr:colOff>
      <xdr:row>92</xdr:row>
      <xdr:rowOff>21806</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21806</xdr:rowOff>
    </xdr:from>
    <xdr:to>
      <xdr:col>5</xdr:col>
      <xdr:colOff>609600</xdr:colOff>
      <xdr:row>99</xdr:row>
      <xdr:rowOff>137995</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21806</xdr:rowOff>
    </xdr:from>
    <xdr:to>
      <xdr:col>5</xdr:col>
      <xdr:colOff>609600</xdr:colOff>
      <xdr:row>98</xdr:row>
      <xdr:rowOff>100439</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131796</xdr:rowOff>
    </xdr:from>
    <xdr:to>
      <xdr:col>6</xdr:col>
      <xdr:colOff>66040</xdr:colOff>
      <xdr:row>122</xdr:row>
      <xdr:rowOff>108943</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65</xdr:row>
      <xdr:rowOff>144501</xdr:rowOff>
    </xdr:from>
    <xdr:to>
      <xdr:col>5</xdr:col>
      <xdr:colOff>609600</xdr:colOff>
      <xdr:row>81</xdr:row>
      <xdr:rowOff>2302</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63</xdr:row>
      <xdr:rowOff>301473</xdr:rowOff>
    </xdr:from>
    <xdr:to>
      <xdr:col>5</xdr:col>
      <xdr:colOff>637540</xdr:colOff>
      <xdr:row>78</xdr:row>
      <xdr:rowOff>155314</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58249</xdr:rowOff>
    </xdr:from>
    <xdr:to>
      <xdr:col>5</xdr:col>
      <xdr:colOff>609600</xdr:colOff>
      <xdr:row>71</xdr:row>
      <xdr:rowOff>174056</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157550</xdr:rowOff>
    </xdr:from>
    <xdr:to>
      <xdr:col>5</xdr:col>
      <xdr:colOff>609600</xdr:colOff>
      <xdr:row>72</xdr:row>
      <xdr:rowOff>117427</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137462</xdr:rowOff>
    </xdr:from>
    <xdr:to>
      <xdr:col>5</xdr:col>
      <xdr:colOff>609600</xdr:colOff>
      <xdr:row>73</xdr:row>
      <xdr:rowOff>85841</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72929</xdr:rowOff>
    </xdr:from>
    <xdr:to>
      <xdr:col>5</xdr:col>
      <xdr:colOff>609600</xdr:colOff>
      <xdr:row>92</xdr:row>
      <xdr:rowOff>19405</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30118</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203709</xdr:rowOff>
    </xdr:from>
    <xdr:to>
      <xdr:col>5</xdr:col>
      <xdr:colOff>609600</xdr:colOff>
      <xdr:row>94</xdr:row>
      <xdr:rowOff>21618</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160901</xdr:rowOff>
    </xdr:from>
    <xdr:to>
      <xdr:col>5</xdr:col>
      <xdr:colOff>609600</xdr:colOff>
      <xdr:row>95</xdr:row>
      <xdr:rowOff>38550</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91482</xdr:rowOff>
    </xdr:from>
    <xdr:to>
      <xdr:col>5</xdr:col>
      <xdr:colOff>609600</xdr:colOff>
      <xdr:row>115</xdr:row>
      <xdr:rowOff>108235</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116</xdr:row>
      <xdr:rowOff>91484</xdr:rowOff>
    </xdr:from>
    <xdr:to>
      <xdr:col>5</xdr:col>
      <xdr:colOff>609600</xdr:colOff>
      <xdr:row>140</xdr:row>
      <xdr:rowOff>35557</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116</xdr:row>
      <xdr:rowOff>91484</xdr:rowOff>
    </xdr:from>
    <xdr:to>
      <xdr:col>5</xdr:col>
      <xdr:colOff>609600</xdr:colOff>
      <xdr:row>138</xdr:row>
      <xdr:rowOff>117259</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113</xdr:row>
      <xdr:rowOff>54835</xdr:rowOff>
    </xdr:from>
    <xdr:to>
      <xdr:col>6</xdr:col>
      <xdr:colOff>57150</xdr:colOff>
      <xdr:row>127</xdr:row>
      <xdr:rowOff>157711</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1099</xdr:rowOff>
    </xdr:from>
    <xdr:to>
      <xdr:col>5</xdr:col>
      <xdr:colOff>628650</xdr:colOff>
      <xdr:row>85</xdr:row>
      <xdr:rowOff>3048</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77299</xdr:rowOff>
    </xdr:from>
    <xdr:to>
      <xdr:col>5</xdr:col>
      <xdr:colOff>628650</xdr:colOff>
      <xdr:row>84</xdr:row>
      <xdr:rowOff>157588</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118728</xdr:rowOff>
    </xdr:from>
    <xdr:to>
      <xdr:col>5</xdr:col>
      <xdr:colOff>628650</xdr:colOff>
      <xdr:row>75</xdr:row>
      <xdr:rowOff>465</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71</xdr:row>
      <xdr:rowOff>118727</xdr:rowOff>
    </xdr:from>
    <xdr:to>
      <xdr:col>5</xdr:col>
      <xdr:colOff>628650</xdr:colOff>
      <xdr:row>74</xdr:row>
      <xdr:rowOff>19870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76</xdr:row>
      <xdr:rowOff>143462</xdr:rowOff>
    </xdr:from>
    <xdr:to>
      <xdr:col>5</xdr:col>
      <xdr:colOff>609600</xdr:colOff>
      <xdr:row>78</xdr:row>
      <xdr:rowOff>137111</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118263</xdr:rowOff>
    </xdr:from>
    <xdr:to>
      <xdr:col>5</xdr:col>
      <xdr:colOff>609600</xdr:colOff>
      <xdr:row>97</xdr:row>
      <xdr:rowOff>33070</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119010</xdr:rowOff>
    </xdr:from>
    <xdr:to>
      <xdr:col>5</xdr:col>
      <xdr:colOff>609600</xdr:colOff>
      <xdr:row>98</xdr:row>
      <xdr:rowOff>38244</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138723</xdr:rowOff>
    </xdr:from>
    <xdr:to>
      <xdr:col>5</xdr:col>
      <xdr:colOff>609600</xdr:colOff>
      <xdr:row>98</xdr:row>
      <xdr:rowOff>189764</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119603</xdr:rowOff>
    </xdr:from>
    <xdr:to>
      <xdr:col>5</xdr:col>
      <xdr:colOff>609600</xdr:colOff>
      <xdr:row>99</xdr:row>
      <xdr:rowOff>151542</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161101</xdr:rowOff>
    </xdr:from>
    <xdr:to>
      <xdr:col>5</xdr:col>
      <xdr:colOff>609600</xdr:colOff>
      <xdr:row>120</xdr:row>
      <xdr:rowOff>169472</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121</xdr:row>
      <xdr:rowOff>108729</xdr:rowOff>
    </xdr:from>
    <xdr:to>
      <xdr:col>5</xdr:col>
      <xdr:colOff>609600</xdr:colOff>
      <xdr:row>185</xdr:row>
      <xdr:rowOff>23279</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121</xdr:row>
      <xdr:rowOff>108729</xdr:rowOff>
    </xdr:from>
    <xdr:to>
      <xdr:col>5</xdr:col>
      <xdr:colOff>609600</xdr:colOff>
      <xdr:row>183</xdr:row>
      <xdr:rowOff>98029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107722</xdr:rowOff>
    </xdr:from>
    <xdr:to>
      <xdr:col>6</xdr:col>
      <xdr:colOff>57150</xdr:colOff>
      <xdr:row>103</xdr:row>
      <xdr:rowOff>171354</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219896</xdr:rowOff>
    </xdr:from>
    <xdr:to>
      <xdr:col>5</xdr:col>
      <xdr:colOff>628650</xdr:colOff>
      <xdr:row>59</xdr:row>
      <xdr:rowOff>44552</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47</xdr:row>
      <xdr:rowOff>296096</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49</xdr:row>
      <xdr:rowOff>353752</xdr:rowOff>
    </xdr:from>
    <xdr:to>
      <xdr:col>5</xdr:col>
      <xdr:colOff>628650</xdr:colOff>
      <xdr:row>52</xdr:row>
      <xdr:rowOff>182520</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182516</xdr:rowOff>
    </xdr:from>
    <xdr:to>
      <xdr:col>5</xdr:col>
      <xdr:colOff>628650</xdr:colOff>
      <xdr:row>52</xdr:row>
      <xdr:rowOff>47502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54</xdr:row>
      <xdr:rowOff>212031</xdr:rowOff>
    </xdr:from>
    <xdr:to>
      <xdr:col>5</xdr:col>
      <xdr:colOff>609600</xdr:colOff>
      <xdr:row>56</xdr:row>
      <xdr:rowOff>191094</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59028</xdr:rowOff>
    </xdr:from>
    <xdr:to>
      <xdr:col>5</xdr:col>
      <xdr:colOff>609600</xdr:colOff>
      <xdr:row>74</xdr:row>
      <xdr:rowOff>175820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39980</xdr:rowOff>
    </xdr:from>
    <xdr:to>
      <xdr:col>5</xdr:col>
      <xdr:colOff>609600</xdr:colOff>
      <xdr:row>75</xdr:row>
      <xdr:rowOff>175823</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39978</xdr:rowOff>
    </xdr:from>
    <xdr:to>
      <xdr:col>5</xdr:col>
      <xdr:colOff>609600</xdr:colOff>
      <xdr:row>76</xdr:row>
      <xdr:rowOff>175822</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39980</xdr:rowOff>
    </xdr:from>
    <xdr:to>
      <xdr:col>5</xdr:col>
      <xdr:colOff>609600</xdr:colOff>
      <xdr:row>77</xdr:row>
      <xdr:rowOff>175822</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58410</xdr:rowOff>
    </xdr:from>
    <xdr:to>
      <xdr:col>5</xdr:col>
      <xdr:colOff>609600</xdr:colOff>
      <xdr:row>99</xdr:row>
      <xdr:rowOff>112112</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34044</xdr:rowOff>
    </xdr:from>
    <xdr:to>
      <xdr:col>5</xdr:col>
      <xdr:colOff>609600</xdr:colOff>
      <xdr:row>122</xdr:row>
      <xdr:rowOff>187816</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34044</xdr:rowOff>
    </xdr:from>
    <xdr:to>
      <xdr:col>5</xdr:col>
      <xdr:colOff>609600</xdr:colOff>
      <xdr:row>121</xdr:row>
      <xdr:rowOff>112297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157110</xdr:rowOff>
    </xdr:from>
    <xdr:to>
      <xdr:col>6</xdr:col>
      <xdr:colOff>38100</xdr:colOff>
      <xdr:row>96</xdr:row>
      <xdr:rowOff>38480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447696</xdr:rowOff>
    </xdr:from>
    <xdr:to>
      <xdr:col>5</xdr:col>
      <xdr:colOff>609600</xdr:colOff>
      <xdr:row>49</xdr:row>
      <xdr:rowOff>376048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128519</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36195</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40190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664</xdr:rowOff>
    </xdr:from>
    <xdr:to>
      <xdr:col>5</xdr:col>
      <xdr:colOff>609600</xdr:colOff>
      <xdr:row>94</xdr:row>
      <xdr:rowOff>76768</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39821</xdr:rowOff>
    </xdr:from>
    <xdr:to>
      <xdr:col>5</xdr:col>
      <xdr:colOff>609600</xdr:colOff>
      <xdr:row>122</xdr:row>
      <xdr:rowOff>79138</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39821</xdr:rowOff>
    </xdr:from>
    <xdr:to>
      <xdr:col>5</xdr:col>
      <xdr:colOff>609600</xdr:colOff>
      <xdr:row>122</xdr:row>
      <xdr:rowOff>79138</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157110</xdr:rowOff>
    </xdr:from>
    <xdr:to>
      <xdr:col>6</xdr:col>
      <xdr:colOff>38100</xdr:colOff>
      <xdr:row>96</xdr:row>
      <xdr:rowOff>38480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2569</xdr:rowOff>
    </xdr:from>
    <xdr:to>
      <xdr:col>5</xdr:col>
      <xdr:colOff>609600</xdr:colOff>
      <xdr:row>94</xdr:row>
      <xdr:rowOff>65973</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157110</xdr:rowOff>
    </xdr:from>
    <xdr:to>
      <xdr:col>6</xdr:col>
      <xdr:colOff>38100</xdr:colOff>
      <xdr:row>96</xdr:row>
      <xdr:rowOff>38480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2569</xdr:rowOff>
    </xdr:from>
    <xdr:to>
      <xdr:col>5</xdr:col>
      <xdr:colOff>609600</xdr:colOff>
      <xdr:row>94</xdr:row>
      <xdr:rowOff>65973</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19501</xdr:rowOff>
    </xdr:from>
    <xdr:to>
      <xdr:col>5</xdr:col>
      <xdr:colOff>609600</xdr:colOff>
      <xdr:row>122</xdr:row>
      <xdr:rowOff>79138</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23350</xdr:rowOff>
    </xdr:from>
    <xdr:to>
      <xdr:col>6</xdr:col>
      <xdr:colOff>38100</xdr:colOff>
      <xdr:row>193</xdr:row>
      <xdr:rowOff>122078</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157332</xdr:rowOff>
    </xdr:from>
    <xdr:to>
      <xdr:col>5</xdr:col>
      <xdr:colOff>609600</xdr:colOff>
      <xdr:row>191</xdr:row>
      <xdr:rowOff>2791</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41664</xdr:rowOff>
    </xdr:from>
    <xdr:to>
      <xdr:col>5</xdr:col>
      <xdr:colOff>618490</xdr:colOff>
      <xdr:row>101</xdr:row>
      <xdr:rowOff>64558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200503</xdr:rowOff>
    </xdr:from>
    <xdr:to>
      <xdr:col>5</xdr:col>
      <xdr:colOff>618490</xdr:colOff>
      <xdr:row>103</xdr:row>
      <xdr:rowOff>23376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169331</xdr:rowOff>
    </xdr:from>
    <xdr:to>
      <xdr:col>5</xdr:col>
      <xdr:colOff>618490</xdr:colOff>
      <xdr:row>106</xdr:row>
      <xdr:rowOff>31632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169334</xdr:rowOff>
    </xdr:from>
    <xdr:to>
      <xdr:col>5</xdr:col>
      <xdr:colOff>618490</xdr:colOff>
      <xdr:row>107</xdr:row>
      <xdr:rowOff>31630</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180868</xdr:rowOff>
    </xdr:from>
    <xdr:to>
      <xdr:col>5</xdr:col>
      <xdr:colOff>618490</xdr:colOff>
      <xdr:row>95</xdr:row>
      <xdr:rowOff>38551</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138060</xdr:rowOff>
    </xdr:from>
    <xdr:to>
      <xdr:col>5</xdr:col>
      <xdr:colOff>618490</xdr:colOff>
      <xdr:row>96</xdr:row>
      <xdr:rowOff>40597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138058</xdr:rowOff>
    </xdr:from>
    <xdr:to>
      <xdr:col>5</xdr:col>
      <xdr:colOff>618490</xdr:colOff>
      <xdr:row>97</xdr:row>
      <xdr:rowOff>45770</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138060</xdr:rowOff>
    </xdr:from>
    <xdr:to>
      <xdr:col>5</xdr:col>
      <xdr:colOff>618490</xdr:colOff>
      <xdr:row>98</xdr:row>
      <xdr:rowOff>31894</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23350</xdr:rowOff>
    </xdr:from>
    <xdr:to>
      <xdr:col>6</xdr:col>
      <xdr:colOff>38100</xdr:colOff>
      <xdr:row>193</xdr:row>
      <xdr:rowOff>122078</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157332</xdr:rowOff>
    </xdr:from>
    <xdr:to>
      <xdr:col>5</xdr:col>
      <xdr:colOff>609600</xdr:colOff>
      <xdr:row>191</xdr:row>
      <xdr:rowOff>2791</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41664</xdr:rowOff>
    </xdr:from>
    <xdr:to>
      <xdr:col>5</xdr:col>
      <xdr:colOff>618490</xdr:colOff>
      <xdr:row>101</xdr:row>
      <xdr:rowOff>64558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200503</xdr:rowOff>
    </xdr:from>
    <xdr:to>
      <xdr:col>5</xdr:col>
      <xdr:colOff>618490</xdr:colOff>
      <xdr:row>103</xdr:row>
      <xdr:rowOff>23376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169331</xdr:rowOff>
    </xdr:from>
    <xdr:to>
      <xdr:col>5</xdr:col>
      <xdr:colOff>618490</xdr:colOff>
      <xdr:row>106</xdr:row>
      <xdr:rowOff>31632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169334</xdr:rowOff>
    </xdr:from>
    <xdr:to>
      <xdr:col>5</xdr:col>
      <xdr:colOff>618490</xdr:colOff>
      <xdr:row>107</xdr:row>
      <xdr:rowOff>31630</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180868</xdr:rowOff>
    </xdr:from>
    <xdr:to>
      <xdr:col>5</xdr:col>
      <xdr:colOff>618490</xdr:colOff>
      <xdr:row>95</xdr:row>
      <xdr:rowOff>38551</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138060</xdr:rowOff>
    </xdr:from>
    <xdr:to>
      <xdr:col>5</xdr:col>
      <xdr:colOff>618490</xdr:colOff>
      <xdr:row>96</xdr:row>
      <xdr:rowOff>40597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138058</xdr:rowOff>
    </xdr:from>
    <xdr:to>
      <xdr:col>5</xdr:col>
      <xdr:colOff>618490</xdr:colOff>
      <xdr:row>97</xdr:row>
      <xdr:rowOff>45770</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138060</xdr:rowOff>
    </xdr:from>
    <xdr:to>
      <xdr:col>5</xdr:col>
      <xdr:colOff>618490</xdr:colOff>
      <xdr:row>98</xdr:row>
      <xdr:rowOff>31894</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23350</xdr:rowOff>
    </xdr:from>
    <xdr:to>
      <xdr:col>6</xdr:col>
      <xdr:colOff>38100</xdr:colOff>
      <xdr:row>193</xdr:row>
      <xdr:rowOff>122078</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157332</xdr:rowOff>
    </xdr:from>
    <xdr:to>
      <xdr:col>5</xdr:col>
      <xdr:colOff>609600</xdr:colOff>
      <xdr:row>191</xdr:row>
      <xdr:rowOff>2791</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41664</xdr:rowOff>
    </xdr:from>
    <xdr:to>
      <xdr:col>5</xdr:col>
      <xdr:colOff>618490</xdr:colOff>
      <xdr:row>101</xdr:row>
      <xdr:rowOff>64558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200503</xdr:rowOff>
    </xdr:from>
    <xdr:to>
      <xdr:col>5</xdr:col>
      <xdr:colOff>618490</xdr:colOff>
      <xdr:row>103</xdr:row>
      <xdr:rowOff>23376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169331</xdr:rowOff>
    </xdr:from>
    <xdr:to>
      <xdr:col>5</xdr:col>
      <xdr:colOff>618490</xdr:colOff>
      <xdr:row>106</xdr:row>
      <xdr:rowOff>31632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169334</xdr:rowOff>
    </xdr:from>
    <xdr:to>
      <xdr:col>5</xdr:col>
      <xdr:colOff>618490</xdr:colOff>
      <xdr:row>107</xdr:row>
      <xdr:rowOff>31630</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90</xdr:row>
      <xdr:rowOff>180868</xdr:rowOff>
    </xdr:from>
    <xdr:to>
      <xdr:col>5</xdr:col>
      <xdr:colOff>618490</xdr:colOff>
      <xdr:row>95</xdr:row>
      <xdr:rowOff>38551</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138060</xdr:rowOff>
    </xdr:from>
    <xdr:to>
      <xdr:col>5</xdr:col>
      <xdr:colOff>618490</xdr:colOff>
      <xdr:row>96</xdr:row>
      <xdr:rowOff>40597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138058</xdr:rowOff>
    </xdr:from>
    <xdr:to>
      <xdr:col>5</xdr:col>
      <xdr:colOff>618490</xdr:colOff>
      <xdr:row>97</xdr:row>
      <xdr:rowOff>45770</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138060</xdr:rowOff>
    </xdr:from>
    <xdr:to>
      <xdr:col>5</xdr:col>
      <xdr:colOff>618490</xdr:colOff>
      <xdr:row>98</xdr:row>
      <xdr:rowOff>31894</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122078</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159237</xdr:rowOff>
    </xdr:from>
    <xdr:to>
      <xdr:col>5</xdr:col>
      <xdr:colOff>609600</xdr:colOff>
      <xdr:row>190</xdr:row>
      <xdr:rowOff>178287</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14994</xdr:rowOff>
    </xdr:from>
    <xdr:to>
      <xdr:col>5</xdr:col>
      <xdr:colOff>617220</xdr:colOff>
      <xdr:row>101</xdr:row>
      <xdr:rowOff>64558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200503</xdr:rowOff>
    </xdr:from>
    <xdr:to>
      <xdr:col>5</xdr:col>
      <xdr:colOff>617220</xdr:colOff>
      <xdr:row>103</xdr:row>
      <xdr:rowOff>22106</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169331</xdr:rowOff>
    </xdr:from>
    <xdr:to>
      <xdr:col>5</xdr:col>
      <xdr:colOff>617220</xdr:colOff>
      <xdr:row>106</xdr:row>
      <xdr:rowOff>31632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617220</xdr:colOff>
      <xdr:row>107</xdr:row>
      <xdr:rowOff>31630</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180868</xdr:rowOff>
    </xdr:from>
    <xdr:to>
      <xdr:col>5</xdr:col>
      <xdr:colOff>617220</xdr:colOff>
      <xdr:row>95</xdr:row>
      <xdr:rowOff>38551</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138060</xdr:rowOff>
    </xdr:from>
    <xdr:to>
      <xdr:col>5</xdr:col>
      <xdr:colOff>617220</xdr:colOff>
      <xdr:row>96</xdr:row>
      <xdr:rowOff>40597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138058</xdr:rowOff>
    </xdr:from>
    <xdr:to>
      <xdr:col>5</xdr:col>
      <xdr:colOff>617220</xdr:colOff>
      <xdr:row>97</xdr:row>
      <xdr:rowOff>45770</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138060</xdr:rowOff>
    </xdr:from>
    <xdr:to>
      <xdr:col>5</xdr:col>
      <xdr:colOff>617220</xdr:colOff>
      <xdr:row>98</xdr:row>
      <xdr:rowOff>31894</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122078</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159237</xdr:rowOff>
    </xdr:from>
    <xdr:to>
      <xdr:col>5</xdr:col>
      <xdr:colOff>609600</xdr:colOff>
      <xdr:row>190</xdr:row>
      <xdr:rowOff>178287</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14994</xdr:rowOff>
    </xdr:from>
    <xdr:to>
      <xdr:col>5</xdr:col>
      <xdr:colOff>617220</xdr:colOff>
      <xdr:row>101</xdr:row>
      <xdr:rowOff>64558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200503</xdr:rowOff>
    </xdr:from>
    <xdr:to>
      <xdr:col>5</xdr:col>
      <xdr:colOff>617220</xdr:colOff>
      <xdr:row>103</xdr:row>
      <xdr:rowOff>22106</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169331</xdr:rowOff>
    </xdr:from>
    <xdr:to>
      <xdr:col>5</xdr:col>
      <xdr:colOff>617220</xdr:colOff>
      <xdr:row>106</xdr:row>
      <xdr:rowOff>31632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617220</xdr:colOff>
      <xdr:row>107</xdr:row>
      <xdr:rowOff>31630</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180868</xdr:rowOff>
    </xdr:from>
    <xdr:to>
      <xdr:col>5</xdr:col>
      <xdr:colOff>617220</xdr:colOff>
      <xdr:row>95</xdr:row>
      <xdr:rowOff>38551</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138060</xdr:rowOff>
    </xdr:from>
    <xdr:to>
      <xdr:col>5</xdr:col>
      <xdr:colOff>617220</xdr:colOff>
      <xdr:row>96</xdr:row>
      <xdr:rowOff>40597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138058</xdr:rowOff>
    </xdr:from>
    <xdr:to>
      <xdr:col>5</xdr:col>
      <xdr:colOff>617220</xdr:colOff>
      <xdr:row>97</xdr:row>
      <xdr:rowOff>45770</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138060</xdr:rowOff>
    </xdr:from>
    <xdr:to>
      <xdr:col>5</xdr:col>
      <xdr:colOff>617220</xdr:colOff>
      <xdr:row>98</xdr:row>
      <xdr:rowOff>31894</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22080</xdr:rowOff>
    </xdr:from>
    <xdr:to>
      <xdr:col>6</xdr:col>
      <xdr:colOff>38100</xdr:colOff>
      <xdr:row>193</xdr:row>
      <xdr:rowOff>122078</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159237</xdr:rowOff>
    </xdr:from>
    <xdr:to>
      <xdr:col>5</xdr:col>
      <xdr:colOff>609600</xdr:colOff>
      <xdr:row>190</xdr:row>
      <xdr:rowOff>178287</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14994</xdr:rowOff>
    </xdr:from>
    <xdr:to>
      <xdr:col>5</xdr:col>
      <xdr:colOff>617220</xdr:colOff>
      <xdr:row>101</xdr:row>
      <xdr:rowOff>64558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200503</xdr:rowOff>
    </xdr:from>
    <xdr:to>
      <xdr:col>5</xdr:col>
      <xdr:colOff>617220</xdr:colOff>
      <xdr:row>103</xdr:row>
      <xdr:rowOff>22106</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169331</xdr:rowOff>
    </xdr:from>
    <xdr:to>
      <xdr:col>5</xdr:col>
      <xdr:colOff>617220</xdr:colOff>
      <xdr:row>106</xdr:row>
      <xdr:rowOff>31632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617220</xdr:colOff>
      <xdr:row>107</xdr:row>
      <xdr:rowOff>31630</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180868</xdr:rowOff>
    </xdr:from>
    <xdr:to>
      <xdr:col>5</xdr:col>
      <xdr:colOff>617220</xdr:colOff>
      <xdr:row>95</xdr:row>
      <xdr:rowOff>38551</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138060</xdr:rowOff>
    </xdr:from>
    <xdr:to>
      <xdr:col>5</xdr:col>
      <xdr:colOff>617220</xdr:colOff>
      <xdr:row>96</xdr:row>
      <xdr:rowOff>40597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138058</xdr:rowOff>
    </xdr:from>
    <xdr:to>
      <xdr:col>5</xdr:col>
      <xdr:colOff>617220</xdr:colOff>
      <xdr:row>97</xdr:row>
      <xdr:rowOff>45770</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138060</xdr:rowOff>
    </xdr:from>
    <xdr:to>
      <xdr:col>5</xdr:col>
      <xdr:colOff>617220</xdr:colOff>
      <xdr:row>98</xdr:row>
      <xdr:rowOff>31894</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184875</xdr:rowOff>
    </xdr:from>
    <xdr:to>
      <xdr:col>6</xdr:col>
      <xdr:colOff>38100</xdr:colOff>
      <xdr:row>193</xdr:row>
      <xdr:rowOff>122078</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159237</xdr:rowOff>
    </xdr:from>
    <xdr:to>
      <xdr:col>5</xdr:col>
      <xdr:colOff>609600</xdr:colOff>
      <xdr:row>190</xdr:row>
      <xdr:rowOff>178287</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80896</xdr:rowOff>
    </xdr:from>
    <xdr:to>
      <xdr:col>5</xdr:col>
      <xdr:colOff>609600</xdr:colOff>
      <xdr:row>218</xdr:row>
      <xdr:rowOff>180049</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14994</xdr:rowOff>
    </xdr:from>
    <xdr:to>
      <xdr:col>5</xdr:col>
      <xdr:colOff>609600</xdr:colOff>
      <xdr:row>101</xdr:row>
      <xdr:rowOff>64558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200503</xdr:rowOff>
    </xdr:from>
    <xdr:to>
      <xdr:col>5</xdr:col>
      <xdr:colOff>609600</xdr:colOff>
      <xdr:row>103</xdr:row>
      <xdr:rowOff>22106</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169331</xdr:rowOff>
    </xdr:from>
    <xdr:to>
      <xdr:col>5</xdr:col>
      <xdr:colOff>609600</xdr:colOff>
      <xdr:row>106</xdr:row>
      <xdr:rowOff>31632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169334</xdr:rowOff>
    </xdr:from>
    <xdr:to>
      <xdr:col>5</xdr:col>
      <xdr:colOff>609600</xdr:colOff>
      <xdr:row>107</xdr:row>
      <xdr:rowOff>31630</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180868</xdr:rowOff>
    </xdr:from>
    <xdr:to>
      <xdr:col>5</xdr:col>
      <xdr:colOff>609600</xdr:colOff>
      <xdr:row>95</xdr:row>
      <xdr:rowOff>38551</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138060</xdr:rowOff>
    </xdr:from>
    <xdr:to>
      <xdr:col>5</xdr:col>
      <xdr:colOff>609600</xdr:colOff>
      <xdr:row>96</xdr:row>
      <xdr:rowOff>40597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138058</xdr:rowOff>
    </xdr:from>
    <xdr:to>
      <xdr:col>5</xdr:col>
      <xdr:colOff>609600</xdr:colOff>
      <xdr:row>97</xdr:row>
      <xdr:rowOff>45770</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138060</xdr:rowOff>
    </xdr:from>
    <xdr:to>
      <xdr:col>5</xdr:col>
      <xdr:colOff>609600</xdr:colOff>
      <xdr:row>98</xdr:row>
      <xdr:rowOff>31894</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1827</xdr:rowOff>
    </xdr:from>
    <xdr:to>
      <xdr:col>6</xdr:col>
      <xdr:colOff>38100</xdr:colOff>
      <xdr:row>96</xdr:row>
      <xdr:rowOff>38692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20677</xdr:rowOff>
    </xdr:from>
    <xdr:to>
      <xdr:col>5</xdr:col>
      <xdr:colOff>609600</xdr:colOff>
      <xdr:row>92</xdr:row>
      <xdr:rowOff>108848</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138060</xdr:rowOff>
    </xdr:from>
    <xdr:to>
      <xdr:col>5</xdr:col>
      <xdr:colOff>609600</xdr:colOff>
      <xdr:row>119</xdr:row>
      <xdr:rowOff>127184</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138060</xdr:rowOff>
    </xdr:from>
    <xdr:to>
      <xdr:col>5</xdr:col>
      <xdr:colOff>609600</xdr:colOff>
      <xdr:row>119</xdr:row>
      <xdr:rowOff>127184</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176596</xdr:rowOff>
    </xdr:from>
    <xdr:to>
      <xdr:col>5</xdr:col>
      <xdr:colOff>609600</xdr:colOff>
      <xdr:row>192</xdr:row>
      <xdr:rowOff>189930</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165799</xdr:rowOff>
    </xdr:from>
    <xdr:to>
      <xdr:col>5</xdr:col>
      <xdr:colOff>609600</xdr:colOff>
      <xdr:row>193</xdr:row>
      <xdr:rowOff>79268</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165798</xdr:rowOff>
    </xdr:from>
    <xdr:to>
      <xdr:col>5</xdr:col>
      <xdr:colOff>609600</xdr:colOff>
      <xdr:row>196</xdr:row>
      <xdr:rowOff>122262</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176595</xdr:rowOff>
    </xdr:from>
    <xdr:to>
      <xdr:col>5</xdr:col>
      <xdr:colOff>609600</xdr:colOff>
      <xdr:row>197</xdr:row>
      <xdr:rowOff>129882</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177045</xdr:rowOff>
    </xdr:from>
    <xdr:to>
      <xdr:col>5</xdr:col>
      <xdr:colOff>609600</xdr:colOff>
      <xdr:row>142</xdr:row>
      <xdr:rowOff>149831</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183</xdr:row>
      <xdr:rowOff>40283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177679</xdr:rowOff>
    </xdr:from>
    <xdr:to>
      <xdr:col>5</xdr:col>
      <xdr:colOff>609600</xdr:colOff>
      <xdr:row>183</xdr:row>
      <xdr:rowOff>120929</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177678</xdr:rowOff>
    </xdr:from>
    <xdr:to>
      <xdr:col>5</xdr:col>
      <xdr:colOff>609600</xdr:colOff>
      <xdr:row>184</xdr:row>
      <xdr:rowOff>157358</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214509</xdr:rowOff>
    </xdr:from>
    <xdr:to>
      <xdr:col>6</xdr:col>
      <xdr:colOff>38100</xdr:colOff>
      <xdr:row>96</xdr:row>
      <xdr:rowOff>21547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102848</xdr:rowOff>
    </xdr:from>
    <xdr:to>
      <xdr:col>5</xdr:col>
      <xdr:colOff>609600</xdr:colOff>
      <xdr:row>57</xdr:row>
      <xdr:rowOff>164517</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304562</xdr:rowOff>
    </xdr:from>
    <xdr:to>
      <xdr:col>5</xdr:col>
      <xdr:colOff>609600</xdr:colOff>
      <xdr:row>50</xdr:row>
      <xdr:rowOff>29502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430551</xdr:rowOff>
    </xdr:from>
    <xdr:to>
      <xdr:col>5</xdr:col>
      <xdr:colOff>609600</xdr:colOff>
      <xdr:row>49</xdr:row>
      <xdr:rowOff>338583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211797</xdr:rowOff>
    </xdr:from>
    <xdr:to>
      <xdr:col>5</xdr:col>
      <xdr:colOff>609600</xdr:colOff>
      <xdr:row>53</xdr:row>
      <xdr:rowOff>120899</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76556</xdr:rowOff>
    </xdr:from>
    <xdr:to>
      <xdr:col>5</xdr:col>
      <xdr:colOff>609600</xdr:colOff>
      <xdr:row>69</xdr:row>
      <xdr:rowOff>38100</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72</xdr:row>
      <xdr:rowOff>57970</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92897</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73</xdr:row>
      <xdr:rowOff>92897</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19407</xdr:rowOff>
    </xdr:from>
    <xdr:to>
      <xdr:col>5</xdr:col>
      <xdr:colOff>609600</xdr:colOff>
      <xdr:row>92</xdr:row>
      <xdr:rowOff>73382</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138060</xdr:rowOff>
    </xdr:from>
    <xdr:to>
      <xdr:col>5</xdr:col>
      <xdr:colOff>609600</xdr:colOff>
      <xdr:row>119</xdr:row>
      <xdr:rowOff>127819</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138060</xdr:rowOff>
    </xdr:from>
    <xdr:to>
      <xdr:col>5</xdr:col>
      <xdr:colOff>609600</xdr:colOff>
      <xdr:row>119</xdr:row>
      <xdr:rowOff>127819</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165801</xdr:rowOff>
    </xdr:from>
    <xdr:to>
      <xdr:col>5</xdr:col>
      <xdr:colOff>609600</xdr:colOff>
      <xdr:row>192</xdr:row>
      <xdr:rowOff>189930</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189929</xdr:rowOff>
    </xdr:from>
    <xdr:to>
      <xdr:col>5</xdr:col>
      <xdr:colOff>609600</xdr:colOff>
      <xdr:row>193</xdr:row>
      <xdr:rowOff>53512</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189928</xdr:rowOff>
    </xdr:from>
    <xdr:to>
      <xdr:col>5</xdr:col>
      <xdr:colOff>609600</xdr:colOff>
      <xdr:row>196</xdr:row>
      <xdr:rowOff>116547</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158180</xdr:rowOff>
    </xdr:from>
    <xdr:to>
      <xdr:col>5</xdr:col>
      <xdr:colOff>609600</xdr:colOff>
      <xdr:row>197</xdr:row>
      <xdr:rowOff>129247</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176410</xdr:rowOff>
    </xdr:from>
    <xdr:to>
      <xdr:col>5</xdr:col>
      <xdr:colOff>609600</xdr:colOff>
      <xdr:row>142</xdr:row>
      <xdr:rowOff>149831</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183</xdr:row>
      <xdr:rowOff>40918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183</xdr:row>
      <xdr:rowOff>98068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157358</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162174</xdr:rowOff>
    </xdr:from>
    <xdr:to>
      <xdr:col>6</xdr:col>
      <xdr:colOff>38100</xdr:colOff>
      <xdr:row>97</xdr:row>
      <xdr:rowOff>26720</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60</xdr:row>
      <xdr:rowOff>62216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60</xdr:row>
      <xdr:rowOff>62216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478176</xdr:rowOff>
    </xdr:from>
    <xdr:to>
      <xdr:col>5</xdr:col>
      <xdr:colOff>609600</xdr:colOff>
      <xdr:row>51</xdr:row>
      <xdr:rowOff>46426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88436</xdr:rowOff>
    </xdr:from>
    <xdr:to>
      <xdr:col>5</xdr:col>
      <xdr:colOff>609600</xdr:colOff>
      <xdr:row>50</xdr:row>
      <xdr:rowOff>141947</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46426</xdr:rowOff>
    </xdr:from>
    <xdr:to>
      <xdr:col>5</xdr:col>
      <xdr:colOff>609600</xdr:colOff>
      <xdr:row>54</xdr:row>
      <xdr:rowOff>96319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70</xdr:row>
      <xdr:rowOff>19869</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57972</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74</xdr:row>
      <xdr:rowOff>92895</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62678</xdr:rowOff>
    </xdr:from>
    <xdr:to>
      <xdr:col>5</xdr:col>
      <xdr:colOff>609600</xdr:colOff>
      <xdr:row>74</xdr:row>
      <xdr:rowOff>92895</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38457</xdr:rowOff>
    </xdr:from>
    <xdr:to>
      <xdr:col>5</xdr:col>
      <xdr:colOff>609600</xdr:colOff>
      <xdr:row>93</xdr:row>
      <xdr:rowOff>57507</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108377</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108377</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189929</xdr:rowOff>
    </xdr:from>
    <xdr:to>
      <xdr:col>5</xdr:col>
      <xdr:colOff>609600</xdr:colOff>
      <xdr:row>194</xdr:row>
      <xdr:rowOff>122077</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189928</xdr:rowOff>
    </xdr:from>
    <xdr:to>
      <xdr:col>5</xdr:col>
      <xdr:colOff>609600</xdr:colOff>
      <xdr:row>194</xdr:row>
      <xdr:rowOff>87615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189930</xdr:rowOff>
    </xdr:from>
    <xdr:to>
      <xdr:col>5</xdr:col>
      <xdr:colOff>609600</xdr:colOff>
      <xdr:row>197</xdr:row>
      <xdr:rowOff>116547</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157358</xdr:rowOff>
    </xdr:from>
    <xdr:to>
      <xdr:col>5</xdr:col>
      <xdr:colOff>609600</xdr:colOff>
      <xdr:row>183</xdr:row>
      <xdr:rowOff>157359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184</xdr:row>
      <xdr:rowOff>40918</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82193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157359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162174</xdr:rowOff>
    </xdr:from>
    <xdr:to>
      <xdr:col>6</xdr:col>
      <xdr:colOff>38100</xdr:colOff>
      <xdr:row>97</xdr:row>
      <xdr:rowOff>26720</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60</xdr:row>
      <xdr:rowOff>62216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283395</xdr:rowOff>
    </xdr:from>
    <xdr:to>
      <xdr:col>5</xdr:col>
      <xdr:colOff>609600</xdr:colOff>
      <xdr:row>60</xdr:row>
      <xdr:rowOff>62216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47</xdr:row>
      <xdr:rowOff>478176</xdr:rowOff>
    </xdr:from>
    <xdr:to>
      <xdr:col>5</xdr:col>
      <xdr:colOff>609600</xdr:colOff>
      <xdr:row>51</xdr:row>
      <xdr:rowOff>46426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88436</xdr:rowOff>
    </xdr:from>
    <xdr:to>
      <xdr:col>5</xdr:col>
      <xdr:colOff>609600</xdr:colOff>
      <xdr:row>50</xdr:row>
      <xdr:rowOff>141947</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46426</xdr:rowOff>
    </xdr:from>
    <xdr:to>
      <xdr:col>5</xdr:col>
      <xdr:colOff>609600</xdr:colOff>
      <xdr:row>54</xdr:row>
      <xdr:rowOff>96319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258495</xdr:rowOff>
    </xdr:from>
    <xdr:to>
      <xdr:col>5</xdr:col>
      <xdr:colOff>609600</xdr:colOff>
      <xdr:row>70</xdr:row>
      <xdr:rowOff>19869</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65855</xdr:rowOff>
    </xdr:from>
    <xdr:to>
      <xdr:col>5</xdr:col>
      <xdr:colOff>609600</xdr:colOff>
      <xdr:row>73</xdr:row>
      <xdr:rowOff>57972</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62681</xdr:rowOff>
    </xdr:from>
    <xdr:to>
      <xdr:col>5</xdr:col>
      <xdr:colOff>609600</xdr:colOff>
      <xdr:row>74</xdr:row>
      <xdr:rowOff>92895</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62678</xdr:rowOff>
    </xdr:from>
    <xdr:to>
      <xdr:col>5</xdr:col>
      <xdr:colOff>609600</xdr:colOff>
      <xdr:row>74</xdr:row>
      <xdr:rowOff>92895</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38457</xdr:rowOff>
    </xdr:from>
    <xdr:to>
      <xdr:col>5</xdr:col>
      <xdr:colOff>609600</xdr:colOff>
      <xdr:row>93</xdr:row>
      <xdr:rowOff>57507</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108377</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2568</xdr:rowOff>
    </xdr:from>
    <xdr:to>
      <xdr:col>5</xdr:col>
      <xdr:colOff>609600</xdr:colOff>
      <xdr:row>120</xdr:row>
      <xdr:rowOff>108377</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189929</xdr:rowOff>
    </xdr:from>
    <xdr:to>
      <xdr:col>5</xdr:col>
      <xdr:colOff>609600</xdr:colOff>
      <xdr:row>194</xdr:row>
      <xdr:rowOff>122077</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189928</xdr:rowOff>
    </xdr:from>
    <xdr:to>
      <xdr:col>5</xdr:col>
      <xdr:colOff>609600</xdr:colOff>
      <xdr:row>194</xdr:row>
      <xdr:rowOff>87615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189930</xdr:rowOff>
    </xdr:from>
    <xdr:to>
      <xdr:col>5</xdr:col>
      <xdr:colOff>609600</xdr:colOff>
      <xdr:row>197</xdr:row>
      <xdr:rowOff>116547</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157358</xdr:rowOff>
    </xdr:from>
    <xdr:to>
      <xdr:col>5</xdr:col>
      <xdr:colOff>609600</xdr:colOff>
      <xdr:row>183</xdr:row>
      <xdr:rowOff>157359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184</xdr:row>
      <xdr:rowOff>40918</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184</xdr:row>
      <xdr:rowOff>82193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157359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52441</xdr:rowOff>
    </xdr:from>
    <xdr:to>
      <xdr:col>5</xdr:col>
      <xdr:colOff>609600</xdr:colOff>
      <xdr:row>236</xdr:row>
      <xdr:rowOff>71491</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33391</xdr:rowOff>
    </xdr:from>
    <xdr:to>
      <xdr:col>5</xdr:col>
      <xdr:colOff>609600</xdr:colOff>
      <xdr:row>235</xdr:row>
      <xdr:rowOff>168881</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187931</xdr:rowOff>
    </xdr:from>
    <xdr:to>
      <xdr:col>5</xdr:col>
      <xdr:colOff>609600</xdr:colOff>
      <xdr:row>237</xdr:row>
      <xdr:rowOff>71491</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187931</xdr:rowOff>
    </xdr:from>
    <xdr:to>
      <xdr:col>5</xdr:col>
      <xdr:colOff>609600</xdr:colOff>
      <xdr:row>224</xdr:row>
      <xdr:rowOff>187931</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187931</xdr:rowOff>
    </xdr:from>
    <xdr:to>
      <xdr:col>5</xdr:col>
      <xdr:colOff>609600</xdr:colOff>
      <xdr:row>203</xdr:row>
      <xdr:rowOff>14341</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187932</xdr:rowOff>
    </xdr:from>
    <xdr:to>
      <xdr:col>5</xdr:col>
      <xdr:colOff>609600</xdr:colOff>
      <xdr:row>204</xdr:row>
      <xdr:rowOff>71491</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187932</xdr:rowOff>
    </xdr:from>
    <xdr:to>
      <xdr:col>5</xdr:col>
      <xdr:colOff>609600</xdr:colOff>
      <xdr:row>211</xdr:row>
      <xdr:rowOff>33391</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309295</xdr:rowOff>
    </xdr:from>
    <xdr:to>
      <xdr:col>5</xdr:col>
      <xdr:colOff>628650</xdr:colOff>
      <xdr:row>53</xdr:row>
      <xdr:rowOff>119009</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323850</xdr:rowOff>
    </xdr:from>
    <xdr:to>
      <xdr:col>5</xdr:col>
      <xdr:colOff>628650</xdr:colOff>
      <xdr:row>51</xdr:row>
      <xdr:rowOff>114300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152400</xdr:rowOff>
    </xdr:from>
    <xdr:to>
      <xdr:col>5</xdr:col>
      <xdr:colOff>628650</xdr:colOff>
      <xdr:row>55</xdr:row>
      <xdr:rowOff>116654</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152614</xdr:rowOff>
    </xdr:from>
    <xdr:to>
      <xdr:col>5</xdr:col>
      <xdr:colOff>628650</xdr:colOff>
      <xdr:row>54</xdr:row>
      <xdr:rowOff>116654</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135704</xdr:rowOff>
    </xdr:from>
    <xdr:to>
      <xdr:col>5</xdr:col>
      <xdr:colOff>628650</xdr:colOff>
      <xdr:row>58</xdr:row>
      <xdr:rowOff>129712</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157109</xdr:rowOff>
    </xdr:from>
    <xdr:to>
      <xdr:col>5</xdr:col>
      <xdr:colOff>628650</xdr:colOff>
      <xdr:row>57</xdr:row>
      <xdr:rowOff>116655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152400</xdr:rowOff>
    </xdr:from>
    <xdr:to>
      <xdr:col>5</xdr:col>
      <xdr:colOff>628650</xdr:colOff>
      <xdr:row>60</xdr:row>
      <xdr:rowOff>172520</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135704</xdr:rowOff>
    </xdr:from>
    <xdr:to>
      <xdr:col>5</xdr:col>
      <xdr:colOff>628650</xdr:colOff>
      <xdr:row>59</xdr:row>
      <xdr:rowOff>151116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13271</xdr:rowOff>
    </xdr:from>
    <xdr:to>
      <xdr:col>5</xdr:col>
      <xdr:colOff>628650</xdr:colOff>
      <xdr:row>63</xdr:row>
      <xdr:rowOff>9632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62</xdr:row>
      <xdr:rowOff>11986</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28682</xdr:rowOff>
    </xdr:from>
    <xdr:to>
      <xdr:col>5</xdr:col>
      <xdr:colOff>628650</xdr:colOff>
      <xdr:row>82</xdr:row>
      <xdr:rowOff>85832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28682</xdr:rowOff>
    </xdr:from>
    <xdr:to>
      <xdr:col>5</xdr:col>
      <xdr:colOff>628650</xdr:colOff>
      <xdr:row>81</xdr:row>
      <xdr:rowOff>85832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28682</xdr:rowOff>
    </xdr:from>
    <xdr:to>
      <xdr:col>5</xdr:col>
      <xdr:colOff>628650</xdr:colOff>
      <xdr:row>84</xdr:row>
      <xdr:rowOff>85832</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28683</xdr:rowOff>
    </xdr:from>
    <xdr:to>
      <xdr:col>5</xdr:col>
      <xdr:colOff>628650</xdr:colOff>
      <xdr:row>83</xdr:row>
      <xdr:rowOff>85832</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28682</xdr:rowOff>
    </xdr:from>
    <xdr:to>
      <xdr:col>5</xdr:col>
      <xdr:colOff>628650</xdr:colOff>
      <xdr:row>86</xdr:row>
      <xdr:rowOff>85832</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28682</xdr:rowOff>
    </xdr:from>
    <xdr:to>
      <xdr:col>5</xdr:col>
      <xdr:colOff>628650</xdr:colOff>
      <xdr:row>85</xdr:row>
      <xdr:rowOff>85832</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28682</xdr:rowOff>
    </xdr:from>
    <xdr:to>
      <xdr:col>5</xdr:col>
      <xdr:colOff>628650</xdr:colOff>
      <xdr:row>88</xdr:row>
      <xdr:rowOff>21619</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28682</xdr:rowOff>
    </xdr:from>
    <xdr:to>
      <xdr:col>5</xdr:col>
      <xdr:colOff>628650</xdr:colOff>
      <xdr:row>87</xdr:row>
      <xdr:rowOff>85832</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178513</xdr:rowOff>
    </xdr:from>
    <xdr:to>
      <xdr:col>5</xdr:col>
      <xdr:colOff>628650</xdr:colOff>
      <xdr:row>110</xdr:row>
      <xdr:rowOff>43023</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178514</xdr:rowOff>
    </xdr:from>
    <xdr:to>
      <xdr:col>5</xdr:col>
      <xdr:colOff>628650</xdr:colOff>
      <xdr:row>109</xdr:row>
      <xdr:rowOff>43023</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178513</xdr:rowOff>
    </xdr:from>
    <xdr:to>
      <xdr:col>5</xdr:col>
      <xdr:colOff>628650</xdr:colOff>
      <xdr:row>112</xdr:row>
      <xdr:rowOff>43023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178514</xdr:rowOff>
    </xdr:from>
    <xdr:to>
      <xdr:col>5</xdr:col>
      <xdr:colOff>628650</xdr:colOff>
      <xdr:row>111</xdr:row>
      <xdr:rowOff>43023</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178514</xdr:rowOff>
    </xdr:from>
    <xdr:to>
      <xdr:col>5</xdr:col>
      <xdr:colOff>628650</xdr:colOff>
      <xdr:row>114</xdr:row>
      <xdr:rowOff>39385</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178513</xdr:rowOff>
    </xdr:from>
    <xdr:to>
      <xdr:col>5</xdr:col>
      <xdr:colOff>628650</xdr:colOff>
      <xdr:row>113</xdr:row>
      <xdr:rowOff>28682</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178514</xdr:rowOff>
    </xdr:from>
    <xdr:to>
      <xdr:col>5</xdr:col>
      <xdr:colOff>628650</xdr:colOff>
      <xdr:row>116</xdr:row>
      <xdr:rowOff>25044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178513</xdr:rowOff>
    </xdr:from>
    <xdr:to>
      <xdr:col>5</xdr:col>
      <xdr:colOff>628650</xdr:colOff>
      <xdr:row>115</xdr:row>
      <xdr:rowOff>25043</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52441</xdr:rowOff>
    </xdr:from>
    <xdr:to>
      <xdr:col>5</xdr:col>
      <xdr:colOff>609600</xdr:colOff>
      <xdr:row>236</xdr:row>
      <xdr:rowOff>71491</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33391</xdr:rowOff>
    </xdr:from>
    <xdr:to>
      <xdr:col>5</xdr:col>
      <xdr:colOff>609600</xdr:colOff>
      <xdr:row>235</xdr:row>
      <xdr:rowOff>168881</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187931</xdr:rowOff>
    </xdr:from>
    <xdr:to>
      <xdr:col>5</xdr:col>
      <xdr:colOff>609600</xdr:colOff>
      <xdr:row>237</xdr:row>
      <xdr:rowOff>71491</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187931</xdr:rowOff>
    </xdr:from>
    <xdr:to>
      <xdr:col>5</xdr:col>
      <xdr:colOff>609600</xdr:colOff>
      <xdr:row>224</xdr:row>
      <xdr:rowOff>187931</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187931</xdr:rowOff>
    </xdr:from>
    <xdr:to>
      <xdr:col>5</xdr:col>
      <xdr:colOff>609600</xdr:colOff>
      <xdr:row>203</xdr:row>
      <xdr:rowOff>14341</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187932</xdr:rowOff>
    </xdr:from>
    <xdr:to>
      <xdr:col>5</xdr:col>
      <xdr:colOff>609600</xdr:colOff>
      <xdr:row>204</xdr:row>
      <xdr:rowOff>71491</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187932</xdr:rowOff>
    </xdr:from>
    <xdr:to>
      <xdr:col>5</xdr:col>
      <xdr:colOff>609600</xdr:colOff>
      <xdr:row>211</xdr:row>
      <xdr:rowOff>33391</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309295</xdr:rowOff>
    </xdr:from>
    <xdr:to>
      <xdr:col>5</xdr:col>
      <xdr:colOff>628650</xdr:colOff>
      <xdr:row>53</xdr:row>
      <xdr:rowOff>119009</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323850</xdr:rowOff>
    </xdr:from>
    <xdr:to>
      <xdr:col>5</xdr:col>
      <xdr:colOff>628650</xdr:colOff>
      <xdr:row>51</xdr:row>
      <xdr:rowOff>114300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152400</xdr:rowOff>
    </xdr:from>
    <xdr:to>
      <xdr:col>5</xdr:col>
      <xdr:colOff>628650</xdr:colOff>
      <xdr:row>55</xdr:row>
      <xdr:rowOff>116654</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152614</xdr:rowOff>
    </xdr:from>
    <xdr:to>
      <xdr:col>5</xdr:col>
      <xdr:colOff>628650</xdr:colOff>
      <xdr:row>54</xdr:row>
      <xdr:rowOff>116654</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135704</xdr:rowOff>
    </xdr:from>
    <xdr:to>
      <xdr:col>5</xdr:col>
      <xdr:colOff>628650</xdr:colOff>
      <xdr:row>58</xdr:row>
      <xdr:rowOff>129712</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157109</xdr:rowOff>
    </xdr:from>
    <xdr:to>
      <xdr:col>5</xdr:col>
      <xdr:colOff>628650</xdr:colOff>
      <xdr:row>57</xdr:row>
      <xdr:rowOff>116655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152400</xdr:rowOff>
    </xdr:from>
    <xdr:to>
      <xdr:col>5</xdr:col>
      <xdr:colOff>628650</xdr:colOff>
      <xdr:row>60</xdr:row>
      <xdr:rowOff>172520</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135704</xdr:rowOff>
    </xdr:from>
    <xdr:to>
      <xdr:col>5</xdr:col>
      <xdr:colOff>628650</xdr:colOff>
      <xdr:row>59</xdr:row>
      <xdr:rowOff>151116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13271</xdr:rowOff>
    </xdr:from>
    <xdr:to>
      <xdr:col>5</xdr:col>
      <xdr:colOff>628650</xdr:colOff>
      <xdr:row>63</xdr:row>
      <xdr:rowOff>9632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62</xdr:row>
      <xdr:rowOff>11986</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28682</xdr:rowOff>
    </xdr:from>
    <xdr:to>
      <xdr:col>5</xdr:col>
      <xdr:colOff>628650</xdr:colOff>
      <xdr:row>82</xdr:row>
      <xdr:rowOff>85832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28682</xdr:rowOff>
    </xdr:from>
    <xdr:to>
      <xdr:col>5</xdr:col>
      <xdr:colOff>628650</xdr:colOff>
      <xdr:row>81</xdr:row>
      <xdr:rowOff>85832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28682</xdr:rowOff>
    </xdr:from>
    <xdr:to>
      <xdr:col>5</xdr:col>
      <xdr:colOff>628650</xdr:colOff>
      <xdr:row>84</xdr:row>
      <xdr:rowOff>85832</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28683</xdr:rowOff>
    </xdr:from>
    <xdr:to>
      <xdr:col>5</xdr:col>
      <xdr:colOff>628650</xdr:colOff>
      <xdr:row>83</xdr:row>
      <xdr:rowOff>85832</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28682</xdr:rowOff>
    </xdr:from>
    <xdr:to>
      <xdr:col>5</xdr:col>
      <xdr:colOff>628650</xdr:colOff>
      <xdr:row>86</xdr:row>
      <xdr:rowOff>85832</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28682</xdr:rowOff>
    </xdr:from>
    <xdr:to>
      <xdr:col>5</xdr:col>
      <xdr:colOff>628650</xdr:colOff>
      <xdr:row>85</xdr:row>
      <xdr:rowOff>85832</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28682</xdr:rowOff>
    </xdr:from>
    <xdr:to>
      <xdr:col>5</xdr:col>
      <xdr:colOff>628650</xdr:colOff>
      <xdr:row>88</xdr:row>
      <xdr:rowOff>21619</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28682</xdr:rowOff>
    </xdr:from>
    <xdr:to>
      <xdr:col>5</xdr:col>
      <xdr:colOff>628650</xdr:colOff>
      <xdr:row>87</xdr:row>
      <xdr:rowOff>85832</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178513</xdr:rowOff>
    </xdr:from>
    <xdr:to>
      <xdr:col>5</xdr:col>
      <xdr:colOff>628650</xdr:colOff>
      <xdr:row>110</xdr:row>
      <xdr:rowOff>43023</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178514</xdr:rowOff>
    </xdr:from>
    <xdr:to>
      <xdr:col>5</xdr:col>
      <xdr:colOff>628650</xdr:colOff>
      <xdr:row>109</xdr:row>
      <xdr:rowOff>43023</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178513</xdr:rowOff>
    </xdr:from>
    <xdr:to>
      <xdr:col>5</xdr:col>
      <xdr:colOff>628650</xdr:colOff>
      <xdr:row>112</xdr:row>
      <xdr:rowOff>43023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178514</xdr:rowOff>
    </xdr:from>
    <xdr:to>
      <xdr:col>5</xdr:col>
      <xdr:colOff>628650</xdr:colOff>
      <xdr:row>111</xdr:row>
      <xdr:rowOff>43023</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178514</xdr:rowOff>
    </xdr:from>
    <xdr:to>
      <xdr:col>5</xdr:col>
      <xdr:colOff>628650</xdr:colOff>
      <xdr:row>114</xdr:row>
      <xdr:rowOff>39385</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178513</xdr:rowOff>
    </xdr:from>
    <xdr:to>
      <xdr:col>5</xdr:col>
      <xdr:colOff>628650</xdr:colOff>
      <xdr:row>113</xdr:row>
      <xdr:rowOff>28682</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178514</xdr:rowOff>
    </xdr:from>
    <xdr:to>
      <xdr:col>5</xdr:col>
      <xdr:colOff>628650</xdr:colOff>
      <xdr:row>116</xdr:row>
      <xdr:rowOff>25044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178513</xdr:rowOff>
    </xdr:from>
    <xdr:to>
      <xdr:col>5</xdr:col>
      <xdr:colOff>628650</xdr:colOff>
      <xdr:row>115</xdr:row>
      <xdr:rowOff>25043</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52441</xdr:rowOff>
    </xdr:from>
    <xdr:to>
      <xdr:col>5</xdr:col>
      <xdr:colOff>609600</xdr:colOff>
      <xdr:row>236</xdr:row>
      <xdr:rowOff>71491</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33391</xdr:rowOff>
    </xdr:from>
    <xdr:to>
      <xdr:col>5</xdr:col>
      <xdr:colOff>609600</xdr:colOff>
      <xdr:row>235</xdr:row>
      <xdr:rowOff>168881</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187931</xdr:rowOff>
    </xdr:from>
    <xdr:to>
      <xdr:col>5</xdr:col>
      <xdr:colOff>609600</xdr:colOff>
      <xdr:row>237</xdr:row>
      <xdr:rowOff>71491</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187931</xdr:rowOff>
    </xdr:from>
    <xdr:to>
      <xdr:col>5</xdr:col>
      <xdr:colOff>609600</xdr:colOff>
      <xdr:row>224</xdr:row>
      <xdr:rowOff>187931</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187931</xdr:rowOff>
    </xdr:from>
    <xdr:to>
      <xdr:col>5</xdr:col>
      <xdr:colOff>609600</xdr:colOff>
      <xdr:row>203</xdr:row>
      <xdr:rowOff>14341</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187932</xdr:rowOff>
    </xdr:from>
    <xdr:to>
      <xdr:col>5</xdr:col>
      <xdr:colOff>609600</xdr:colOff>
      <xdr:row>204</xdr:row>
      <xdr:rowOff>71491</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187932</xdr:rowOff>
    </xdr:from>
    <xdr:to>
      <xdr:col>5</xdr:col>
      <xdr:colOff>609600</xdr:colOff>
      <xdr:row>211</xdr:row>
      <xdr:rowOff>33391</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49</xdr:row>
      <xdr:rowOff>309295</xdr:rowOff>
    </xdr:from>
    <xdr:to>
      <xdr:col>5</xdr:col>
      <xdr:colOff>628650</xdr:colOff>
      <xdr:row>53</xdr:row>
      <xdr:rowOff>119009</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48</xdr:row>
      <xdr:rowOff>323850</xdr:rowOff>
    </xdr:from>
    <xdr:to>
      <xdr:col>5</xdr:col>
      <xdr:colOff>628650</xdr:colOff>
      <xdr:row>51</xdr:row>
      <xdr:rowOff>114300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152400</xdr:rowOff>
    </xdr:from>
    <xdr:to>
      <xdr:col>5</xdr:col>
      <xdr:colOff>628650</xdr:colOff>
      <xdr:row>55</xdr:row>
      <xdr:rowOff>116654</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50</xdr:row>
      <xdr:rowOff>152614</xdr:rowOff>
    </xdr:from>
    <xdr:to>
      <xdr:col>5</xdr:col>
      <xdr:colOff>628650</xdr:colOff>
      <xdr:row>54</xdr:row>
      <xdr:rowOff>116654</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135704</xdr:rowOff>
    </xdr:from>
    <xdr:to>
      <xdr:col>5</xdr:col>
      <xdr:colOff>628650</xdr:colOff>
      <xdr:row>58</xdr:row>
      <xdr:rowOff>129712</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157109</xdr:rowOff>
    </xdr:from>
    <xdr:to>
      <xdr:col>5</xdr:col>
      <xdr:colOff>628650</xdr:colOff>
      <xdr:row>57</xdr:row>
      <xdr:rowOff>116655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152400</xdr:rowOff>
    </xdr:from>
    <xdr:to>
      <xdr:col>5</xdr:col>
      <xdr:colOff>628650</xdr:colOff>
      <xdr:row>60</xdr:row>
      <xdr:rowOff>172520</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135704</xdr:rowOff>
    </xdr:from>
    <xdr:to>
      <xdr:col>5</xdr:col>
      <xdr:colOff>628650</xdr:colOff>
      <xdr:row>59</xdr:row>
      <xdr:rowOff>151116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13271</xdr:rowOff>
    </xdr:from>
    <xdr:to>
      <xdr:col>5</xdr:col>
      <xdr:colOff>628650</xdr:colOff>
      <xdr:row>63</xdr:row>
      <xdr:rowOff>9632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173805</xdr:rowOff>
    </xdr:from>
    <xdr:to>
      <xdr:col>5</xdr:col>
      <xdr:colOff>628650</xdr:colOff>
      <xdr:row>62</xdr:row>
      <xdr:rowOff>11986</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28682</xdr:rowOff>
    </xdr:from>
    <xdr:to>
      <xdr:col>5</xdr:col>
      <xdr:colOff>628650</xdr:colOff>
      <xdr:row>82</xdr:row>
      <xdr:rowOff>85832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28682</xdr:rowOff>
    </xdr:from>
    <xdr:to>
      <xdr:col>5</xdr:col>
      <xdr:colOff>628650</xdr:colOff>
      <xdr:row>81</xdr:row>
      <xdr:rowOff>85832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28682</xdr:rowOff>
    </xdr:from>
    <xdr:to>
      <xdr:col>5</xdr:col>
      <xdr:colOff>628650</xdr:colOff>
      <xdr:row>84</xdr:row>
      <xdr:rowOff>85832</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28683</xdr:rowOff>
    </xdr:from>
    <xdr:to>
      <xdr:col>5</xdr:col>
      <xdr:colOff>628650</xdr:colOff>
      <xdr:row>83</xdr:row>
      <xdr:rowOff>85832</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28682</xdr:rowOff>
    </xdr:from>
    <xdr:to>
      <xdr:col>5</xdr:col>
      <xdr:colOff>628650</xdr:colOff>
      <xdr:row>86</xdr:row>
      <xdr:rowOff>85832</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28682</xdr:rowOff>
    </xdr:from>
    <xdr:to>
      <xdr:col>5</xdr:col>
      <xdr:colOff>628650</xdr:colOff>
      <xdr:row>85</xdr:row>
      <xdr:rowOff>85832</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28682</xdr:rowOff>
    </xdr:from>
    <xdr:to>
      <xdr:col>5</xdr:col>
      <xdr:colOff>628650</xdr:colOff>
      <xdr:row>88</xdr:row>
      <xdr:rowOff>21619</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28682</xdr:rowOff>
    </xdr:from>
    <xdr:to>
      <xdr:col>5</xdr:col>
      <xdr:colOff>628650</xdr:colOff>
      <xdr:row>87</xdr:row>
      <xdr:rowOff>85832</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178513</xdr:rowOff>
    </xdr:from>
    <xdr:to>
      <xdr:col>5</xdr:col>
      <xdr:colOff>628650</xdr:colOff>
      <xdr:row>110</xdr:row>
      <xdr:rowOff>43023</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178514</xdr:rowOff>
    </xdr:from>
    <xdr:to>
      <xdr:col>5</xdr:col>
      <xdr:colOff>628650</xdr:colOff>
      <xdr:row>109</xdr:row>
      <xdr:rowOff>43023</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178513</xdr:rowOff>
    </xdr:from>
    <xdr:to>
      <xdr:col>5</xdr:col>
      <xdr:colOff>628650</xdr:colOff>
      <xdr:row>112</xdr:row>
      <xdr:rowOff>43023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178514</xdr:rowOff>
    </xdr:from>
    <xdr:to>
      <xdr:col>5</xdr:col>
      <xdr:colOff>628650</xdr:colOff>
      <xdr:row>111</xdr:row>
      <xdr:rowOff>43023</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178514</xdr:rowOff>
    </xdr:from>
    <xdr:to>
      <xdr:col>5</xdr:col>
      <xdr:colOff>628650</xdr:colOff>
      <xdr:row>114</xdr:row>
      <xdr:rowOff>39385</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178513</xdr:rowOff>
    </xdr:from>
    <xdr:to>
      <xdr:col>5</xdr:col>
      <xdr:colOff>628650</xdr:colOff>
      <xdr:row>113</xdr:row>
      <xdr:rowOff>28682</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178514</xdr:rowOff>
    </xdr:from>
    <xdr:to>
      <xdr:col>5</xdr:col>
      <xdr:colOff>628650</xdr:colOff>
      <xdr:row>116</xdr:row>
      <xdr:rowOff>25044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178513</xdr:rowOff>
    </xdr:from>
    <xdr:to>
      <xdr:col>5</xdr:col>
      <xdr:colOff>628650</xdr:colOff>
      <xdr:row>115</xdr:row>
      <xdr:rowOff>25043</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140335</xdr:colOff>
      <xdr:row>49</xdr:row>
      <xdr:rowOff>221068</xdr:rowOff>
    </xdr:from>
    <xdr:to>
      <xdr:col>3</xdr:col>
      <xdr:colOff>635635</xdr:colOff>
      <xdr:row>49</xdr:row>
      <xdr:rowOff>221068</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49</xdr:row>
      <xdr:rowOff>221068</xdr:rowOff>
    </xdr:from>
    <xdr:to>
      <xdr:col>3</xdr:col>
      <xdr:colOff>628650</xdr:colOff>
      <xdr:row>49</xdr:row>
      <xdr:rowOff>221068</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49</xdr:row>
      <xdr:rowOff>221068</xdr:rowOff>
    </xdr:from>
    <xdr:to>
      <xdr:col>3</xdr:col>
      <xdr:colOff>609600</xdr:colOff>
      <xdr:row>49</xdr:row>
      <xdr:rowOff>221068</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114300</xdr:rowOff>
    </xdr:from>
    <xdr:to>
      <xdr:col>3</xdr:col>
      <xdr:colOff>609600</xdr:colOff>
      <xdr:row>52</xdr:row>
      <xdr:rowOff>114300</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9.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0.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5212</v>
          </cell>
          <cell r="P2">
            <v>5213</v>
          </cell>
          <cell r="Q2">
            <v>5218</v>
          </cell>
          <cell r="R2">
            <v>5258</v>
          </cell>
          <cell r="S2">
            <v>5238</v>
          </cell>
          <cell r="T2">
            <v>5246</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14105</v>
          </cell>
          <cell r="S3">
            <v>14084</v>
          </cell>
          <cell r="T3">
            <v>14157</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S4">
            <v>324999</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Manuel Alcala Kovalski" id="{6F934F46-906E-4DFC-AA15-8C66AF925C04}" userId="S::malcalakovalski@brookings.edu::65ca0f03-2f5c-48fe-8ae6-628c3a907f64"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5F57B4C8-5707-4BD8-8E86-E1CB0F18F7C9}">
    <text>We've hard coded these in as zeros. Do we want to keep that?</text>
  </threadedComment>
  <threadedComment ref="B22" dT="2022-07-27T15:11:58.57" personId="{104078EE-2393-4C21-9029-18A325FBDB70}" id="{6C3C78C4-E0DF-4566-BA72-63EC01450822}">
    <text>May 2022, CBO Ten Year Economic Projections, Quarterly Table, Row 68</text>
  </threadedComment>
  <threadedComment ref="B22" dT="2023-02-15T19:26:55.88" personId="{609654FB-393E-4954-B3A3-EDB231775774}" id="{ED7A3987-3190-4DBA-893E-30F54B0D52B5}" parentId="{6C3C78C4-E0DF-4566-BA72-63EC01450822}">
    <text>This is now Feb 2023 CBO Ten Year Economic Projections, Quarterly Table, Row 68, from 2023 Q1 onwards</text>
  </threadedComment>
  <threadedComment ref="S22" dT="2023-02-16T15:37:10.59" personId="{104078EE-2393-4C21-9029-18A325FBDB70}" id="{B0A1A7C0-E540-45B5-9EF7-622FEFFBAE85}">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S31" dT="2022-09-30T19:04:36.69" personId="{104078EE-2393-4C21-9029-18A325FBDB70}" id="{52B73EBC-59DE-4AFE-A4BC-5DCFD4E527B4}">
    <text>Add factor to match data</text>
  </threadedComment>
  <threadedComment ref="C59" dT="2021-06-14T11:28:38.43" personId="{58CF8BEC-4104-46F7-BE4F-2C9403635492}" id="{BB2BD600-D27D-45BD-8287-F361E12EE9C4}">
    <text>https://www.cbo.gov/system/files/2020-04/hr748.pdf</text>
  </threadedComment>
  <threadedComment ref="C60"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61" dT="2021-06-11T14:09:21.80" personId="{58CF8BEC-4104-46F7-BE4F-2C9403635492}" id="{57CD4897-BB4E-42F1-89BB-E63A5874F81B}">
    <text>Total provider relief fund is 100, but we assume that 27% is in the form of grants based on the BEA data that came in.</text>
  </threadedComment>
  <threadedComment ref="B85"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7" dT="2022-09-30T19:04:58.57" personId="{104078EE-2393-4C21-9029-18A325FBDB70}" id="{4D719FE1-A97C-46FC-9D71-7ECFBB4F6D87}">
    <text>Using data -- not a different spending pattern</text>
  </threadedComment>
  <threadedComment ref="R99" dT="2022-07-28T17:27:50.97" personId="{104078EE-2393-4C21-9029-18A325FBDB70}" id="{E702D61C-4760-4164-BD3F-5AB302CA98ED}">
    <text>Using previous forecast because of reallocation by the BEA</text>
  </threadedComment>
  <threadedComment ref="S99" dT="2022-10-27T14:12:06.27" personId="{609654FB-393E-4954-B3A3-EDB231775774}" id="{776019CE-8128-450F-A25E-EF6C5707CFC6}">
    <text>Don't pull again</text>
  </threadedComment>
  <threadedComment ref="B100" dT="2023-02-16T18:17:56.28" personId="{609654FB-393E-4954-B3A3-EDB231775774}" id="{EF6EC7A7-A475-49DC-B77E-29BB35266C5E}">
    <text>Similar question to row 85</text>
  </threadedComment>
</ThreadedComments>
</file>

<file path=xl/threadedComments/threadedComment4.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s>
</file>

<file path=xl/threadedComments/threadedComment5.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U20" dT="2023-01-26T22:05:47.03" personId="{609654FB-393E-4954-B3A3-EDB231775774}" id="{7767431F-C6C3-4B53-95B9-8445F0C48EAA}">
    <text>Hard coded to account for higher data. Rest of forecast formulas maintained.</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8"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s>
</file>

<file path=xl/threadedComments/threadedComment8.xml><?xml version="1.0" encoding="utf-8"?>
<ThreadedComments xmlns="http://schemas.microsoft.com/office/spreadsheetml/2018/threadedcomments" xmlns:x="http://schemas.openxmlformats.org/spreadsheetml/2006/main">
  <threadedComment ref="T17" dT="2023-01-26T22:24:09.34" personId="{609654FB-393E-4954-B3A3-EDB231775774}" id="{3012ED06-42B4-440E-92A9-D4BCE51A80AC}">
    <text>Hard coded, formulas otherwise maintained.</text>
  </threadedComment>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3-02-16T19:02:57.27" personId="{609654FB-393E-4954-B3A3-EDB231775774}" id="{9CD67460-E1CB-4B53-9C37-E18E4A204770}">
    <text>Same issue as previous--we have policies but they don't feed into anything we get from the CBO. So what do we do?</text>
  </threadedComment>
  <threadedComment ref="J56" dT="2021-11-02T13:23:36.94" personId="{58CF8BEC-4104-46F7-BE4F-2C9403635492}" id="{8624CBF8-0C25-4544-B55E-7210BBE07E41}">
    <text>Formula changes to grow by counterfactual pre-covid growth rate</text>
  </threadedComment>
  <threadedComment ref="M56" dT="2021-11-02T13:26:53.83" personId="{58CF8BEC-4104-46F7-BE4F-2C9403635492}" id="{B38BAE8E-DF30-49E2-9F96-90A1041E4DF0}">
    <text>Accounting for step up in social security</text>
  </threadedComment>
  <threadedComment ref="M56" dT="2022-07-28T10:16:22.56" personId="{104078EE-2393-4C21-9029-18A325FBDB70}" id="{E0C007BA-F33F-4062-A357-370316E1FFF4}" parentId="{B38BAE8E-DF30-49E2-9F96-90A1041E4DF0}">
    <text>every Q1</text>
  </threadedComment>
  <threadedComment ref="U56" dT="2022-10-28T13:56:35.19" personId="{609654FB-393E-4954-B3A3-EDB231775774}" id="{FE50DF0B-94A1-45DC-903B-EE712149D3CA}">
    <text>COLA adjustment questions.</text>
  </threadedComment>
</ThreadedComments>
</file>

<file path=xl/threadedComments/threadedComment9.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D11" dT="2023-01-26T20:34:31.09" personId="{609654FB-393E-4954-B3A3-EDB231775774}" id="{B5B608FF-A23A-451F-86C6-28ACC63CADC5}">
    <text>This row, along with rows 14, 16, and 19 need their forecast periods to be updated quarterly</text>
  </threadedComment>
  <threadedComment ref="D50" dT="2023-02-15T20:39:04.10" personId="{609654FB-393E-4954-B3A3-EDB231775774}" id="{54F6D9F3-8868-417E-999A-B95E2C1FC589}">
    <text>February 2023 CBO Budget Projections Table 1-1 Row 11</text>
  </threadedComment>
  <threadedComment ref="D51" dT="2023-02-15T20:40:59.29" personId="{609654FB-393E-4954-B3A3-EDB231775774}" id="{1FB99C5A-E921-4C2B-94A6-469F8368DE8C}">
    <text>February 2023 Budget Projections Table 1-1 Row 12</text>
  </threadedComment>
  <threadedComment ref="D53" dT="2023-02-15T20:49:24.23" personId="{609654FB-393E-4954-B3A3-EDB231775774}" id="{CE0F5DCB-3CCE-4E3D-A6E4-2AC8A4A5F19D}">
    <text>February 2023 CBO Budget Projections Table 1-6 Row 14</text>
  </threadedComment>
  <threadedComment ref="D54" dT="2023-02-15T20:50:01.14" personId="{609654FB-393E-4954-B3A3-EDB231775774}" id="{B0E96582-484F-445D-8FF5-3592B5A172FA}">
    <text>February 2023 CBO Budget Projections Table 1-6 Row 16</text>
  </threadedComment>
  <threadedComment ref="D55" dT="2023-02-15T20:51:09.94" personId="{609654FB-393E-4954-B3A3-EDB231775774}" id="{E6B5A35A-07FA-4F2B-9A9E-866D21A47917}">
    <text>February 2023 CBO Budget Projections Table 1-1 Row 13</text>
  </threadedComment>
  <threadedComment ref="D73" dT="2023-02-15T20:53:24.39" personId="{609654FB-393E-4954-B3A3-EDB231775774}" id="{BAC4C9C5-057D-4522-9D5B-345501733B13}">
    <text>February 2023 CBO Economic Projections Fiscal Year Table row 92</text>
  </threadedComment>
  <threadedComment ref="D74" dT="2023-02-15T20:55:16.88" personId="{609654FB-393E-4954-B3A3-EDB231775774}" id="{903D683D-E956-41A0-87A0-4A0ACF2A3EC0}">
    <text>February 2023 CBO Economic Projections Fiscal Year Table row 96</text>
  </threadedComment>
  <threadedComment ref="D75" dT="2023-02-15T20:56:03.85" personId="{609654FB-393E-4954-B3A3-EDB231775774}" id="{3EBCE0D2-6A48-4CE9-BC8C-5855F5261D1F}">
    <text>February 2023 CBO Economic Projections, Fiscal Year Table row 116</text>
  </threadedComment>
  <threadedComment ref="D76" dT="2023-02-15T20:57:01.88" personId="{609654FB-393E-4954-B3A3-EDB231775774}" id="{48184811-5BD0-438A-8E38-4FDE0C8DFA8F}">
    <text>February 2023 CBO Economic Projections Fiscal Year Table row 110</text>
  </threadedComment>
  <threadedComment ref="D97" dT="2023-02-15T21:14:11.24" personId="{609654FB-393E-4954-B3A3-EDB231775774}" id="{D2748782-D0E6-49AC-8A19-1F2FBF9255CC}">
    <text>February 2023 CBO Economic Projections Quarterly Table, row 96</text>
  </threadedComment>
  <threadedComment ref="D98" dT="2023-02-15T21:14:52.42" personId="{609654FB-393E-4954-B3A3-EDB231775774}" id="{A46F7C4F-6912-4219-A6BF-9B291D29572E}">
    <text>February 2023 CBO Economic Projections quarterly tables, row 98</text>
  </threadedComment>
  <threadedComment ref="D99" dT="2023-02-15T21:15:38.27" personId="{609654FB-393E-4954-B3A3-EDB231775774}" id="{76E953CB-BD49-43CF-8F2D-8BFB47D725D7}">
    <text>February 2023 CBO Economic Projections quarterly table, row 116</text>
  </threadedComment>
  <threadedComment ref="D100" dT="2023-02-15T21:16:25.78" personId="{609654FB-393E-4954-B3A3-EDB231775774}" id="{8FB584A5-2B54-4AD8-94A1-F46A717E4FE5}">
    <text>February 2023 CBO Economic Projections quarterly table row 112</text>
  </threadedComment>
  <threadedComment ref="D147" dT="2022-07-27T16:01:10.90" personId="{104078EE-2393-4C21-9029-18A325FBDB70}" id="{3DA40B3D-4A5D-452E-A72D-B2030842DDB4}">
    <text>May 2022 CBO Ten Year Economic Projections, Quarterly Table, Row 96</text>
  </threadedComment>
  <threadedComment ref="D149" dT="2022-07-27T16:01:37.37" personId="{104078EE-2393-4C21-9029-18A325FBDB70}" id="{D99B9B54-6076-41EB-BC07-437AE218B08B}">
    <text>May 2022 CBO Ten Year Economic Projections, Quarterly Table, Row 98</text>
  </threadedComment>
  <threadedComment ref="D151" dT="2022-07-27T16:02:04.85" personId="{104078EE-2393-4C21-9029-18A325FBDB70}" id="{623F5CCB-51DE-44FD-917A-D45F49A14B56}">
    <text>May 2022 CBO Ten Year Economic Projections, Quarterly Table, Row 116</text>
  </threadedComment>
  <threadedComment ref="D153" dT="2022-03-31T15:05:09.08" personId="{104078EE-2393-4C21-9029-18A325FBDB70}" id="{76D39B51-9B45-4C9D-BC1F-F3C52C7844F2}">
    <text>May 2022 CBO Ten Year Economic Projections, Quarterly Table, Row 112</text>
  </threadedComment>
  <threadedComment ref="D159" dT="2022-07-27T16:01:10.90" personId="{104078EE-2393-4C21-9029-18A325FBDB70}" id="{261212D0-3270-4BCA-9A94-F5349DB2897B}">
    <text>May 2022 CBO Ten Year Economic Projections, Quarterly Table, Row 96</text>
  </threadedComment>
  <threadedComment ref="D161" dT="2022-07-27T16:01:37.37" personId="{104078EE-2393-4C21-9029-18A325FBDB70}" id="{093CFE5E-1370-4B7D-A6E3-831D81F9257A}">
    <text>May 2022 CBO Ten Year Economic Projections, Quarterly Table, Row 98</text>
  </threadedComment>
  <threadedComment ref="D163" dT="2022-07-27T16:02:04.85" personId="{104078EE-2393-4C21-9029-18A325FBDB70}" id="{8471787A-6E7E-4D0B-B7B0-44BB3DD67EEC}">
    <text>May 2022 CBO Ten Year Economic Projections, Quarterly Table, Row 116</text>
  </threadedComment>
  <threadedComment ref="D165" dT="2022-03-31T15:05:09.08" personId="{104078EE-2393-4C21-9029-18A325FBDB70}" id="{C0761490-DB03-459E-80D6-455B0C07D430}">
    <text>May 2022 CBO Ten Year Economic Projections, Quarterly Table, Row 112</text>
  </threadedComment>
</ThreadedComments>
</file>

<file path=xl/threadedComments/threadedComment10.xml><?xml version="1.0" encoding="utf-8"?>
<ThreadedComments xmlns="http://schemas.microsoft.com/office/spreadsheetml/2018/threadedcomments" xmlns:x="http://schemas.openxmlformats.org/spreadsheetml/2006/main">
  <threadedComment ref="B45"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s>
</file>

<file path=xl/threadedComments/threadedComment11.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2.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08" TargetMode="External"/><Relationship Id="rId4h" Type="http://schemas.openxmlformats.org/officeDocument/2006/relationships/hyperlink" Target="https://www.bea.gov/help/faq/1415" TargetMode="External"/><Relationship Id="rId5h" Type="http://schemas.openxmlformats.org/officeDocument/2006/relationships/hyperlink" Target="https://www.bea.gov/help/faq/1409" TargetMode="External"/><Relationship Id="rId6h" Type="http://schemas.openxmlformats.org/officeDocument/2006/relationships/hyperlink" Target="https://www.bea.gov/help/faq/1407" TargetMode="External"/><Relationship Id="rId7h" Type="http://schemas.openxmlformats.org/officeDocument/2006/relationships/hyperlink" Target="https://www.bea.gov/help/faq/121" TargetMode="External"/><Relationship Id="rId8h" Type="http://schemas.openxmlformats.org/officeDocument/2006/relationships/hyperlink" Target="https://www.bea.gov/help/faq/1408" TargetMode="External"/><Relationship Id="rId9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comment" Type="http://schemas.openxmlformats.org/officeDocument/2006/relationships/comments" Target="../comments13.xml"/><Relationship Id="rIdthread" Type="http://schemas.microsoft.com/office/2017/10/relationships/threadedComment" Target="../threadedComments/threadedComment1.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comment" Type="http://schemas.openxmlformats.org/officeDocument/2006/relationships/comments" Target="../comments14.xml"/><Relationship Id="rIdthread" Type="http://schemas.microsoft.com/office/2017/10/relationships/threadedComment" Target="../threadedComments/threadedComment2.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3.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4.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5.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6.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7.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8.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9.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1h" Type="http://schemas.openxmlformats.org/officeDocument/2006/relationships/hyperlink" Target="https://www.americanactionforum.org/research/tracker-paycheck-protection-program-loans/" TargetMode="Externa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0.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1h" Type="http://schemas.openxmlformats.org/officeDocument/2006/relationships/hyperlink" Target="http://www.cbo.gov/publication/56517" TargetMode="Externa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3" Type="http://schemas.openxmlformats.org/officeDocument/2006/relationships/table" Target="../tables/table3.xml"/><Relationship Id="rIdcomment" Type="http://schemas.openxmlformats.org/officeDocument/2006/relationships/comments" Target="../comments29.xml"/><Relationship Id="rIdthread" Type="http://schemas.microsoft.com/office/2017/10/relationships/threadedComment" Target="../threadedComments/threadedComment11.x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comment" Type="http://schemas.openxmlformats.org/officeDocument/2006/relationships/comments" Target="../comments30.xml"/><Relationship Id="rIdthread" Type="http://schemas.microsoft.com/office/2017/10/relationships/threadedComment" Target="../threadedComments/threadedComment12.x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6" zoomScale="82" zoomScaleNormal="82" workbookViewId="0">
      <selection activeCell="C26" sqref="C26"/>
    </sheetView>
  </sheetViews>
  <sheetFormatPr defaultRowHeight="15.0" baseColWidth="10"/>
  <cols>
    <col min="2" max="2" width="34.140625" hidden="0" customWidth="1"/>
    <col min="17" max="17" width="38.42578125" hidden="0" customWidth="1"/>
  </cols>
  <sheetData>
    <row r="10">
      <c r="B10" s="7" t="s">
        <v>0</v>
      </c>
      <c r="C10" s="8"/>
      <c r="D10" s="8"/>
      <c r="E10" s="8"/>
      <c r="F10" s="8"/>
      <c r="G10" s="8"/>
      <c r="H10" s="8"/>
      <c r="I10" s="8"/>
      <c r="J10" s="8"/>
      <c r="K10" s="8"/>
      <c r="L10" s="8"/>
      <c r="M10" s="8"/>
      <c r="N10" s="8"/>
      <c r="O10" s="8"/>
      <c r="P10" s="8"/>
      <c r="Q10" s="9"/>
    </row>
    <row r="11">
      <c r="B11" s="10"/>
      <c r="C11" s="11"/>
      <c r="D11" s="11"/>
      <c r="E11" s="11"/>
      <c r="F11" s="11"/>
      <c r="G11" s="11"/>
      <c r="H11" s="11"/>
      <c r="I11" s="11"/>
      <c r="J11" s="11"/>
      <c r="K11" s="11"/>
      <c r="L11" s="11"/>
      <c r="M11" s="11"/>
      <c r="N11" s="11"/>
      <c r="O11" s="11"/>
      <c r="P11" s="11"/>
      <c r="Q11" s="12"/>
    </row>
    <row r="12">
      <c r="B12" s="19" t="s">
        <v>1</v>
      </c>
      <c r="C12" s="16"/>
      <c r="D12" s="16"/>
      <c r="E12" s="16"/>
      <c r="F12" s="16"/>
      <c r="G12" s="16"/>
      <c r="H12" s="16"/>
      <c r="I12" s="16"/>
      <c r="J12" s="16"/>
      <c r="K12" s="16"/>
      <c r="L12" s="16"/>
      <c r="M12" s="16"/>
      <c r="N12" s="16"/>
      <c r="O12" s="16"/>
      <c r="P12" s="16"/>
      <c r="Q12" s="3"/>
    </row>
    <row r="13">
      <c r="B13" s="18" t="s">
        <v>2</v>
      </c>
      <c r="C13" s="13" t="s">
        <v>3</v>
      </c>
      <c r="D13" s="13"/>
      <c r="E13" s="13"/>
      <c r="F13" s="13"/>
      <c r="G13" s="13"/>
      <c r="H13" s="13"/>
      <c r="I13" s="13"/>
      <c r="J13" s="13"/>
      <c r="K13" s="13"/>
      <c r="L13" s="13"/>
      <c r="M13" s="13"/>
      <c r="N13" s="13"/>
      <c r="O13" s="13"/>
      <c r="P13" s="13"/>
      <c r="Q13" s="14"/>
    </row>
    <row r="14">
      <c r="B14" s="18" t="s">
        <v>4</v>
      </c>
      <c r="C14" s="15" t="s">
        <v>5</v>
      </c>
      <c r="D14" s="15"/>
      <c r="E14" s="15"/>
      <c r="F14" s="15"/>
      <c r="G14" s="15"/>
      <c r="H14" s="15"/>
      <c r="I14" s="15"/>
      <c r="J14" s="15"/>
      <c r="K14" s="15"/>
      <c r="L14" s="15"/>
      <c r="M14" s="15"/>
      <c r="N14" s="15"/>
      <c r="O14" s="15"/>
      <c r="P14" s="15"/>
      <c r="Q14" s="21"/>
    </row>
    <row r="15">
      <c r="B15" s="18" t="s">
        <v>6</v>
      </c>
      <c r="C15" s="15" t="s">
        <v>7</v>
      </c>
      <c r="D15" s="15"/>
      <c r="E15" s="15"/>
      <c r="F15" s="15"/>
      <c r="G15" s="15"/>
      <c r="H15" s="15"/>
      <c r="I15" s="15"/>
      <c r="J15" s="15"/>
      <c r="K15" s="15"/>
      <c r="L15" s="15"/>
      <c r="M15" s="15"/>
      <c r="N15" s="15"/>
      <c r="O15" s="15"/>
      <c r="P15" s="15"/>
      <c r="Q15" s="21"/>
    </row>
    <row r="16">
      <c r="B16" s="18" t="s">
        <v>8</v>
      </c>
      <c r="C16" s="15" t="s">
        <v>887</v>
      </c>
      <c r="D16" s="15"/>
      <c r="E16" s="15"/>
      <c r="F16" s="15"/>
      <c r="G16" s="15"/>
      <c r="H16" s="15"/>
      <c r="I16" s="15"/>
      <c r="J16" s="15"/>
      <c r="K16" s="15"/>
      <c r="L16" s="15"/>
      <c r="M16" s="15"/>
      <c r="N16" s="15"/>
      <c r="O16" s="15"/>
      <c r="P16" s="15"/>
      <c r="Q16" s="21"/>
    </row>
    <row r="17">
      <c r="B17" s="18" t="s">
        <v>9</v>
      </c>
      <c r="C17" s="15" t="s">
        <v>10</v>
      </c>
      <c r="D17" s="15"/>
      <c r="E17" s="15"/>
      <c r="F17" s="15"/>
      <c r="G17" s="15"/>
      <c r="H17" s="15"/>
      <c r="I17" s="15"/>
      <c r="J17" s="15"/>
      <c r="K17" s="15"/>
      <c r="L17" s="15"/>
      <c r="M17" s="15"/>
      <c r="N17" s="15"/>
      <c r="O17" s="15"/>
      <c r="P17" s="15"/>
      <c r="Q17" s="21"/>
    </row>
    <row r="18">
      <c r="B18" s="18" t="s">
        <v>888</v>
      </c>
      <c r="C18" s="15" t="s">
        <v>11</v>
      </c>
      <c r="D18" s="15"/>
      <c r="E18" s="15"/>
      <c r="F18" s="15"/>
      <c r="G18" s="15"/>
      <c r="H18" s="15"/>
      <c r="I18" s="15"/>
      <c r="J18" s="15"/>
      <c r="K18" s="15"/>
      <c r="L18" s="15"/>
      <c r="M18" s="15"/>
      <c r="N18" s="15"/>
      <c r="O18" s="15"/>
      <c r="P18" s="15"/>
      <c r="Q18" s="21"/>
    </row>
    <row r="19">
      <c r="B19" s="18" t="s">
        <v>12</v>
      </c>
      <c r="C19" s="15" t="s">
        <v>889</v>
      </c>
      <c r="D19" s="15"/>
      <c r="E19" s="15"/>
      <c r="F19" s="15"/>
      <c r="G19" s="15"/>
      <c r="H19" s="15"/>
      <c r="I19" s="15"/>
      <c r="J19" s="15"/>
      <c r="K19" s="15"/>
      <c r="L19" s="15"/>
      <c r="M19" s="15"/>
      <c r="N19" s="15"/>
      <c r="O19" s="15"/>
      <c r="P19" s="15"/>
      <c r="Q19" s="21"/>
    </row>
    <row r="20" ht="30.75" customHeight="1">
      <c r="B20" s="18" t="s">
        <v>13</v>
      </c>
      <c r="C20" s="5" t="s">
        <v>14</v>
      </c>
      <c r="D20" s="5"/>
      <c r="E20" s="5"/>
      <c r="F20" s="5"/>
      <c r="G20" s="5"/>
      <c r="H20" s="5"/>
      <c r="I20" s="5"/>
      <c r="J20" s="5"/>
      <c r="K20" s="5"/>
      <c r="L20" s="5"/>
      <c r="M20" s="5"/>
      <c r="N20" s="5"/>
      <c r="O20" s="5"/>
      <c r="P20" s="5"/>
      <c r="Q20" s="6"/>
    </row>
    <row r="21">
      <c r="B21" s="18" t="s">
        <v>15</v>
      </c>
      <c r="C21" s="15" t="s">
        <v>16</v>
      </c>
      <c r="D21" s="15"/>
      <c r="E21" s="15"/>
      <c r="F21" s="15"/>
      <c r="G21" s="15"/>
      <c r="H21" s="15"/>
      <c r="I21" s="15"/>
      <c r="J21" s="15"/>
      <c r="K21" s="15"/>
      <c r="L21" s="15"/>
      <c r="M21" s="15"/>
      <c r="N21" s="15"/>
      <c r="O21" s="15"/>
      <c r="P21" s="15"/>
      <c r="Q21" s="21"/>
    </row>
    <row r="22" ht="32.25" customHeight="1">
      <c r="B22" s="1" t="s">
        <v>891</v>
      </c>
      <c r="C22" s="5" t="s">
        <v>890</v>
      </c>
      <c r="D22" s="5"/>
      <c r="E22" s="5"/>
      <c r="F22" s="5"/>
      <c r="G22" s="5"/>
      <c r="H22" s="5"/>
      <c r="I22" s="5"/>
      <c r="J22" s="5"/>
      <c r="K22" s="5"/>
      <c r="L22" s="5"/>
      <c r="M22" s="5"/>
      <c r="N22" s="5"/>
      <c r="O22" s="5"/>
      <c r="P22" s="5"/>
      <c r="Q22" s="6"/>
    </row>
    <row r="23" ht="31.35" customHeight="1">
      <c r="B23" s="18" t="s">
        <v>17</v>
      </c>
      <c r="C23" s="5" t="s">
        <v>892</v>
      </c>
      <c r="D23" s="5"/>
      <c r="E23" s="5"/>
      <c r="F23" s="5"/>
      <c r="G23" s="5"/>
      <c r="H23" s="5"/>
      <c r="I23" s="5"/>
      <c r="J23" s="5"/>
      <c r="K23" s="5"/>
      <c r="L23" s="5"/>
      <c r="M23" s="5"/>
      <c r="N23" s="5"/>
      <c r="O23" s="5"/>
      <c r="P23" s="5"/>
      <c r="Q23" s="6"/>
    </row>
    <row r="24">
      <c r="B24" s="18" t="s">
        <v>18</v>
      </c>
      <c r="C24" s="15" t="s">
        <v>19</v>
      </c>
      <c r="D24" s="15"/>
      <c r="E24" s="15"/>
      <c r="F24" s="15"/>
      <c r="G24" s="15"/>
      <c r="H24" s="15"/>
      <c r="I24" s="15"/>
      <c r="J24" s="15"/>
      <c r="K24" s="15"/>
      <c r="L24" s="15"/>
      <c r="M24" s="15"/>
      <c r="N24" s="15"/>
      <c r="O24" s="15"/>
      <c r="P24" s="15"/>
      <c r="Q24" s="21"/>
    </row>
    <row r="25">
      <c r="B25" s="18" t="s">
        <v>20</v>
      </c>
      <c r="C25" s="15" t="s">
        <v>21</v>
      </c>
      <c r="D25" s="15"/>
      <c r="E25" s="15"/>
      <c r="F25" s="15"/>
      <c r="G25" s="15"/>
      <c r="H25" s="15"/>
      <c r="I25" s="15"/>
      <c r="J25" s="15"/>
      <c r="K25" s="15"/>
      <c r="L25" s="15"/>
      <c r="M25" s="15"/>
      <c r="N25" s="15"/>
      <c r="O25" s="15"/>
      <c r="P25" s="15"/>
      <c r="Q25" s="21"/>
    </row>
    <row r="26">
      <c r="B26" s="18" t="s">
        <v>22</v>
      </c>
      <c r="C26" s="15" t="s">
        <v>23</v>
      </c>
      <c r="D26" s="15"/>
      <c r="E26" s="15"/>
      <c r="F26" s="15"/>
      <c r="G26" s="15"/>
      <c r="H26" s="15"/>
      <c r="I26" s="15"/>
      <c r="J26" s="15"/>
      <c r="K26" s="15"/>
      <c r="L26" s="15"/>
      <c r="M26" s="15"/>
      <c r="N26" s="15"/>
      <c r="O26" s="15"/>
      <c r="P26" s="15"/>
      <c r="Q26" s="21"/>
    </row>
    <row r="27">
      <c r="B27" s="18" t="s">
        <v>24</v>
      </c>
      <c r="C27" s="15" t="s">
        <v>893</v>
      </c>
      <c r="D27" s="15"/>
      <c r="E27" s="15"/>
      <c r="F27" s="15"/>
      <c r="G27" s="15"/>
      <c r="H27" s="15"/>
      <c r="I27" s="15"/>
      <c r="J27" s="15"/>
      <c r="K27" s="15"/>
      <c r="L27" s="15"/>
      <c r="M27" s="15"/>
      <c r="N27" s="15"/>
      <c r="O27" s="15"/>
      <c r="P27" s="15"/>
      <c r="Q27" s="21"/>
    </row>
    <row r="28">
      <c r="B28" s="18" t="s">
        <v>25</v>
      </c>
      <c r="C28" s="15" t="s">
        <v>894</v>
      </c>
      <c r="D28" s="15"/>
      <c r="E28" s="15"/>
      <c r="F28" s="15"/>
      <c r="G28" s="15"/>
      <c r="H28" s="15"/>
      <c r="I28" s="15"/>
      <c r="J28" s="15"/>
      <c r="K28" s="15"/>
      <c r="L28" s="15"/>
      <c r="M28" s="15"/>
      <c r="N28" s="15"/>
      <c r="O28" s="15"/>
      <c r="P28" s="15"/>
      <c r="Q28" s="21"/>
    </row>
    <row r="29">
      <c r="B29" s="18" t="s">
        <v>26</v>
      </c>
      <c r="C29" s="15" t="s">
        <v>27</v>
      </c>
      <c r="D29" s="15"/>
      <c r="E29" s="15"/>
      <c r="F29" s="15"/>
      <c r="G29" s="15"/>
      <c r="H29" s="15"/>
      <c r="I29" s="15"/>
      <c r="J29" s="15"/>
      <c r="K29" s="15"/>
      <c r="L29" s="15"/>
      <c r="M29" s="15"/>
      <c r="N29" s="15"/>
      <c r="O29" s="15"/>
      <c r="P29" s="15"/>
      <c r="Q29" s="21"/>
    </row>
    <row r="30">
      <c r="B30" s="18"/>
      <c r="C30" s="15"/>
      <c r="D30" s="15"/>
      <c r="E30" s="15"/>
      <c r="F30" s="15"/>
      <c r="G30" s="15"/>
      <c r="H30" s="15"/>
      <c r="I30" s="15"/>
      <c r="J30" s="15"/>
      <c r="K30" s="15"/>
      <c r="L30" s="15"/>
      <c r="M30" s="15"/>
      <c r="N30" s="15"/>
      <c r="O30" s="15"/>
      <c r="P30" s="15"/>
      <c r="Q30" s="21"/>
    </row>
    <row r="31">
      <c r="B31" s="20" t="s">
        <v>28</v>
      </c>
      <c r="C31" s="15"/>
      <c r="D31" s="15"/>
      <c r="E31" s="15"/>
      <c r="F31" s="15"/>
      <c r="G31" s="15"/>
      <c r="H31" s="15"/>
      <c r="I31" s="15"/>
      <c r="J31" s="15"/>
      <c r="K31" s="15"/>
      <c r="L31" s="15"/>
      <c r="M31" s="15"/>
      <c r="N31" s="15"/>
      <c r="O31" s="15"/>
      <c r="P31" s="15"/>
      <c r="Q31" s="21"/>
    </row>
    <row r="32">
      <c r="B32" s="18" t="s">
        <v>29</v>
      </c>
      <c r="C32" s="15"/>
      <c r="D32" s="15"/>
      <c r="E32" s="15"/>
      <c r="F32" s="15"/>
      <c r="G32" s="15"/>
      <c r="H32" s="15"/>
      <c r="I32" s="15"/>
      <c r="J32" s="15"/>
      <c r="K32" s="15"/>
      <c r="L32" s="15"/>
      <c r="M32" s="15"/>
      <c r="N32" s="15"/>
      <c r="O32" s="15"/>
      <c r="P32" s="15"/>
      <c r="Q32" s="21"/>
    </row>
    <row r="33" ht="30.75" customHeight="1">
      <c r="B33" s="4" t="s">
        <v>895</v>
      </c>
      <c r="C33" s="5"/>
      <c r="D33" s="5"/>
      <c r="E33" s="5"/>
      <c r="F33" s="5"/>
      <c r="G33" s="5"/>
      <c r="H33" s="5"/>
      <c r="I33" s="5"/>
      <c r="J33" s="5"/>
      <c r="K33" s="5"/>
      <c r="L33" s="5"/>
      <c r="M33" s="5"/>
      <c r="N33" s="5"/>
      <c r="O33" s="5"/>
      <c r="P33" s="5"/>
      <c r="Q33" s="6"/>
    </row>
    <row r="34">
      <c r="B34" s="24" t="s">
        <v>30</v>
      </c>
      <c r="C34" s="15"/>
      <c r="D34" s="15"/>
      <c r="E34" s="15"/>
      <c r="F34" s="15"/>
      <c r="G34" s="15"/>
      <c r="H34" s="15"/>
      <c r="I34" s="15"/>
      <c r="J34" s="15"/>
      <c r="K34" s="15"/>
      <c r="L34" s="15"/>
      <c r="M34" s="15"/>
      <c r="N34" s="15"/>
      <c r="O34" s="15"/>
      <c r="P34" s="15"/>
      <c r="Q34" s="21"/>
    </row>
    <row r="35">
      <c r="B35" s="18" t="s">
        <v>31</v>
      </c>
      <c r="C35" s="15"/>
      <c r="D35" s="15"/>
      <c r="E35" s="15"/>
      <c r="F35" s="15"/>
      <c r="G35" s="15"/>
      <c r="H35" s="15"/>
      <c r="I35" s="15"/>
      <c r="J35" s="15"/>
      <c r="K35" s="15"/>
      <c r="L35" s="15"/>
      <c r="M35" s="15"/>
      <c r="N35" s="15"/>
      <c r="O35" s="15"/>
      <c r="P35" s="15"/>
      <c r="Q35" s="21"/>
    </row>
    <row r="36">
      <c r="B36" s="17" t="s">
        <v>32</v>
      </c>
      <c r="C36" s="22"/>
      <c r="D36" s="22"/>
      <c r="E36" s="22"/>
      <c r="F36" s="22"/>
      <c r="G36" s="22"/>
      <c r="H36" s="22"/>
      <c r="I36" s="22"/>
      <c r="J36" s="22"/>
      <c r="K36" s="22"/>
      <c r="L36" s="22"/>
      <c r="M36" s="22"/>
      <c r="N36" s="22"/>
      <c r="O36" s="22"/>
      <c r="P36" s="22"/>
      <c r="Q36" s="23"/>
    </row>
    <row r="39">
      <c r="B39" s="2"/>
      <c r="C39" s="2"/>
      <c r="D39" s="2"/>
      <c r="E39" s="2"/>
      <c r="F39" s="2"/>
      <c r="G39" s="2"/>
      <c r="H39" s="2"/>
      <c r="I39" s="2"/>
      <c r="J39" s="2"/>
      <c r="K39" s="2"/>
      <c r="L39" s="2"/>
      <c r="M39" s="2"/>
      <c r="N39" s="2"/>
      <c r="O39" s="2"/>
      <c r="P39" s="2"/>
      <c r="Q39" s="2"/>
    </row>
    <row r="40">
      <c r="B40" s="2"/>
      <c r="C40" s="2"/>
      <c r="D40" s="2"/>
      <c r="E40" s="2"/>
      <c r="F40" s="2"/>
      <c r="G40" s="2"/>
      <c r="H40" s="2"/>
      <c r="I40" s="2"/>
      <c r="J40" s="2"/>
      <c r="K40" s="2"/>
      <c r="L40" s="2"/>
      <c r="M40" s="2"/>
      <c r="N40" s="2"/>
      <c r="O40" s="2"/>
      <c r="P40" s="2"/>
      <c r="Q40" s="2"/>
    </row>
    <row r="41">
      <c r="B41" s="2"/>
      <c r="C41" s="2"/>
      <c r="D41" s="2"/>
      <c r="E41" s="2"/>
      <c r="F41" s="2"/>
      <c r="G41" s="2"/>
      <c r="H41" s="2"/>
      <c r="I41" s="2"/>
      <c r="J41" s="2"/>
      <c r="K41" s="2"/>
      <c r="L41" s="2"/>
      <c r="M41" s="2"/>
      <c r="N41" s="2"/>
      <c r="O41" s="2"/>
      <c r="P41" s="2"/>
      <c r="Q41" s="2"/>
    </row>
    <row r="42">
      <c r="B42" s="2"/>
      <c r="C42" s="2"/>
      <c r="D42" s="2"/>
      <c r="E42" s="2"/>
      <c r="F42" s="2"/>
      <c r="G42" s="2"/>
      <c r="H42" s="2"/>
      <c r="I42" s="2"/>
      <c r="J42" s="2"/>
      <c r="K42" s="2"/>
      <c r="L42" s="2"/>
      <c r="M42" s="2"/>
      <c r="N42" s="2"/>
      <c r="O42" s="2"/>
      <c r="P42" s="2"/>
      <c r="Q42" s="2"/>
    </row>
    <row r="43">
      <c r="B43" s="2"/>
      <c r="C43" s="2"/>
      <c r="D43" s="2"/>
      <c r="E43" s="2"/>
      <c r="F43" s="2"/>
      <c r="G43" s="2"/>
      <c r="H43" s="2"/>
      <c r="I43" s="2"/>
      <c r="J43" s="2"/>
      <c r="K43" s="2"/>
      <c r="L43" s="2"/>
      <c r="M43" s="2"/>
      <c r="N43" s="2"/>
      <c r="O43" s="2"/>
      <c r="P43" s="2"/>
      <c r="Q43" s="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3" sqref="C3"/>
    </sheetView>
  </sheetViews>
  <sheetFormatPr defaultRowHeight="15.0" baseColWidth="10"/>
  <cols>
    <col min="1" max="1" width="44.140625" hidden="0" customWidth="1"/>
    <col min="2" max="2" width="58.85546875" hidden="0" customWidth="1"/>
    <col min="3" max="3" width="56.42578125" hidden="0" customWidth="1"/>
    <col min="5" max="5" width="42.85546875" hidden="0" customWidth="1"/>
    <col min="6" max="6" width="21.42578125" hidden="0" customWidth="1"/>
  </cols>
  <sheetData>
    <row r="1" ht="47.85" customHeight="1">
      <c r="A1" s="45" t="s">
        <v>33</v>
      </c>
      <c r="B1" s="46" t="s">
        <v>34</v>
      </c>
      <c r="C1" s="46" t="s">
        <v>35</v>
      </c>
      <c r="D1" s="47" t="s">
        <v>36</v>
      </c>
      <c r="E1" s="36"/>
      <c r="F1" s="36"/>
    </row>
    <row r="2" ht="16.5" customHeight="1">
      <c r="A2" s="27" t="s">
        <v>37</v>
      </c>
      <c r="B2" s="28"/>
      <c r="C2" s="28"/>
      <c r="D2" s="29"/>
      <c r="E2" s="36"/>
      <c r="F2" s="36"/>
    </row>
    <row r="3" ht="148.35" customHeight="1">
      <c r="A3" s="39" t="s">
        <v>910</v>
      </c>
      <c r="B3" s="34" t="s">
        <v>1892</v>
      </c>
      <c r="C3" s="34" t="s">
        <v>908</v>
      </c>
      <c r="D3" s="43"/>
    </row>
    <row r="4" ht="85.5" customHeight="1">
      <c r="A4" s="39" t="s">
        <v>899</v>
      </c>
      <c r="B4" s="34" t="s">
        <v>40</v>
      </c>
      <c r="C4" s="34" t="s">
        <v>995</v>
      </c>
      <c r="D4" s="43"/>
      <c r="E4" s="34"/>
      <c r="F4" s="34"/>
    </row>
    <row r="5" ht="158.85" customHeight="1">
      <c r="A5" s="39" t="s">
        <v>896</v>
      </c>
      <c r="B5" s="34" t="s">
        <v>897</v>
      </c>
      <c r="C5" s="34" t="s">
        <v>921</v>
      </c>
      <c r="D5" s="43"/>
      <c r="E5" s="34"/>
      <c r="F5" s="34"/>
    </row>
    <row r="6" ht="99.6" customHeight="1">
      <c r="A6" s="39" t="s">
        <v>898</v>
      </c>
      <c r="B6" s="34" t="s">
        <v>38</v>
      </c>
      <c r="C6" s="34" t="s">
        <v>39</v>
      </c>
      <c r="D6" s="43"/>
      <c r="E6" s="34"/>
      <c r="F6" s="34"/>
    </row>
    <row r="7" ht="61.5" customHeight="1">
      <c r="A7" s="39" t="s">
        <v>900</v>
      </c>
      <c r="B7" s="34" t="s">
        <v>880</v>
      </c>
      <c r="C7" s="34" t="s">
        <v>881</v>
      </c>
      <c r="D7" s="43"/>
      <c r="E7" s="34"/>
      <c r="F7" s="34"/>
    </row>
    <row r="8" ht="100.35" customHeight="1">
      <c r="A8" s="39" t="s">
        <v>42</v>
      </c>
      <c r="B8" s="34" t="s">
        <v>43</v>
      </c>
      <c r="C8" s="48" t="s">
        <v>44</v>
      </c>
      <c r="D8" s="43"/>
      <c r="E8" s="37"/>
      <c r="F8" s="34"/>
      <c r="G8" s="49"/>
    </row>
    <row r="9" ht="78" customHeight="1">
      <c r="A9" s="39" t="s">
        <v>45</v>
      </c>
      <c r="B9" s="34" t="s">
        <v>46</v>
      </c>
      <c r="C9" s="34" t="s">
        <v>927</v>
      </c>
      <c r="D9" s="43"/>
      <c r="E9" s="34"/>
      <c r="F9" s="34"/>
    </row>
    <row r="10" ht="67.5" customHeight="1">
      <c r="A10" s="39" t="s">
        <v>870</v>
      </c>
      <c r="B10" s="34" t="s">
        <v>882</v>
      </c>
      <c r="C10" s="34" t="s">
        <v>941</v>
      </c>
      <c r="D10" s="43"/>
      <c r="E10" s="34"/>
      <c r="F10" s="34"/>
    </row>
    <row r="11" ht="63.6" customHeight="1">
      <c r="A11" s="39" t="s">
        <v>47</v>
      </c>
      <c r="B11" s="34" t="s">
        <v>48</v>
      </c>
      <c r="C11" s="34" t="s">
        <v>901</v>
      </c>
      <c r="D11" s="35"/>
      <c r="E11" s="34"/>
      <c r="F11" s="34"/>
    </row>
    <row r="12" ht="15" customHeight="1">
      <c r="A12" s="27" t="s">
        <v>902</v>
      </c>
      <c r="B12" s="28"/>
      <c r="C12" s="28"/>
      <c r="D12" s="29"/>
      <c r="E12" s="36"/>
      <c r="F12" s="34"/>
    </row>
    <row r="13" ht="29.85" customHeight="1">
      <c r="A13" s="40" t="s">
        <v>9</v>
      </c>
      <c r="B13" s="33" t="s">
        <v>904</v>
      </c>
      <c r="C13" s="33"/>
      <c r="D13" s="44"/>
      <c r="E13" s="36"/>
      <c r="F13" s="34"/>
    </row>
    <row r="14" ht="48.6" customHeight="1">
      <c r="A14" s="38" t="s">
        <v>903</v>
      </c>
      <c r="B14" s="33" t="s">
        <v>914</v>
      </c>
      <c r="C14" s="33"/>
      <c r="D14" s="43"/>
      <c r="E14" s="36"/>
      <c r="F14" s="34"/>
    </row>
    <row r="15" ht="48.6" customHeight="1">
      <c r="A15" s="38" t="s">
        <v>905</v>
      </c>
      <c r="B15" s="33" t="s">
        <v>906</v>
      </c>
      <c r="C15" s="33"/>
      <c r="D15" s="35"/>
      <c r="E15" s="36"/>
      <c r="F15" s="34"/>
    </row>
    <row r="16">
      <c r="A16" s="30" t="s">
        <v>59</v>
      </c>
      <c r="B16" s="31"/>
      <c r="C16" s="31"/>
      <c r="D16" s="32"/>
      <c r="E16" s="34"/>
      <c r="F16" s="34"/>
    </row>
    <row r="17" ht="36.6" customHeight="1">
      <c r="A17" s="25" t="s">
        <v>907</v>
      </c>
      <c r="B17" s="26"/>
      <c r="C17" s="26"/>
      <c r="D17" s="44"/>
      <c r="E17" s="34"/>
      <c r="F17" s="34"/>
    </row>
    <row r="18" ht="145.5" customHeight="1">
      <c r="A18" s="39" t="s">
        <v>60</v>
      </c>
      <c r="B18" s="34" t="s">
        <v>928</v>
      </c>
      <c r="C18" s="34" t="s">
        <v>935</v>
      </c>
      <c r="D18" s="43"/>
      <c r="E18" s="34"/>
      <c r="F18" s="34"/>
    </row>
    <row r="19" ht="63.6" customHeight="1">
      <c r="A19" s="39" t="s">
        <v>61</v>
      </c>
      <c r="B19" s="34" t="s">
        <v>929</v>
      </c>
      <c r="C19" s="34" t="s">
        <v>930</v>
      </c>
      <c r="D19" s="43"/>
      <c r="E19" s="34"/>
      <c r="F19" s="34"/>
    </row>
    <row r="20" ht="63.6" customHeight="1">
      <c r="A20" s="39" t="s">
        <v>931</v>
      </c>
      <c r="B20" s="34" t="s">
        <v>932</v>
      </c>
      <c r="C20" s="34" t="s">
        <v>933</v>
      </c>
      <c r="D20" s="43"/>
      <c r="E20" s="34"/>
      <c r="F20" s="34"/>
    </row>
    <row r="21" ht="34.35" customHeight="1">
      <c r="A21" s="25" t="s">
        <v>877</v>
      </c>
      <c r="B21" s="26"/>
      <c r="C21" s="26"/>
      <c r="D21" s="35"/>
      <c r="E21" s="34"/>
      <c r="F21" s="34"/>
    </row>
    <row r="22">
      <c r="A22" s="30" t="s">
        <v>62</v>
      </c>
      <c r="B22" s="31"/>
      <c r="C22" s="31"/>
      <c r="D22" s="32"/>
      <c r="E22" s="34"/>
      <c r="F22" s="34"/>
    </row>
    <row r="23" ht="29.1" customHeight="1">
      <c r="A23" s="39" t="s">
        <v>63</v>
      </c>
      <c r="B23" s="34"/>
      <c r="C23" s="34" t="s">
        <v>64</v>
      </c>
      <c r="D23" s="44"/>
      <c r="E23" s="34"/>
      <c r="F23" s="34"/>
    </row>
    <row r="24" ht="57.6" customHeight="1">
      <c r="A24" s="39" t="s">
        <v>65</v>
      </c>
      <c r="B24" s="34" t="s">
        <v>66</v>
      </c>
      <c r="C24" s="34" t="s">
        <v>67</v>
      </c>
      <c r="D24" s="43"/>
      <c r="E24" s="34"/>
      <c r="F24" s="34"/>
    </row>
    <row r="25" ht="29.1" customHeight="1">
      <c r="A25" s="39" t="s">
        <v>68</v>
      </c>
      <c r="B25" s="34" t="s">
        <v>69</v>
      </c>
      <c r="C25" s="34" t="s">
        <v>920</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12" priority="3" operator="containsText" text="Yes">
      <formula>NOT(ISERROR(SEARCH("Yes",D17)))</formula>
    </cfRule>
  </conditionalFormatting>
  <conditionalFormatting sqref="D13:D15 D4:D11">
    <cfRule type="containsText" dxfId="11" priority="6" operator="containsText" text="Yes">
      <formula>NOT(ISERROR(SEARCH("Yes",D4)))</formula>
    </cfRule>
  </conditionalFormatting>
  <conditionalFormatting sqref="D21 D23:D26">
    <cfRule type="containsText" dxfId="10" priority="4" operator="containsText" text="Yes">
      <formula>NOT(ISERROR(SEARCH("Yes",D21)))</formula>
    </cfRule>
  </conditionalFormatting>
  <conditionalFormatting sqref="D10">
    <cfRule type="containsText" dxfId="9" priority="2" operator="containsText" text="Yes">
      <formula>NOT(ISERROR(SEARCH("Yes",D10)))</formula>
    </cfRule>
  </conditionalFormatting>
  <conditionalFormatting sqref="D3">
    <cfRule type="containsText" dxfId="8" priority="1" operator="containsText" text="Yes">
      <formula>NOT(ISERROR(SEARCH("Yes",D3)))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ySplit="1" topLeftCell="A2" activePane="bottomLeft" state="frozen"/>
      <selection pane="bottomLeft" activeCell="C4" sqref="C4"/>
    </sheetView>
  </sheetViews>
  <sheetFormatPr defaultRowHeight="15.0" baseColWidth="10"/>
  <cols>
    <col min="1" max="1" width="30.85546875" hidden="0" customWidth="1"/>
    <col min="2" max="2" width="109.42578125" hidden="0" customWidth="1"/>
    <col min="3" max="3" width="47" hidden="0" customWidth="1"/>
    <col min="4" max="4" width="18.85546875" hidden="0" customWidth="1"/>
    <col min="5" max="5" width="58.85546875" hidden="0" customWidth="1"/>
    <col min="6" max="6" width="33.140625" hidden="0" customWidth="1"/>
  </cols>
  <sheetData>
    <row r="1" ht="47.85" customHeight="1">
      <c r="A1" s="45" t="s">
        <v>33</v>
      </c>
      <c r="B1" s="46" t="s">
        <v>34</v>
      </c>
      <c r="C1" s="46" t="s">
        <v>35</v>
      </c>
      <c r="D1" s="47" t="s">
        <v>36</v>
      </c>
      <c r="E1" s="58"/>
      <c r="F1" s="58"/>
    </row>
    <row r="2" ht="16.5" customHeight="1">
      <c r="A2" s="27" t="s">
        <v>37</v>
      </c>
      <c r="B2" s="28"/>
      <c r="C2" s="28"/>
      <c r="D2" s="29"/>
      <c r="E2" s="58"/>
      <c r="F2" s="58"/>
    </row>
    <row r="3" ht="148.35" customHeight="1">
      <c r="A3" s="39" t="s">
        <v>910</v>
      </c>
      <c r="B3" s="34" t="s">
        <v>909</v>
      </c>
      <c r="C3" s="34" t="s">
        <v>908</v>
      </c>
      <c r="D3" s="43" t="s">
        <v>996</v>
      </c>
    </row>
    <row r="4" ht="148.35" customHeight="1">
      <c r="A4" s="39" t="s">
        <v>79</v>
      </c>
      <c r="B4" s="34" t="s">
        <v>40</v>
      </c>
      <c r="C4" s="34" t="s">
        <v>980</v>
      </c>
      <c r="D4" s="43" t="s">
        <v>996</v>
      </c>
      <c r="E4" s="34"/>
      <c r="F4" s="34"/>
    </row>
    <row r="5" ht="61.5" customHeight="1">
      <c r="A5" s="39" t="s">
        <v>73</v>
      </c>
      <c r="B5" s="34" t="s">
        <v>74</v>
      </c>
      <c r="C5" s="60" t="s">
        <v>44</v>
      </c>
      <c r="D5" s="43" t="s">
        <v>996</v>
      </c>
    </row>
    <row r="6" ht="78" customHeight="1">
      <c r="A6" s="39" t="s">
        <v>45</v>
      </c>
      <c r="B6" s="34" t="s">
        <v>46</v>
      </c>
      <c r="C6" s="34" t="s">
        <v>927</v>
      </c>
      <c r="D6" s="43" t="s">
        <v>996</v>
      </c>
      <c r="E6" s="34"/>
      <c r="F6" s="34"/>
    </row>
    <row r="7" ht="50.85" customHeight="1">
      <c r="A7" s="39" t="s">
        <v>870</v>
      </c>
      <c r="B7" s="34" t="s">
        <v>882</v>
      </c>
      <c r="C7" s="34" t="s">
        <v>1518</v>
      </c>
      <c r="D7" s="43" t="s">
        <v>996</v>
      </c>
      <c r="E7" s="36"/>
      <c r="F7" s="34"/>
    </row>
    <row r="8" ht="29.85" customHeight="1">
      <c r="A8" s="39" t="s">
        <v>75</v>
      </c>
      <c r="B8" s="34" t="s">
        <v>76</v>
      </c>
      <c r="C8" s="34" t="s">
        <v>77</v>
      </c>
      <c r="D8" s="43" t="s">
        <v>996</v>
      </c>
      <c r="E8" s="36"/>
      <c r="F8" s="34"/>
    </row>
    <row r="9" ht="48.6" customHeight="1">
      <c r="A9" s="39" t="s">
        <v>47</v>
      </c>
      <c r="B9" s="34" t="s">
        <v>48</v>
      </c>
      <c r="C9" s="34" t="s">
        <v>901</v>
      </c>
      <c r="D9" s="43" t="s">
        <v>996</v>
      </c>
      <c r="E9" s="36"/>
      <c r="F9" s="34"/>
    </row>
    <row r="10" ht="22.5" customHeight="1">
      <c r="A10" s="27" t="s">
        <v>902</v>
      </c>
      <c r="B10" s="28"/>
      <c r="C10" s="28"/>
      <c r="D10" s="29"/>
      <c r="E10" s="36"/>
      <c r="F10" s="34"/>
    </row>
    <row r="11" ht="22.5" customHeight="1">
      <c r="A11" s="40" t="s">
        <v>75</v>
      </c>
      <c r="B11" s="56" t="s">
        <v>912</v>
      </c>
      <c r="C11" s="57"/>
      <c r="D11" s="59"/>
      <c r="E11" s="36"/>
      <c r="F11" s="34"/>
    </row>
    <row r="12" ht="33" customHeight="1">
      <c r="A12" s="40" t="s">
        <v>911</v>
      </c>
      <c r="B12" s="33" t="s">
        <v>913</v>
      </c>
      <c r="C12" s="33"/>
      <c r="D12" s="43"/>
      <c r="E12" s="34"/>
      <c r="F12" s="34"/>
    </row>
    <row r="13" ht="39.6" customHeight="1">
      <c r="A13" s="38" t="s">
        <v>903</v>
      </c>
      <c r="B13" s="33" t="s">
        <v>914</v>
      </c>
      <c r="C13" s="33"/>
      <c r="D13" s="43"/>
    </row>
    <row r="14" ht="38.85" customHeight="1">
      <c r="A14" s="38" t="s">
        <v>905</v>
      </c>
      <c r="B14" s="33" t="s">
        <v>906</v>
      </c>
      <c r="C14" s="33"/>
      <c r="D14" s="43"/>
    </row>
    <row r="15" ht="20.100000000000001" customHeight="1">
      <c r="A15" s="30" t="s">
        <v>59</v>
      </c>
      <c r="B15" s="31"/>
      <c r="C15" s="31"/>
      <c r="D15" s="32"/>
    </row>
    <row r="16" ht="24.6" customHeight="1">
      <c r="A16" s="50" t="s">
        <v>878</v>
      </c>
      <c r="B16" s="51"/>
      <c r="C16" s="52"/>
      <c r="D16" s="43"/>
    </row>
    <row r="17" ht="101.85" customHeight="1">
      <c r="A17" s="38" t="s">
        <v>60</v>
      </c>
      <c r="B17" s="61" t="s">
        <v>928</v>
      </c>
      <c r="C17" s="61" t="s">
        <v>935</v>
      </c>
      <c r="D17" s="62"/>
      <c r="E17" s="61"/>
      <c r="F17" s="61"/>
      <c r="G17" s="61"/>
    </row>
    <row r="18" ht="101.1" customHeight="1">
      <c r="A18" s="38" t="s">
        <v>61</v>
      </c>
      <c r="B18" s="61" t="s">
        <v>929</v>
      </c>
      <c r="C18" s="61" t="s">
        <v>930</v>
      </c>
      <c r="D18" s="62"/>
      <c r="E18" s="61"/>
      <c r="F18" s="61"/>
      <c r="G18" s="61"/>
    </row>
    <row r="19" ht="57.6" customHeight="1">
      <c r="A19" s="38" t="s">
        <v>931</v>
      </c>
      <c r="B19" s="61" t="s">
        <v>932</v>
      </c>
      <c r="C19" s="61" t="s">
        <v>933</v>
      </c>
      <c r="D19" s="62"/>
      <c r="E19" s="61"/>
      <c r="F19" s="61"/>
      <c r="G19" s="61"/>
    </row>
    <row r="20" ht="37.5" customHeight="1">
      <c r="A20" s="53" t="s">
        <v>877</v>
      </c>
      <c r="B20" s="54"/>
      <c r="C20" s="55"/>
      <c r="D20" s="43"/>
    </row>
    <row r="21">
      <c r="A21" s="30" t="s">
        <v>62</v>
      </c>
      <c r="B21" s="31"/>
      <c r="C21" s="31"/>
      <c r="D21" s="32"/>
    </row>
    <row r="22" ht="29.1" customHeight="1">
      <c r="A22" s="39" t="s">
        <v>63</v>
      </c>
      <c r="B22" s="34" t="s">
        <v>78</v>
      </c>
      <c r="C22" s="34" t="s">
        <v>64</v>
      </c>
      <c r="D22" s="43"/>
    </row>
    <row r="23" ht="72" customHeight="1">
      <c r="A23" s="39" t="s">
        <v>65</v>
      </c>
      <c r="B23" s="34" t="s">
        <v>66</v>
      </c>
      <c r="C23" s="34" t="s">
        <v>67</v>
      </c>
      <c r="D23" s="43"/>
    </row>
    <row r="24" ht="29.1" customHeight="1">
      <c r="A24" s="39" t="s">
        <v>68</v>
      </c>
      <c r="B24" s="34" t="s">
        <v>69</v>
      </c>
      <c r="C24" s="34" t="s">
        <v>920</v>
      </c>
      <c r="D24" s="43"/>
    </row>
    <row r="25" ht="101.1"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4" sqref="C4"/>
    </sheetView>
  </sheetViews>
  <sheetFormatPr defaultRowHeight="15.0" baseColWidth="10"/>
  <cols>
    <col min="1" max="1" width="23.85546875" hidden="0" customWidth="1"/>
    <col min="2" max="2" width="79.42578125" hidden="0" customWidth="1"/>
    <col min="3" max="3" width="33.42578125" hidden="0" customWidth="1"/>
  </cols>
  <sheetData>
    <row r="1" ht="47.85" customHeight="1">
      <c r="A1" s="72" t="s">
        <v>33</v>
      </c>
      <c r="B1" s="73" t="s">
        <v>34</v>
      </c>
      <c r="C1" s="73" t="s">
        <v>35</v>
      </c>
      <c r="D1" s="74" t="s">
        <v>36</v>
      </c>
    </row>
    <row r="2" ht="79.5" customHeight="1">
      <c r="A2" s="69" t="s">
        <v>934</v>
      </c>
      <c r="B2" s="70" t="s">
        <v>978</v>
      </c>
      <c r="C2" s="70" t="s">
        <v>979</v>
      </c>
      <c r="D2" s="66" t="s">
        <v>993</v>
      </c>
    </row>
    <row r="3" ht="63.75" customHeight="1">
      <c r="A3" s="39" t="s">
        <v>79</v>
      </c>
      <c r="B3" s="65" t="s">
        <v>40</v>
      </c>
      <c r="C3" s="65" t="s">
        <v>41</v>
      </c>
      <c r="D3" s="67" t="s">
        <v>993</v>
      </c>
    </row>
    <row r="4" ht="137.25" customHeight="1">
      <c r="A4" s="75" t="s">
        <v>80</v>
      </c>
      <c r="B4" s="65" t="s">
        <v>977</v>
      </c>
      <c r="C4" s="34" t="s">
        <v>936</v>
      </c>
      <c r="D4" s="67"/>
    </row>
    <row r="5" ht="29.25" customHeight="1">
      <c r="A5" s="75" t="s">
        <v>81</v>
      </c>
      <c r="B5" s="76" t="s">
        <v>82</v>
      </c>
      <c r="C5" s="63" t="s">
        <v>83</v>
      </c>
      <c r="D5" s="67"/>
    </row>
    <row r="6" ht="43.35" customHeight="1">
      <c r="A6" s="41" t="s">
        <v>84</v>
      </c>
      <c r="B6" s="71" t="s">
        <v>938</v>
      </c>
      <c r="C6" s="64" t="s">
        <v>937</v>
      </c>
      <c r="D6" s="68"/>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K2" activePane="bottomRight" state="frozen"/>
      <selection pane="topRight" activeCell="B1" sqref="B1"/>
      <selection pane="bottomLeft" activeCell="A2" sqref="A2"/>
      <selection pane="bottomRight" activeCell="A29" sqref="A29:XFD29"/>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s>
  <sheetData>
    <row r="1">
      <c r="A1" s="103" t="s">
        <v>2223</v>
      </c>
      <c r="B1" s="103" t="s">
        <v>2224</v>
      </c>
      <c r="C1" s="103" t="s">
        <v>2225</v>
      </c>
      <c r="D1" s="103" t="s">
        <v>2226</v>
      </c>
      <c r="E1" s="103" t="s">
        <v>2227</v>
      </c>
      <c r="F1" s="103" t="s">
        <v>2228</v>
      </c>
      <c r="G1" s="103" t="s">
        <v>2229</v>
      </c>
      <c r="H1" s="103" t="s">
        <v>2230</v>
      </c>
      <c r="I1" s="103" t="s">
        <v>2231</v>
      </c>
      <c r="J1" s="103" t="s">
        <v>2232</v>
      </c>
      <c r="K1" s="103" t="s">
        <v>2233</v>
      </c>
      <c r="L1" s="103" t="s">
        <v>2234</v>
      </c>
      <c r="M1" s="103" t="s">
        <v>2235</v>
      </c>
      <c r="N1" s="103" t="s">
        <v>2236</v>
      </c>
      <c r="O1" s="103" t="s">
        <v>2237</v>
      </c>
      <c r="P1" s="103" t="s">
        <v>2238</v>
      </c>
      <c r="Q1" s="103" t="s">
        <v>2239</v>
      </c>
      <c r="R1" s="103" t="s">
        <v>2240</v>
      </c>
      <c r="S1" s="103" t="s">
        <v>2241</v>
      </c>
      <c r="T1" s="103" t="s">
        <v>2242</v>
      </c>
      <c r="U1" s="103" t="s">
        <v>2243</v>
      </c>
      <c r="V1" s="103" t="s">
        <v>2244</v>
      </c>
      <c r="W1" s="103" t="s">
        <v>2245</v>
      </c>
      <c r="X1" s="103" t="s">
        <v>2246</v>
      </c>
      <c r="Y1" s="103" t="s">
        <v>2247</v>
      </c>
      <c r="Z1" s="103" t="s">
        <v>2248</v>
      </c>
      <c r="AA1" s="103" t="s">
        <v>2249</v>
      </c>
      <c r="AB1" s="103" t="s">
        <v>2250</v>
      </c>
      <c r="AC1" s="103" t="s">
        <v>2251</v>
      </c>
      <c r="AD1" s="103" t="s">
        <v>2252</v>
      </c>
      <c r="AE1" s="103" t="s">
        <v>2253</v>
      </c>
      <c r="AF1" s="103" t="s">
        <v>2254</v>
      </c>
      <c r="AG1" s="103" t="s">
        <v>2255</v>
      </c>
      <c r="AH1" s="103" t="s">
        <v>2256</v>
      </c>
      <c r="AI1" s="103" t="s">
        <v>2257</v>
      </c>
      <c r="AJ1" s="103" t="s">
        <v>2258</v>
      </c>
      <c r="AK1" s="103" t="s">
        <v>2259</v>
      </c>
      <c r="AL1" s="103" t="s">
        <v>2260</v>
      </c>
      <c r="AM1" s="103" t="s">
        <v>2261</v>
      </c>
      <c r="AN1" s="103" t="s">
        <v>2262</v>
      </c>
      <c r="AO1" s="103" t="s">
        <v>2263</v>
      </c>
      <c r="AP1" s="103" t="s">
        <v>2264</v>
      </c>
      <c r="AQ1" s="103" t="s">
        <v>2265</v>
      </c>
      <c r="AR1" s="103" t="s">
        <v>2266</v>
      </c>
      <c r="AS1" s="103" t="s">
        <v>2267</v>
      </c>
      <c r="AT1" s="103" t="s">
        <v>2268</v>
      </c>
      <c r="AU1" s="103" t="s">
        <v>2269</v>
      </c>
      <c r="AV1" s="103" t="s">
        <v>2270</v>
      </c>
      <c r="AW1" s="103" t="s">
        <v>2271</v>
      </c>
      <c r="AX1" s="103" t="s">
        <v>2272</v>
      </c>
      <c r="AY1" s="103" t="s">
        <v>2273</v>
      </c>
      <c r="AZ1" s="103" t="s">
        <v>2274</v>
      </c>
      <c r="BA1" s="103" t="s">
        <v>2275</v>
      </c>
      <c r="BB1" s="103" t="s">
        <v>2276</v>
      </c>
      <c r="BC1" s="103" t="s">
        <v>2277</v>
      </c>
      <c r="BD1" s="103" t="s">
        <v>2278</v>
      </c>
      <c r="BE1" s="103" t="s">
        <v>2279</v>
      </c>
      <c r="BF1" s="103" t="s">
        <v>2280</v>
      </c>
      <c r="BG1" s="103" t="s">
        <v>2281</v>
      </c>
      <c r="BH1" s="103" t="s">
        <v>2282</v>
      </c>
      <c r="BI1" s="103" t="s">
        <v>2283</v>
      </c>
      <c r="BJ1" s="103" t="s">
        <v>2284</v>
      </c>
      <c r="BK1" s="103" t="s">
        <v>2285</v>
      </c>
      <c r="BL1" s="103" t="s">
        <v>2286</v>
      </c>
      <c r="BM1" s="103" t="s">
        <v>2287</v>
      </c>
      <c r="BN1" s="103" t="s">
        <v>2288</v>
      </c>
      <c r="BO1" s="103" t="s">
        <v>2289</v>
      </c>
      <c r="BP1" s="103" t="s">
        <v>2290</v>
      </c>
      <c r="BQ1" s="103" t="s">
        <v>2291</v>
      </c>
      <c r="BR1" s="103" t="s">
        <v>2292</v>
      </c>
      <c r="BS1" s="103" t="s">
        <v>2293</v>
      </c>
      <c r="BT1" s="103" t="s">
        <v>2294</v>
      </c>
      <c r="BU1" s="103" t="s">
        <v>2295</v>
      </c>
      <c r="BV1" s="103" t="s">
        <v>2296</v>
      </c>
      <c r="BW1" s="103" t="s">
        <v>2297</v>
      </c>
      <c r="BX1" s="103" t="s">
        <v>2298</v>
      </c>
      <c r="BY1" s="103" t="s">
        <v>2299</v>
      </c>
      <c r="BZ1" s="103" t="s">
        <v>2300</v>
      </c>
      <c r="CA1" s="103" t="s">
        <v>2301</v>
      </c>
      <c r="CB1" s="103" t="s">
        <v>2302</v>
      </c>
      <c r="CC1" s="103" t="s">
        <v>2303</v>
      </c>
      <c r="CD1" s="103" t="s">
        <v>2304</v>
      </c>
      <c r="CE1" s="103" t="s">
        <v>2305</v>
      </c>
      <c r="CF1" s="103" t="s">
        <v>2306</v>
      </c>
      <c r="CG1" s="103" t="s">
        <v>2307</v>
      </c>
      <c r="CH1" s="103" t="s">
        <v>2308</v>
      </c>
      <c r="CI1" s="103" t="s">
        <v>2309</v>
      </c>
      <c r="CJ1" s="103" t="s">
        <v>2310</v>
      </c>
      <c r="CK1" s="103" t="s">
        <v>2311</v>
      </c>
      <c r="CL1" s="103" t="s">
        <v>2312</v>
      </c>
      <c r="CM1" s="103" t="s">
        <v>2313</v>
      </c>
      <c r="CN1" s="103" t="s">
        <v>2314</v>
      </c>
      <c r="CO1" s="103" t="s">
        <v>2315</v>
      </c>
      <c r="CP1" s="103" t="s">
        <v>2316</v>
      </c>
      <c r="CQ1" s="103" t="s">
        <v>2317</v>
      </c>
      <c r="CR1" s="103" t="s">
        <v>2318</v>
      </c>
      <c r="CS1" s="103" t="s">
        <v>2319</v>
      </c>
      <c r="CT1" s="103" t="s">
        <v>2320</v>
      </c>
      <c r="CU1" s="103" t="s">
        <v>2321</v>
      </c>
      <c r="CV1" s="103" t="s">
        <v>2322</v>
      </c>
      <c r="CW1" s="103" t="s">
        <v>2323</v>
      </c>
      <c r="CX1" s="103" t="s">
        <v>2324</v>
      </c>
      <c r="CY1" s="103" t="s">
        <v>2325</v>
      </c>
      <c r="CZ1" s="103" t="s">
        <v>2326</v>
      </c>
      <c r="DA1" s="103" t="s">
        <v>2327</v>
      </c>
      <c r="DB1" s="103" t="s">
        <v>2328</v>
      </c>
      <c r="DC1" s="103" t="s">
        <v>2329</v>
      </c>
      <c r="DD1" s="103" t="s">
        <v>2330</v>
      </c>
      <c r="DE1" s="103" t="s">
        <v>2331</v>
      </c>
      <c r="DF1" s="103" t="s">
        <v>2332</v>
      </c>
      <c r="DG1" s="103" t="s">
        <v>2333</v>
      </c>
      <c r="DH1" s="103" t="s">
        <v>2334</v>
      </c>
      <c r="DI1" s="103" t="s">
        <v>2335</v>
      </c>
      <c r="DJ1" s="103" t="s">
        <v>2336</v>
      </c>
      <c r="DK1" s="103" t="s">
        <v>2337</v>
      </c>
      <c r="DL1" s="103" t="s">
        <v>2338</v>
      </c>
      <c r="DM1" s="103" t="s">
        <v>2339</v>
      </c>
      <c r="DN1" s="103" t="s">
        <v>2340</v>
      </c>
      <c r="DO1" s="103" t="s">
        <v>2341</v>
      </c>
      <c r="DP1" s="103" t="s">
        <v>2342</v>
      </c>
      <c r="DQ1" s="103" t="s">
        <v>2343</v>
      </c>
      <c r="DR1" s="103" t="s">
        <v>2344</v>
      </c>
      <c r="DS1" s="103" t="s">
        <v>2345</v>
      </c>
      <c r="DT1" s="103" t="s">
        <v>2346</v>
      </c>
      <c r="DU1" s="103" t="s">
        <v>2347</v>
      </c>
      <c r="DV1" s="103" t="s">
        <v>2348</v>
      </c>
      <c r="DW1" s="103" t="s">
        <v>2349</v>
      </c>
      <c r="DX1" s="103" t="s">
        <v>2350</v>
      </c>
      <c r="DY1" s="103" t="s">
        <v>2351</v>
      </c>
      <c r="DZ1" s="103" t="s">
        <v>2352</v>
      </c>
      <c r="EA1" s="103" t="s">
        <v>2353</v>
      </c>
      <c r="EB1" s="103" t="s">
        <v>2354</v>
      </c>
      <c r="EC1" s="103" t="s">
        <v>2355</v>
      </c>
      <c r="ED1" s="103" t="s">
        <v>2356</v>
      </c>
      <c r="EE1" s="103" t="s">
        <v>2357</v>
      </c>
      <c r="EF1" s="103" t="s">
        <v>2358</v>
      </c>
      <c r="EG1" s="103" t="s">
        <v>2359</v>
      </c>
      <c r="EH1" s="103" t="s">
        <v>2360</v>
      </c>
      <c r="EI1" s="103" t="s">
        <v>2361</v>
      </c>
      <c r="EJ1" s="103" t="s">
        <v>2362</v>
      </c>
      <c r="EK1" s="103" t="s">
        <v>2363</v>
      </c>
      <c r="EL1" s="103" t="s">
        <v>2364</v>
      </c>
      <c r="EM1" s="103" t="s">
        <v>2365</v>
      </c>
      <c r="EN1" s="103" t="s">
        <v>2366</v>
      </c>
      <c r="EO1" s="103" t="s">
        <v>2367</v>
      </c>
      <c r="EP1" s="103" t="s">
        <v>2368</v>
      </c>
      <c r="EQ1" s="103" t="s">
        <v>2369</v>
      </c>
      <c r="ER1" s="103" t="s">
        <v>2370</v>
      </c>
      <c r="ES1" s="103" t="s">
        <v>2371</v>
      </c>
      <c r="ET1" s="103" t="s">
        <v>2372</v>
      </c>
      <c r="EU1" s="103" t="s">
        <v>2373</v>
      </c>
      <c r="EV1" s="103" t="s">
        <v>2374</v>
      </c>
      <c r="EW1" s="103" t="s">
        <v>2375</v>
      </c>
      <c r="EX1" s="103" t="s">
        <v>2376</v>
      </c>
      <c r="EY1" s="103" t="s">
        <v>2377</v>
      </c>
      <c r="EZ1" s="103" t="s">
        <v>2378</v>
      </c>
      <c r="FA1" s="103" t="s">
        <v>2379</v>
      </c>
      <c r="FB1" s="103" t="s">
        <v>2380</v>
      </c>
      <c r="FC1" s="103" t="s">
        <v>2381</v>
      </c>
      <c r="FD1" s="103" t="s">
        <v>2382</v>
      </c>
      <c r="FE1" s="103" t="s">
        <v>2383</v>
      </c>
      <c r="FF1" s="103" t="s">
        <v>2384</v>
      </c>
      <c r="FG1" s="103" t="s">
        <v>2385</v>
      </c>
      <c r="FH1" s="103" t="s">
        <v>2386</v>
      </c>
      <c r="FI1" s="103" t="s">
        <v>2387</v>
      </c>
      <c r="FJ1" s="103" t="s">
        <v>2388</v>
      </c>
      <c r="FK1" s="103" t="s">
        <v>2389</v>
      </c>
      <c r="FL1" s="103" t="s">
        <v>2390</v>
      </c>
      <c r="FM1" s="103" t="s">
        <v>2391</v>
      </c>
      <c r="FN1" s="103" t="s">
        <v>2392</v>
      </c>
      <c r="FO1" s="103" t="s">
        <v>2393</v>
      </c>
      <c r="FP1" s="103" t="s">
        <v>2394</v>
      </c>
      <c r="FQ1" s="103" t="s">
        <v>2395</v>
      </c>
      <c r="FR1" s="103" t="s">
        <v>2396</v>
      </c>
      <c r="FS1" s="103" t="s">
        <v>2397</v>
      </c>
      <c r="FT1" s="103" t="s">
        <v>2398</v>
      </c>
      <c r="FU1" s="103" t="s">
        <v>2399</v>
      </c>
      <c r="FV1" s="103" t="s">
        <v>2400</v>
      </c>
      <c r="FW1" s="103" t="s">
        <v>2401</v>
      </c>
      <c r="FX1" s="103" t="s">
        <v>2402</v>
      </c>
      <c r="FY1" s="103" t="s">
        <v>2403</v>
      </c>
      <c r="FZ1" s="103" t="s">
        <v>2404</v>
      </c>
      <c r="GA1" s="103" t="s">
        <v>2405</v>
      </c>
      <c r="GB1" s="103" t="s">
        <v>2406</v>
      </c>
      <c r="GC1" s="103" t="s">
        <v>2407</v>
      </c>
      <c r="GD1" s="103" t="s">
        <v>2408</v>
      </c>
      <c r="GE1" s="103" t="s">
        <v>2409</v>
      </c>
      <c r="GF1" s="103" t="s">
        <v>2410</v>
      </c>
      <c r="GG1" s="103" t="s">
        <v>2411</v>
      </c>
      <c r="GH1" s="103" t="s">
        <v>2412</v>
      </c>
      <c r="GI1" s="103" t="s">
        <v>2413</v>
      </c>
      <c r="GJ1" s="103" t="s">
        <v>2414</v>
      </c>
      <c r="GK1" s="103" t="s">
        <v>2415</v>
      </c>
      <c r="GL1" s="103" t="s">
        <v>2416</v>
      </c>
      <c r="GM1" s="103" t="s">
        <v>2417</v>
      </c>
      <c r="GN1" s="103" t="s">
        <v>2418</v>
      </c>
      <c r="GO1" s="103" t="s">
        <v>2419</v>
      </c>
      <c r="GP1" s="103" t="s">
        <v>2420</v>
      </c>
      <c r="GQ1" s="103" t="s">
        <v>2421</v>
      </c>
      <c r="GR1" s="103" t="s">
        <v>2422</v>
      </c>
      <c r="GS1" s="103" t="s">
        <v>2423</v>
      </c>
      <c r="GT1" s="103" t="s">
        <v>2424</v>
      </c>
      <c r="GU1" s="103" t="s">
        <v>2425</v>
      </c>
      <c r="GV1" s="103" t="s">
        <v>2426</v>
      </c>
      <c r="GW1" s="103" t="s">
        <v>2427</v>
      </c>
      <c r="GX1" s="103" t="s">
        <v>2428</v>
      </c>
      <c r="GY1" s="103" t="s">
        <v>2429</v>
      </c>
      <c r="GZ1" s="103" t="s">
        <v>2430</v>
      </c>
      <c r="HA1" s="103" t="s">
        <v>2431</v>
      </c>
      <c r="HB1" s="103" t="s">
        <v>2432</v>
      </c>
      <c r="HC1" s="103" t="s">
        <v>2433</v>
      </c>
      <c r="HD1" s="103" t="s">
        <v>2434</v>
      </c>
      <c r="HE1" s="103" t="s">
        <v>2435</v>
      </c>
    </row>
    <row r="2">
      <c r="A2" s="63" t="s">
        <v>2436</v>
      </c>
      <c r="B2" s="63" t="n">
        <v>1051.2</v>
      </c>
      <c r="C2" s="63" t="n">
        <v>1067.4</v>
      </c>
      <c r="D2" s="63" t="n">
        <v>1086.1</v>
      </c>
      <c r="E2" s="63" t="n">
        <v>1088.6</v>
      </c>
      <c r="F2" s="63" t="n">
        <v>1135.2</v>
      </c>
      <c r="G2" s="63" t="n">
        <v>1156.3</v>
      </c>
      <c r="H2" s="63" t="n">
        <v>1177.7</v>
      </c>
      <c r="I2" s="63" t="n">
        <v>1190.3</v>
      </c>
      <c r="J2" s="63" t="n">
        <v>1230.6</v>
      </c>
      <c r="K2" s="63" t="n">
        <v>1266.4</v>
      </c>
      <c r="L2" s="63" t="n">
        <v>1290.6</v>
      </c>
      <c r="M2" s="63" t="n">
        <v>1328.9</v>
      </c>
      <c r="N2" s="63" t="n">
        <v>1377.5</v>
      </c>
      <c r="O2" s="63" t="n">
        <v>1413.9</v>
      </c>
      <c r="P2" s="63" t="n">
        <v>1433.8</v>
      </c>
      <c r="Q2" s="63" t="n">
        <v>1476.3</v>
      </c>
      <c r="R2" s="63" t="n">
        <v>1491.2</v>
      </c>
      <c r="S2" s="63" t="n">
        <v>1530.1</v>
      </c>
      <c r="T2" s="63" t="n">
        <v>1560</v>
      </c>
      <c r="U2" s="63" t="n">
        <v>1599.7</v>
      </c>
      <c r="V2" s="63" t="n">
        <v>1616.1</v>
      </c>
      <c r="W2" s="63" t="n">
        <v>1651.9</v>
      </c>
      <c r="X2" s="63" t="n">
        <v>1709.8</v>
      </c>
      <c r="Y2" s="63" t="n">
        <v>1761.8</v>
      </c>
      <c r="Z2" s="63" t="n">
        <v>1820.5</v>
      </c>
      <c r="AA2" s="63" t="n">
        <v>1852.3</v>
      </c>
      <c r="AB2" s="63" t="n">
        <v>1886.6</v>
      </c>
      <c r="AC2" s="63" t="n">
        <v>1934.3</v>
      </c>
      <c r="AD2" s="63" t="n">
        <v>1988.6</v>
      </c>
      <c r="AE2" s="63" t="n">
        <v>2055.9</v>
      </c>
      <c r="AF2" s="63" t="n">
        <v>2118.5</v>
      </c>
      <c r="AG2" s="63" t="n">
        <v>2164.3</v>
      </c>
      <c r="AH2" s="63" t="n">
        <v>2202.8</v>
      </c>
      <c r="AI2" s="63" t="n">
        <v>2331.6</v>
      </c>
      <c r="AJ2" s="63" t="n">
        <v>2395.1</v>
      </c>
      <c r="AK2" s="63" t="n">
        <v>2476.9</v>
      </c>
      <c r="AL2" s="63" t="n">
        <v>2526.6</v>
      </c>
      <c r="AM2" s="63" t="n">
        <v>2591.2</v>
      </c>
      <c r="AN2" s="63" t="n">
        <v>2667.6</v>
      </c>
      <c r="AO2" s="63" t="n">
        <v>2723.9</v>
      </c>
      <c r="AP2" s="63" t="n">
        <v>2789.8</v>
      </c>
      <c r="AQ2" s="63" t="n">
        <v>2797.4</v>
      </c>
      <c r="AR2" s="63" t="n">
        <v>2856.5</v>
      </c>
      <c r="AS2" s="63" t="n">
        <v>2985.6</v>
      </c>
      <c r="AT2" s="63" t="n">
        <v>3124.2</v>
      </c>
      <c r="AU2" s="63" t="n">
        <v>3162.5</v>
      </c>
      <c r="AV2" s="63" t="n">
        <v>3260.6</v>
      </c>
      <c r="AW2" s="63" t="n">
        <v>3280.8</v>
      </c>
      <c r="AX2" s="63" t="n">
        <v>3274.3</v>
      </c>
      <c r="AY2" s="63" t="n">
        <v>3332</v>
      </c>
      <c r="AZ2" s="63" t="n">
        <v>3366.3</v>
      </c>
      <c r="BA2" s="63" t="n">
        <v>3402.6</v>
      </c>
      <c r="BB2" s="63" t="n">
        <v>3473.4</v>
      </c>
      <c r="BC2" s="63" t="n">
        <v>3578.8</v>
      </c>
      <c r="BD2" s="63" t="n">
        <v>3689.2</v>
      </c>
      <c r="BE2" s="63" t="n">
        <v>3794.7</v>
      </c>
      <c r="BF2" s="63" t="n">
        <v>3908.1</v>
      </c>
      <c r="BG2" s="63" t="n">
        <v>4009.6</v>
      </c>
      <c r="BH2" s="63" t="n">
        <v>4084.3</v>
      </c>
      <c r="BI2" s="63" t="n">
        <v>4148.6</v>
      </c>
      <c r="BJ2" s="63" t="n">
        <v>4230.2</v>
      </c>
      <c r="BK2" s="63" t="n">
        <v>4294.9</v>
      </c>
      <c r="BL2" s="63" t="n">
        <v>4386.8</v>
      </c>
      <c r="BM2" s="63" t="n">
        <v>4444.1</v>
      </c>
      <c r="BN2" s="63" t="n">
        <v>4507.9</v>
      </c>
      <c r="BO2" s="63" t="n">
        <v>4545.3</v>
      </c>
      <c r="BP2" s="63" t="n">
        <v>4607.7</v>
      </c>
      <c r="BQ2" s="63" t="n">
        <v>4657.6</v>
      </c>
      <c r="BR2" s="63" t="n">
        <v>4722.2</v>
      </c>
      <c r="BS2" s="63" t="n">
        <v>4806.2</v>
      </c>
      <c r="BT2" s="63" t="n">
        <v>4884.6</v>
      </c>
      <c r="BU2" s="63" t="n">
        <v>5008</v>
      </c>
      <c r="BV2" s="63" t="n">
        <v>5073.4</v>
      </c>
      <c r="BW2" s="63" t="n">
        <v>5190</v>
      </c>
      <c r="BX2" s="63" t="n">
        <v>5282.8</v>
      </c>
      <c r="BY2" s="63" t="n">
        <v>5399.5</v>
      </c>
      <c r="BZ2" s="63" t="n">
        <v>5511.3</v>
      </c>
      <c r="CA2" s="63" t="n">
        <v>5612.5</v>
      </c>
      <c r="CB2" s="63" t="n">
        <v>5695.4</v>
      </c>
      <c r="CC2" s="63" t="n">
        <v>5747.2</v>
      </c>
      <c r="CD2" s="63" t="n">
        <v>5872.7</v>
      </c>
      <c r="CE2" s="63" t="n">
        <v>5960</v>
      </c>
      <c r="CF2" s="63" t="n">
        <v>6015.1</v>
      </c>
      <c r="CG2" s="63" t="n">
        <v>6004.7</v>
      </c>
      <c r="CH2" s="63" t="n">
        <v>6035.2</v>
      </c>
      <c r="CI2" s="63" t="n">
        <v>6126.9</v>
      </c>
      <c r="CJ2" s="63" t="n">
        <v>6205.9</v>
      </c>
      <c r="CK2" s="63" t="n">
        <v>6264.5</v>
      </c>
      <c r="CL2" s="63" t="n">
        <v>6363.1</v>
      </c>
      <c r="CM2" s="63" t="n">
        <v>6470.8</v>
      </c>
      <c r="CN2" s="63" t="n">
        <v>6566.6</v>
      </c>
      <c r="CO2" s="63" t="n">
        <v>6680.8</v>
      </c>
      <c r="CP2" s="63" t="n">
        <v>6729.5</v>
      </c>
      <c r="CQ2" s="63" t="n">
        <v>6808.9</v>
      </c>
      <c r="CR2" s="63" t="n">
        <v>6882.1</v>
      </c>
      <c r="CS2" s="63" t="n">
        <v>7013.7</v>
      </c>
      <c r="CT2" s="63" t="n">
        <v>7115.7</v>
      </c>
      <c r="CU2" s="63" t="n">
        <v>7246.9</v>
      </c>
      <c r="CV2" s="63" t="n">
        <v>7331.1</v>
      </c>
      <c r="CW2" s="63" t="n">
        <v>7455.3</v>
      </c>
      <c r="CX2" s="63" t="n">
        <v>7522.3</v>
      </c>
      <c r="CY2" s="63" t="n">
        <v>7581</v>
      </c>
      <c r="CZ2" s="63" t="n">
        <v>7683.1</v>
      </c>
      <c r="DA2" s="63" t="n">
        <v>7772.6</v>
      </c>
      <c r="DB2" s="63" t="n">
        <v>7868.5</v>
      </c>
      <c r="DC2" s="63" t="n">
        <v>8032.8</v>
      </c>
      <c r="DD2" s="63" t="n">
        <v>8131.4</v>
      </c>
      <c r="DE2" s="63" t="n">
        <v>8259.8</v>
      </c>
      <c r="DF2" s="63" t="n">
        <v>8362.7</v>
      </c>
      <c r="DG2" s="63" t="n">
        <v>8518.8</v>
      </c>
      <c r="DH2" s="63" t="n">
        <v>8662.8</v>
      </c>
      <c r="DI2" s="63" t="n">
        <v>8765.9</v>
      </c>
      <c r="DJ2" s="63" t="n">
        <v>8866.5</v>
      </c>
      <c r="DK2" s="63" t="n">
        <v>8969.7</v>
      </c>
      <c r="DL2" s="63" t="n">
        <v>9121.1</v>
      </c>
      <c r="DM2" s="63" t="n">
        <v>9294</v>
      </c>
      <c r="DN2" s="63" t="n">
        <v>9411.7</v>
      </c>
      <c r="DO2" s="63" t="n">
        <v>9526.2</v>
      </c>
      <c r="DP2" s="63" t="n">
        <v>9686.6</v>
      </c>
      <c r="DQ2" s="63" t="n">
        <v>9900.2</v>
      </c>
      <c r="DR2" s="63" t="n">
        <v>10002.2</v>
      </c>
      <c r="DS2" s="63" t="n">
        <v>10247.7</v>
      </c>
      <c r="DT2" s="63" t="n">
        <v>10318.2</v>
      </c>
      <c r="DU2" s="63" t="n">
        <v>10435.7</v>
      </c>
      <c r="DV2" s="63" t="n">
        <v>10470.2</v>
      </c>
      <c r="DW2" s="63" t="n">
        <v>10599</v>
      </c>
      <c r="DX2" s="63" t="n">
        <v>10598</v>
      </c>
      <c r="DY2" s="63" t="n">
        <v>10660.5</v>
      </c>
      <c r="DZ2" s="63" t="n">
        <v>10783.5</v>
      </c>
      <c r="EA2" s="63" t="n">
        <v>10887.5</v>
      </c>
      <c r="EB2" s="63" t="n">
        <v>10984</v>
      </c>
      <c r="EC2" s="63" t="n">
        <v>11061.4</v>
      </c>
      <c r="ED2" s="63" t="n">
        <v>11174.1</v>
      </c>
      <c r="EE2" s="63" t="n">
        <v>11312.8</v>
      </c>
      <c r="EF2" s="63" t="n">
        <v>11566.7</v>
      </c>
      <c r="EG2" s="63" t="n">
        <v>11772.2</v>
      </c>
      <c r="EH2" s="63" t="n">
        <v>11923.4</v>
      </c>
      <c r="EI2" s="63" t="n">
        <v>12112.8</v>
      </c>
      <c r="EJ2" s="63" t="n">
        <v>12305.3</v>
      </c>
      <c r="EK2" s="63" t="n">
        <v>12527.2</v>
      </c>
      <c r="EL2" s="63" t="n">
        <v>12767.3</v>
      </c>
      <c r="EM2" s="63" t="n">
        <v>12922.7</v>
      </c>
      <c r="EN2" s="63" t="n">
        <v>13142.6</v>
      </c>
      <c r="EO2" s="63" t="n">
        <v>13324.2</v>
      </c>
      <c r="EP2" s="63" t="n">
        <v>13599.2</v>
      </c>
      <c r="EQ2" s="63" t="n">
        <v>13753.4</v>
      </c>
      <c r="ER2" s="63" t="n">
        <v>13870.2</v>
      </c>
      <c r="ES2" s="63" t="n">
        <v>14039.6</v>
      </c>
      <c r="ET2" s="63" t="n">
        <v>14215.7</v>
      </c>
      <c r="EU2" s="63" t="n">
        <v>14402.1</v>
      </c>
      <c r="EV2" s="63" t="n">
        <v>14564.1</v>
      </c>
      <c r="EW2" s="63" t="n">
        <v>14715.1</v>
      </c>
      <c r="EX2" s="63" t="n">
        <v>14706.5</v>
      </c>
      <c r="EY2" s="63" t="n">
        <v>14865.7</v>
      </c>
      <c r="EZ2" s="63" t="n">
        <v>14899</v>
      </c>
      <c r="FA2" s="63" t="n">
        <v>14608.2</v>
      </c>
      <c r="FB2" s="63" t="n">
        <v>14430.9</v>
      </c>
      <c r="FC2" s="63" t="n">
        <v>14381.2</v>
      </c>
      <c r="FD2" s="63" t="n">
        <v>14448.9</v>
      </c>
      <c r="FE2" s="63" t="n">
        <v>14651.2</v>
      </c>
      <c r="FF2" s="63" t="n">
        <v>14764.6</v>
      </c>
      <c r="FG2" s="63" t="n">
        <v>14980.2</v>
      </c>
      <c r="FH2" s="63" t="n">
        <v>15141.6</v>
      </c>
      <c r="FI2" s="63" t="n">
        <v>15309.5</v>
      </c>
      <c r="FJ2" s="63" t="n">
        <v>15351.4</v>
      </c>
      <c r="FK2" s="63" t="n">
        <v>15557.5</v>
      </c>
      <c r="FL2" s="63" t="n">
        <v>15647.7</v>
      </c>
      <c r="FM2" s="63" t="n">
        <v>15842.3</v>
      </c>
      <c r="FN2" s="63" t="n">
        <v>16068.8</v>
      </c>
      <c r="FO2" s="63" t="n">
        <v>16207.1</v>
      </c>
      <c r="FP2" s="63" t="n">
        <v>16319.5</v>
      </c>
      <c r="FQ2" s="63" t="n">
        <v>16420.4</v>
      </c>
      <c r="FR2" s="63" t="n">
        <v>16629.1</v>
      </c>
      <c r="FS2" s="63" t="n">
        <v>16699.6</v>
      </c>
      <c r="FT2" s="63" t="n">
        <v>16911.1</v>
      </c>
      <c r="FU2" s="63" t="n">
        <v>17133.1</v>
      </c>
      <c r="FV2" s="63" t="n">
        <v>17144.3</v>
      </c>
      <c r="FW2" s="63" t="n">
        <v>17462.7</v>
      </c>
      <c r="FX2" s="63" t="n">
        <v>17743.2</v>
      </c>
      <c r="FY2" s="63" t="n">
        <v>17852.5</v>
      </c>
      <c r="FZ2" s="63" t="n">
        <v>17991.3</v>
      </c>
      <c r="GA2" s="63" t="n">
        <v>18193.7</v>
      </c>
      <c r="GB2" s="63" t="n">
        <v>18307</v>
      </c>
      <c r="GC2" s="63" t="n">
        <v>18332.1</v>
      </c>
      <c r="GD2" s="63" t="n">
        <v>18425.3</v>
      </c>
      <c r="GE2" s="63" t="n">
        <v>18611.6</v>
      </c>
      <c r="GF2" s="63" t="n">
        <v>18775.5</v>
      </c>
      <c r="GG2" s="63" t="n">
        <v>18968</v>
      </c>
      <c r="GH2" s="63" t="n">
        <v>19148.2</v>
      </c>
      <c r="GI2" s="63" t="n">
        <v>19304.5</v>
      </c>
      <c r="GJ2" s="63" t="n">
        <v>19561.9</v>
      </c>
      <c r="GK2" s="63" t="n">
        <v>19894.8</v>
      </c>
      <c r="GL2" s="63" t="n">
        <v>20155.5</v>
      </c>
      <c r="GM2" s="63" t="n">
        <v>20470.2</v>
      </c>
      <c r="GN2" s="63" t="n">
        <v>20687.3</v>
      </c>
      <c r="GO2" s="63" t="n">
        <v>20819.3</v>
      </c>
      <c r="GP2" s="63" t="n">
        <v>21013.1</v>
      </c>
      <c r="GQ2" s="63" t="n">
        <v>21272.4</v>
      </c>
      <c r="GR2" s="63" t="n">
        <v>21531.8</v>
      </c>
      <c r="GS2" s="63" t="n">
        <v>21706.5</v>
      </c>
      <c r="GT2" s="63" t="n">
        <v>21538</v>
      </c>
      <c r="GU2" s="63" t="n">
        <v>19636.7</v>
      </c>
      <c r="GV2" s="63" t="n">
        <v>21362.4</v>
      </c>
      <c r="GW2" s="63" t="n">
        <v>21704.7</v>
      </c>
      <c r="GX2" s="63" t="n">
        <v>22313.9</v>
      </c>
      <c r="GY2" s="63" t="n">
        <v>23046.9</v>
      </c>
      <c r="GZ2" s="63" t="n">
        <v>23550.4</v>
      </c>
      <c r="HA2" s="63" t="n">
        <v>24349.1</v>
      </c>
      <c r="HB2" s="63" t="n">
        <v>24740.5</v>
      </c>
      <c r="HC2" t="n">
        <v>25248.5</v>
      </c>
      <c r="HD2" t="n">
        <v>25723.9</v>
      </c>
      <c r="HE2" t="n">
        <v>26145</v>
      </c>
    </row>
    <row r="3">
      <c r="A3" s="63" t="s">
        <v>2437</v>
      </c>
      <c r="B3" s="63" t="n">
        <v>4939.8</v>
      </c>
      <c r="C3" s="63" t="n">
        <v>4946.8</v>
      </c>
      <c r="D3" s="63" t="n">
        <v>4992.4</v>
      </c>
      <c r="E3" s="63" t="n">
        <v>4938.9</v>
      </c>
      <c r="F3" s="63" t="n">
        <v>5073</v>
      </c>
      <c r="G3" s="63" t="n">
        <v>5100.4</v>
      </c>
      <c r="H3" s="63" t="n">
        <v>5142.4</v>
      </c>
      <c r="I3" s="63" t="n">
        <v>5154.5</v>
      </c>
      <c r="J3" s="63" t="n">
        <v>5249.3</v>
      </c>
      <c r="K3" s="63" t="n">
        <v>5368.5</v>
      </c>
      <c r="L3" s="63" t="n">
        <v>5419.2</v>
      </c>
      <c r="M3" s="63" t="n">
        <v>5509.9</v>
      </c>
      <c r="N3" s="63" t="n">
        <v>5646.3</v>
      </c>
      <c r="O3" s="63" t="n">
        <v>5707.8</v>
      </c>
      <c r="P3" s="63" t="n">
        <v>5677.7</v>
      </c>
      <c r="Q3" s="63" t="n">
        <v>5731.6</v>
      </c>
      <c r="R3" s="63" t="n">
        <v>5682.4</v>
      </c>
      <c r="S3" s="63" t="n">
        <v>5695.9</v>
      </c>
      <c r="T3" s="63" t="n">
        <v>5642</v>
      </c>
      <c r="U3" s="63" t="n">
        <v>5620.1</v>
      </c>
      <c r="V3" s="63" t="n">
        <v>5551.7</v>
      </c>
      <c r="W3" s="63" t="n">
        <v>5591.4</v>
      </c>
      <c r="X3" s="63" t="n">
        <v>5687.1</v>
      </c>
      <c r="Y3" s="63" t="n">
        <v>5763.7</v>
      </c>
      <c r="Z3" s="63" t="n">
        <v>5893.3</v>
      </c>
      <c r="AA3" s="63" t="n">
        <v>5936.5</v>
      </c>
      <c r="AB3" s="63" t="n">
        <v>5969.1</v>
      </c>
      <c r="AC3" s="63" t="n">
        <v>6012.4</v>
      </c>
      <c r="AD3" s="63" t="n">
        <v>6083.4</v>
      </c>
      <c r="AE3" s="63" t="n">
        <v>6201.7</v>
      </c>
      <c r="AF3" s="63" t="n">
        <v>6313.6</v>
      </c>
      <c r="AG3" s="63" t="n">
        <v>6313.7</v>
      </c>
      <c r="AH3" s="63" t="n">
        <v>6333.8</v>
      </c>
      <c r="AI3" s="63" t="n">
        <v>6578.6</v>
      </c>
      <c r="AJ3" s="63" t="n">
        <v>6644.8</v>
      </c>
      <c r="AK3" s="63" t="n">
        <v>6734.1</v>
      </c>
      <c r="AL3" s="63" t="n">
        <v>6746.2</v>
      </c>
      <c r="AM3" s="63" t="n">
        <v>6753.4</v>
      </c>
      <c r="AN3" s="63" t="n">
        <v>6803.6</v>
      </c>
      <c r="AO3" s="63" t="n">
        <v>6820.6</v>
      </c>
      <c r="AP3" s="63" t="n">
        <v>6842</v>
      </c>
      <c r="AQ3" s="63" t="n">
        <v>6701</v>
      </c>
      <c r="AR3" s="63" t="n">
        <v>6693.1</v>
      </c>
      <c r="AS3" s="63" t="n">
        <v>6817.9</v>
      </c>
      <c r="AT3" s="63" t="n">
        <v>6951.5</v>
      </c>
      <c r="AU3" s="63" t="n">
        <v>6900</v>
      </c>
      <c r="AV3" s="63" t="n">
        <v>6982.6</v>
      </c>
      <c r="AW3" s="63" t="n">
        <v>6906.5</v>
      </c>
      <c r="AX3" s="63" t="n">
        <v>6799.2</v>
      </c>
      <c r="AY3" s="63" t="n">
        <v>6830.3</v>
      </c>
      <c r="AZ3" s="63" t="n">
        <v>6804.1</v>
      </c>
      <c r="BA3" s="63" t="n">
        <v>6806.9</v>
      </c>
      <c r="BB3" s="63" t="n">
        <v>6896.6</v>
      </c>
      <c r="BC3" s="63" t="n">
        <v>7053.5</v>
      </c>
      <c r="BD3" s="63" t="n">
        <v>7194.5</v>
      </c>
      <c r="BE3" s="63" t="n">
        <v>7344.6</v>
      </c>
      <c r="BF3" s="63" t="n">
        <v>7488.2</v>
      </c>
      <c r="BG3" s="63" t="n">
        <v>7617.5</v>
      </c>
      <c r="BH3" s="63" t="n">
        <v>7691</v>
      </c>
      <c r="BI3" s="63" t="n">
        <v>7754.1</v>
      </c>
      <c r="BJ3" s="63" t="n">
        <v>7829.3</v>
      </c>
      <c r="BK3" s="63" t="n">
        <v>7898.2</v>
      </c>
      <c r="BL3" s="63" t="n">
        <v>8018.8</v>
      </c>
      <c r="BM3" s="63" t="n">
        <v>8078.4</v>
      </c>
      <c r="BN3" s="63" t="n">
        <v>8153.8</v>
      </c>
      <c r="BO3" s="63" t="n">
        <v>8190.6</v>
      </c>
      <c r="BP3" s="63" t="n">
        <v>8268.9</v>
      </c>
      <c r="BQ3" s="63" t="n">
        <v>8313.3</v>
      </c>
      <c r="BR3" s="63" t="n">
        <v>8375.3</v>
      </c>
      <c r="BS3" s="63" t="n">
        <v>8465.6</v>
      </c>
      <c r="BT3" s="63" t="n">
        <v>8539.1</v>
      </c>
      <c r="BU3" s="63" t="n">
        <v>8685.7</v>
      </c>
      <c r="BV3" s="63" t="n">
        <v>8730.6</v>
      </c>
      <c r="BW3" s="63" t="n">
        <v>8845.3</v>
      </c>
      <c r="BX3" s="63" t="n">
        <v>8897.1</v>
      </c>
      <c r="BY3" s="63" t="n">
        <v>9015.7</v>
      </c>
      <c r="BZ3" s="63" t="n">
        <v>9107.3</v>
      </c>
      <c r="CA3" s="63" t="n">
        <v>9176.8</v>
      </c>
      <c r="CB3" s="63" t="n">
        <v>9244.8</v>
      </c>
      <c r="CC3" s="63" t="n">
        <v>9263</v>
      </c>
      <c r="CD3" s="63" t="n">
        <v>9364.3</v>
      </c>
      <c r="CE3" s="63" t="n">
        <v>9398.2</v>
      </c>
      <c r="CF3" s="63" t="n">
        <v>9404.5</v>
      </c>
      <c r="CG3" s="63" t="n">
        <v>9318.9</v>
      </c>
      <c r="CH3" s="63" t="n">
        <v>9275.3</v>
      </c>
      <c r="CI3" s="63" t="n">
        <v>9347.6</v>
      </c>
      <c r="CJ3" s="63" t="n">
        <v>9394.8</v>
      </c>
      <c r="CK3" s="63" t="n">
        <v>9427.6</v>
      </c>
      <c r="CL3" s="63" t="n">
        <v>9540.4</v>
      </c>
      <c r="CM3" s="63" t="n">
        <v>9643.9</v>
      </c>
      <c r="CN3" s="63" t="n">
        <v>9739.2</v>
      </c>
      <c r="CO3" s="63" t="n">
        <v>9840.8</v>
      </c>
      <c r="CP3" s="63" t="n">
        <v>9857.2</v>
      </c>
      <c r="CQ3" s="63" t="n">
        <v>9914.6</v>
      </c>
      <c r="CR3" s="63" t="n">
        <v>9961.9</v>
      </c>
      <c r="CS3" s="63" t="n">
        <v>10097.4</v>
      </c>
      <c r="CT3" s="63" t="n">
        <v>10195.3</v>
      </c>
      <c r="CU3" s="63" t="n">
        <v>10333.5</v>
      </c>
      <c r="CV3" s="63" t="n">
        <v>10393.9</v>
      </c>
      <c r="CW3" s="63" t="n">
        <v>10513</v>
      </c>
      <c r="CX3" s="63" t="n">
        <v>10550.3</v>
      </c>
      <c r="CY3" s="63" t="n">
        <v>10581.7</v>
      </c>
      <c r="CZ3" s="63" t="n">
        <v>10671.7</v>
      </c>
      <c r="DA3" s="63" t="n">
        <v>10744.2</v>
      </c>
      <c r="DB3" s="63" t="n">
        <v>10824.7</v>
      </c>
      <c r="DC3" s="63" t="n">
        <v>11005.2</v>
      </c>
      <c r="DD3" s="63" t="n">
        <v>11103.9</v>
      </c>
      <c r="DE3" s="63" t="n">
        <v>11219.2</v>
      </c>
      <c r="DF3" s="63" t="n">
        <v>11291.7</v>
      </c>
      <c r="DG3" s="63" t="n">
        <v>11479.3</v>
      </c>
      <c r="DH3" s="63" t="n">
        <v>11622.9</v>
      </c>
      <c r="DI3" s="63" t="n">
        <v>11722.7</v>
      </c>
      <c r="DJ3" s="63" t="n">
        <v>11839.9</v>
      </c>
      <c r="DK3" s="63" t="n">
        <v>11949.5</v>
      </c>
      <c r="DL3" s="63" t="n">
        <v>12099.2</v>
      </c>
      <c r="DM3" s="63" t="n">
        <v>12294.7</v>
      </c>
      <c r="DN3" s="63" t="n">
        <v>12410.8</v>
      </c>
      <c r="DO3" s="63" t="n">
        <v>12514.4</v>
      </c>
      <c r="DP3" s="63" t="n">
        <v>12680</v>
      </c>
      <c r="DQ3" s="63" t="n">
        <v>12888.3</v>
      </c>
      <c r="DR3" s="63" t="n">
        <v>12935.3</v>
      </c>
      <c r="DS3" s="63" t="n">
        <v>13170.7</v>
      </c>
      <c r="DT3" s="63" t="n">
        <v>13183.9</v>
      </c>
      <c r="DU3" s="63" t="n">
        <v>13262.3</v>
      </c>
      <c r="DV3" s="63" t="n">
        <v>13219.3</v>
      </c>
      <c r="DW3" s="63" t="n">
        <v>13301.4</v>
      </c>
      <c r="DX3" s="63" t="n">
        <v>13248.1</v>
      </c>
      <c r="DY3" s="63" t="n">
        <v>13284.9</v>
      </c>
      <c r="DZ3" s="63" t="n">
        <v>13394.9</v>
      </c>
      <c r="EA3" s="63" t="n">
        <v>13477.4</v>
      </c>
      <c r="EB3" s="63" t="n">
        <v>13531.7</v>
      </c>
      <c r="EC3" s="63" t="n">
        <v>13549.4</v>
      </c>
      <c r="ED3" s="63" t="n">
        <v>13619.4</v>
      </c>
      <c r="EE3" s="63" t="n">
        <v>13741.1</v>
      </c>
      <c r="EF3" s="63" t="n">
        <v>13970.2</v>
      </c>
      <c r="EG3" s="63" t="n">
        <v>14131.4</v>
      </c>
      <c r="EH3" s="63" t="n">
        <v>14212.3</v>
      </c>
      <c r="EI3" s="63" t="n">
        <v>14323</v>
      </c>
      <c r="EJ3" s="63" t="n">
        <v>14457.8</v>
      </c>
      <c r="EK3" s="63" t="n">
        <v>14605.6</v>
      </c>
      <c r="EL3" s="63" t="n">
        <v>14767.8</v>
      </c>
      <c r="EM3" s="63" t="n">
        <v>14839.7</v>
      </c>
      <c r="EN3" s="63" t="n">
        <v>14956.3</v>
      </c>
      <c r="EO3" s="63" t="n">
        <v>15041.2</v>
      </c>
      <c r="EP3" s="63" t="n">
        <v>15244.1</v>
      </c>
      <c r="EQ3" s="63" t="n">
        <v>15281.5</v>
      </c>
      <c r="ER3" s="63" t="n">
        <v>15304.5</v>
      </c>
      <c r="ES3" s="63" t="n">
        <v>15433.6</v>
      </c>
      <c r="ET3" s="63" t="n">
        <v>15479</v>
      </c>
      <c r="EU3" s="63" t="n">
        <v>15577.8</v>
      </c>
      <c r="EV3" s="63" t="n">
        <v>15671.6</v>
      </c>
      <c r="EW3" s="63" t="n">
        <v>15767.1</v>
      </c>
      <c r="EX3" s="63" t="n">
        <v>15702.9</v>
      </c>
      <c r="EY3" s="63" t="n">
        <v>15792.8</v>
      </c>
      <c r="EZ3" s="63" t="n">
        <v>15709.6</v>
      </c>
      <c r="FA3" s="63" t="n">
        <v>15366.6</v>
      </c>
      <c r="FB3" s="63" t="n">
        <v>15187.5</v>
      </c>
      <c r="FC3" s="63" t="n">
        <v>15161.8</v>
      </c>
      <c r="FD3" s="63" t="n">
        <v>15216.6</v>
      </c>
      <c r="FE3" s="63" t="n">
        <v>15379.2</v>
      </c>
      <c r="FF3" s="63" t="n">
        <v>15456.1</v>
      </c>
      <c r="FG3" s="63" t="n">
        <v>15605.6</v>
      </c>
      <c r="FH3" s="63" t="n">
        <v>15726.3</v>
      </c>
      <c r="FI3" s="63" t="n">
        <v>15808</v>
      </c>
      <c r="FJ3" s="63" t="n">
        <v>15769.9</v>
      </c>
      <c r="FK3" s="63" t="n">
        <v>15876.8</v>
      </c>
      <c r="FL3" s="63" t="n">
        <v>15870.7</v>
      </c>
      <c r="FM3" s="63" t="n">
        <v>16048.7</v>
      </c>
      <c r="FN3" s="63" t="n">
        <v>16180</v>
      </c>
      <c r="FO3" s="63" t="n">
        <v>16253.7</v>
      </c>
      <c r="FP3" s="63" t="n">
        <v>16282.2</v>
      </c>
      <c r="FQ3" s="63" t="n">
        <v>16300</v>
      </c>
      <c r="FR3" s="63" t="n">
        <v>16441.5</v>
      </c>
      <c r="FS3" s="63" t="n">
        <v>16464.4</v>
      </c>
      <c r="FT3" s="63" t="n">
        <v>16594.7</v>
      </c>
      <c r="FU3" s="63" t="n">
        <v>16712.8</v>
      </c>
      <c r="FV3" s="63" t="n">
        <v>16654.2</v>
      </c>
      <c r="FW3" s="63" t="n">
        <v>16868.1</v>
      </c>
      <c r="FX3" s="63" t="n">
        <v>17064.6</v>
      </c>
      <c r="FY3" s="63" t="n">
        <v>17141.2</v>
      </c>
      <c r="FZ3" s="63" t="n">
        <v>17280.6</v>
      </c>
      <c r="GA3" s="63" t="n">
        <v>17380.9</v>
      </c>
      <c r="GB3" s="63" t="n">
        <v>17437.1</v>
      </c>
      <c r="GC3" s="63" t="n">
        <v>17462.6</v>
      </c>
      <c r="GD3" s="63" t="n">
        <v>17565.5</v>
      </c>
      <c r="GE3" s="63" t="n">
        <v>17618.6</v>
      </c>
      <c r="GF3" s="63" t="n">
        <v>17724.5</v>
      </c>
      <c r="GG3" s="63" t="n">
        <v>17812.6</v>
      </c>
      <c r="GH3" s="63" t="n">
        <v>17889.1</v>
      </c>
      <c r="GI3" s="63" t="n">
        <v>17979.2</v>
      </c>
      <c r="GJ3" s="63" t="n">
        <v>18128</v>
      </c>
      <c r="GK3" s="63" t="n">
        <v>18310.3</v>
      </c>
      <c r="GL3" s="63" t="n">
        <v>18437.1</v>
      </c>
      <c r="GM3" s="63" t="n">
        <v>18565.7</v>
      </c>
      <c r="GN3" s="63" t="n">
        <v>18699.7</v>
      </c>
      <c r="GO3" s="63" t="n">
        <v>18733.7</v>
      </c>
      <c r="GP3" s="63" t="n">
        <v>18835.4</v>
      </c>
      <c r="GQ3" s="63" t="n">
        <v>18962.2</v>
      </c>
      <c r="GR3" s="63" t="n">
        <v>19130.9</v>
      </c>
      <c r="GS3" s="63" t="n">
        <v>19215.7</v>
      </c>
      <c r="GT3" s="63" t="n">
        <v>18989.9</v>
      </c>
      <c r="GU3" s="63" t="n">
        <v>17378.7</v>
      </c>
      <c r="GV3" s="63" t="n">
        <v>18743.7</v>
      </c>
      <c r="GW3" s="63" t="n">
        <v>18924.3</v>
      </c>
      <c r="GX3" s="63" t="n">
        <v>19216.2</v>
      </c>
      <c r="GY3" s="63" t="n">
        <v>19544.2</v>
      </c>
      <c r="GZ3" s="63" t="n">
        <v>19672.6</v>
      </c>
      <c r="HA3" s="63" t="n">
        <v>20006.2</v>
      </c>
      <c r="HB3" s="63" t="n">
        <v>19924.1</v>
      </c>
      <c r="HC3" t="n">
        <v>19895.3</v>
      </c>
      <c r="HD3" t="n">
        <v>20054.7</v>
      </c>
      <c r="HE3" t="n">
        <v>20187.5</v>
      </c>
    </row>
    <row r="4">
      <c r="A4" s="63" t="s">
        <v>2438</v>
      </c>
      <c r="B4" s="63" t="n">
        <v>21.272</v>
      </c>
      <c r="C4" s="63" t="n">
        <v>21.579</v>
      </c>
      <c r="D4" s="63" t="n">
        <v>21.756</v>
      </c>
      <c r="E4" s="63" t="n">
        <v>22.041</v>
      </c>
      <c r="F4" s="63" t="n">
        <v>22.375</v>
      </c>
      <c r="G4" s="63" t="n">
        <v>22.674</v>
      </c>
      <c r="H4" s="63" t="n">
        <v>22.903</v>
      </c>
      <c r="I4" s="63" t="n">
        <v>23.092</v>
      </c>
      <c r="J4" s="63" t="n">
        <v>23.463</v>
      </c>
      <c r="K4" s="63" t="n">
        <v>23.606</v>
      </c>
      <c r="L4" s="63" t="n">
        <v>23.82</v>
      </c>
      <c r="M4" s="63" t="n">
        <v>24.09</v>
      </c>
      <c r="N4" s="63" t="n">
        <v>24.396</v>
      </c>
      <c r="O4" s="63" t="n">
        <v>24.8</v>
      </c>
      <c r="P4" s="63" t="n">
        <v>25.273</v>
      </c>
      <c r="Q4" s="63" t="n">
        <v>25.711</v>
      </c>
      <c r="R4" s="63" t="n">
        <v>26.232</v>
      </c>
      <c r="S4" s="63" t="n">
        <v>26.815</v>
      </c>
      <c r="T4" s="63" t="n">
        <v>27.641</v>
      </c>
      <c r="U4" s="63" t="n">
        <v>28.479</v>
      </c>
      <c r="V4" s="63" t="n">
        <v>29.124</v>
      </c>
      <c r="W4" s="63" t="n">
        <v>29.546</v>
      </c>
      <c r="X4" s="63" t="n">
        <v>30.068</v>
      </c>
      <c r="Y4" s="63" t="n">
        <v>30.57</v>
      </c>
      <c r="Z4" s="63" t="n">
        <v>30.905</v>
      </c>
      <c r="AA4" s="63" t="n">
        <v>31.213</v>
      </c>
      <c r="AB4" s="63" t="n">
        <v>31.611</v>
      </c>
      <c r="AC4" s="63" t="n">
        <v>32.148</v>
      </c>
      <c r="AD4" s="63" t="n">
        <v>32.668</v>
      </c>
      <c r="AE4" s="63" t="n">
        <v>33.184</v>
      </c>
      <c r="AF4" s="63" t="n">
        <v>33.641</v>
      </c>
      <c r="AG4" s="63" t="n">
        <v>34.203</v>
      </c>
      <c r="AH4" s="63" t="n">
        <v>34.763</v>
      </c>
      <c r="AI4" s="63" t="n">
        <v>35.457</v>
      </c>
      <c r="AJ4" s="63" t="n">
        <v>36.083</v>
      </c>
      <c r="AK4" s="63" t="n">
        <v>36.796</v>
      </c>
      <c r="AL4" s="63" t="n">
        <v>37.483</v>
      </c>
      <c r="AM4" s="63" t="n">
        <v>38.388</v>
      </c>
      <c r="AN4" s="63" t="n">
        <v>39.19</v>
      </c>
      <c r="AO4" s="63" t="n">
        <v>39.905</v>
      </c>
      <c r="AP4" s="63" t="n">
        <v>40.777</v>
      </c>
      <c r="AQ4" s="63" t="n">
        <v>41.745</v>
      </c>
      <c r="AR4" s="63" t="n">
        <v>42.676</v>
      </c>
      <c r="AS4" s="63" t="n">
        <v>43.807</v>
      </c>
      <c r="AT4" s="63" t="n">
        <v>44.968</v>
      </c>
      <c r="AU4" s="63" t="n">
        <v>45.813</v>
      </c>
      <c r="AV4" s="63" t="n">
        <v>46.703</v>
      </c>
      <c r="AW4" s="63" t="n">
        <v>47.475</v>
      </c>
      <c r="AX4" s="63" t="n">
        <v>48.155</v>
      </c>
      <c r="AY4" s="63" t="n">
        <v>48.795</v>
      </c>
      <c r="AZ4" s="63" t="n">
        <v>49.472</v>
      </c>
      <c r="BA4" s="63" t="n">
        <v>49.973</v>
      </c>
      <c r="BB4" s="63" t="n">
        <v>50.372</v>
      </c>
      <c r="BC4" s="63" t="n">
        <v>50.746</v>
      </c>
      <c r="BD4" s="63" t="n">
        <v>51.285</v>
      </c>
      <c r="BE4" s="63" t="n">
        <v>51.669</v>
      </c>
      <c r="BF4" s="63" t="n">
        <v>52.178</v>
      </c>
      <c r="BG4" s="63" t="n">
        <v>52.647</v>
      </c>
      <c r="BH4" s="63" t="n">
        <v>53.122</v>
      </c>
      <c r="BI4" s="63" t="n">
        <v>53.494</v>
      </c>
      <c r="BJ4" s="63" t="n">
        <v>54.041</v>
      </c>
      <c r="BK4" s="63" t="n">
        <v>54.361</v>
      </c>
      <c r="BL4" s="63" t="n">
        <v>54.722</v>
      </c>
      <c r="BM4" s="63" t="n">
        <v>55.006</v>
      </c>
      <c r="BN4" s="63" t="n">
        <v>55.278</v>
      </c>
      <c r="BO4" s="63" t="n">
        <v>55.472</v>
      </c>
      <c r="BP4" s="63" t="n">
        <v>55.735</v>
      </c>
      <c r="BQ4" s="63" t="n">
        <v>56.066</v>
      </c>
      <c r="BR4" s="63" t="n">
        <v>56.391</v>
      </c>
      <c r="BS4" s="63" t="n">
        <v>56.774</v>
      </c>
      <c r="BT4" s="63" t="n">
        <v>57.212</v>
      </c>
      <c r="BU4" s="63" t="n">
        <v>57.641</v>
      </c>
      <c r="BV4" s="63" t="n">
        <v>58.087</v>
      </c>
      <c r="BW4" s="63" t="n">
        <v>58.667</v>
      </c>
      <c r="BX4" s="63" t="n">
        <v>59.385</v>
      </c>
      <c r="BY4" s="63" t="n">
        <v>59.932</v>
      </c>
      <c r="BZ4" s="63" t="n">
        <v>60.508</v>
      </c>
      <c r="CA4" s="63" t="n">
        <v>61.163</v>
      </c>
      <c r="CB4" s="63" t="n">
        <v>61.617</v>
      </c>
      <c r="CC4" s="63" t="n">
        <v>62.037</v>
      </c>
      <c r="CD4" s="63" t="n">
        <v>62.713</v>
      </c>
      <c r="CE4" s="63" t="n">
        <v>63.415</v>
      </c>
      <c r="CF4" s="63" t="n">
        <v>63.963</v>
      </c>
      <c r="CG4" s="63" t="n">
        <v>64.452</v>
      </c>
      <c r="CH4" s="63" t="n">
        <v>65.078</v>
      </c>
      <c r="CI4" s="63" t="n">
        <v>65.547</v>
      </c>
      <c r="CJ4" s="63" t="n">
        <v>66.05</v>
      </c>
      <c r="CK4" s="63" t="n">
        <v>66.434</v>
      </c>
      <c r="CL4" s="63" t="n">
        <v>66.7</v>
      </c>
      <c r="CM4" s="63" t="n">
        <v>67.098</v>
      </c>
      <c r="CN4" s="63" t="n">
        <v>67.419</v>
      </c>
      <c r="CO4" s="63" t="n">
        <v>67.894</v>
      </c>
      <c r="CP4" s="63" t="n">
        <v>68.298</v>
      </c>
      <c r="CQ4" s="63" t="n">
        <v>68.701</v>
      </c>
      <c r="CR4" s="63" t="n">
        <v>69.046</v>
      </c>
      <c r="CS4" s="63" t="n">
        <v>69.452</v>
      </c>
      <c r="CT4" s="63" t="n">
        <v>69.807</v>
      </c>
      <c r="CU4" s="63" t="n">
        <v>70.14</v>
      </c>
      <c r="CV4" s="63" t="n">
        <v>70.514</v>
      </c>
      <c r="CW4" s="63" t="n">
        <v>70.907</v>
      </c>
      <c r="CX4" s="63" t="n">
        <v>71.311</v>
      </c>
      <c r="CY4" s="63" t="n">
        <v>71.661</v>
      </c>
      <c r="CZ4" s="63" t="n">
        <v>71.982</v>
      </c>
      <c r="DA4" s="63" t="n">
        <v>72.322</v>
      </c>
      <c r="DB4" s="63" t="n">
        <v>72.655</v>
      </c>
      <c r="DC4" s="63" t="n">
        <v>72.952</v>
      </c>
      <c r="DD4" s="63" t="n">
        <v>73.306</v>
      </c>
      <c r="DE4" s="63" t="n">
        <v>73.616</v>
      </c>
      <c r="DF4" s="63" t="n">
        <v>73.946</v>
      </c>
      <c r="DG4" s="63" t="n">
        <v>74.314</v>
      </c>
      <c r="DH4" s="63" t="n">
        <v>74.535</v>
      </c>
      <c r="DI4" s="63" t="n">
        <v>74.802</v>
      </c>
      <c r="DJ4" s="63" t="n">
        <v>74.878</v>
      </c>
      <c r="DK4" s="63" t="n">
        <v>75.072</v>
      </c>
      <c r="DL4" s="63" t="n">
        <v>75.363</v>
      </c>
      <c r="DM4" s="63" t="n">
        <v>75.565</v>
      </c>
      <c r="DN4" s="63" t="n">
        <v>75.769</v>
      </c>
      <c r="DO4" s="63" t="n">
        <v>76.112</v>
      </c>
      <c r="DP4" s="63" t="n">
        <v>76.404</v>
      </c>
      <c r="DQ4" s="63" t="n">
        <v>76.806</v>
      </c>
      <c r="DR4" s="63" t="n">
        <v>77.318</v>
      </c>
      <c r="DS4" s="63" t="n">
        <v>77.783</v>
      </c>
      <c r="DT4" s="63" t="n">
        <v>78.27</v>
      </c>
      <c r="DU4" s="63" t="n">
        <v>78.694</v>
      </c>
      <c r="DV4" s="63" t="n">
        <v>79.233</v>
      </c>
      <c r="DW4" s="63" t="n">
        <v>79.761</v>
      </c>
      <c r="DX4" s="63" t="n">
        <v>80.003</v>
      </c>
      <c r="DY4" s="63" t="n">
        <v>80.261</v>
      </c>
      <c r="DZ4" s="63" t="n">
        <v>80.475</v>
      </c>
      <c r="EA4" s="63" t="n">
        <v>80.794</v>
      </c>
      <c r="EB4" s="63" t="n">
        <v>81.155</v>
      </c>
      <c r="EC4" s="63" t="n">
        <v>81.627</v>
      </c>
      <c r="ED4" s="63" t="n">
        <v>82.068</v>
      </c>
      <c r="EE4" s="63" t="n">
        <v>82.349</v>
      </c>
      <c r="EF4" s="63" t="n">
        <v>82.822</v>
      </c>
      <c r="EG4" s="63" t="n">
        <v>83.302</v>
      </c>
      <c r="EH4" s="63" t="n">
        <v>83.899</v>
      </c>
      <c r="EI4" s="63" t="n">
        <v>84.58</v>
      </c>
      <c r="EJ4" s="63" t="n">
        <v>85.116</v>
      </c>
      <c r="EK4" s="63" t="n">
        <v>85.772</v>
      </c>
      <c r="EL4" s="63" t="n">
        <v>86.43</v>
      </c>
      <c r="EM4" s="63" t="n">
        <v>87.062</v>
      </c>
      <c r="EN4" s="63" t="n">
        <v>87.884</v>
      </c>
      <c r="EO4" s="63" t="n">
        <v>88.584</v>
      </c>
      <c r="EP4" s="63" t="n">
        <v>89.204</v>
      </c>
      <c r="EQ4" s="63" t="n">
        <v>89.993</v>
      </c>
      <c r="ER4" s="63" t="n">
        <v>90.652</v>
      </c>
      <c r="ES4" s="63" t="n">
        <v>90.997</v>
      </c>
      <c r="ET4" s="63" t="n">
        <v>91.908</v>
      </c>
      <c r="EU4" s="63" t="n">
        <v>92.491</v>
      </c>
      <c r="EV4" s="63" t="n">
        <v>92.882</v>
      </c>
      <c r="EW4" s="63" t="n">
        <v>93.332</v>
      </c>
      <c r="EX4" s="63" t="n">
        <v>93.735</v>
      </c>
      <c r="EY4" s="63" t="n">
        <v>94.075</v>
      </c>
      <c r="EZ4" s="63" t="n">
        <v>94.804</v>
      </c>
      <c r="FA4" s="63" t="n">
        <v>94.975</v>
      </c>
      <c r="FB4" s="63" t="n">
        <v>95.001</v>
      </c>
      <c r="FC4" s="63" t="n">
        <v>94.87</v>
      </c>
      <c r="FD4" s="63" t="n">
        <v>94.928</v>
      </c>
      <c r="FE4" s="63" t="n">
        <v>95.277</v>
      </c>
      <c r="FF4" s="63" t="n">
        <v>95.518</v>
      </c>
      <c r="FG4" s="63" t="n">
        <v>95.963</v>
      </c>
      <c r="FH4" s="63" t="n">
        <v>96.312</v>
      </c>
      <c r="FI4" s="63" t="n">
        <v>96.864</v>
      </c>
      <c r="FJ4" s="63" t="n">
        <v>97.339</v>
      </c>
      <c r="FK4" s="63" t="n">
        <v>98.042</v>
      </c>
      <c r="FL4" s="63" t="n">
        <v>98.561</v>
      </c>
      <c r="FM4" s="63" t="n">
        <v>98.687</v>
      </c>
      <c r="FN4" s="63" t="n">
        <v>99.277</v>
      </c>
      <c r="FO4" s="63" t="n">
        <v>99.69</v>
      </c>
      <c r="FP4" s="63" t="n">
        <v>100.304</v>
      </c>
      <c r="FQ4" s="63" t="n">
        <v>100.73</v>
      </c>
      <c r="FR4" s="63" t="n">
        <v>101.124</v>
      </c>
      <c r="FS4" s="63" t="n">
        <v>101.428</v>
      </c>
      <c r="FT4" s="63" t="n">
        <v>101.973</v>
      </c>
      <c r="FU4" s="63" t="n">
        <v>102.55</v>
      </c>
      <c r="FV4" s="63" t="n">
        <v>102.965</v>
      </c>
      <c r="FW4" s="63" t="n">
        <v>103.552</v>
      </c>
      <c r="FX4" s="63" t="n">
        <v>104.029</v>
      </c>
      <c r="FY4" s="63" t="n">
        <v>104.104</v>
      </c>
      <c r="FZ4" s="63" t="n">
        <v>104.092</v>
      </c>
      <c r="GA4" s="63" t="n">
        <v>104.683</v>
      </c>
      <c r="GB4" s="63" t="n">
        <v>104.939</v>
      </c>
      <c r="GC4" s="63" t="n">
        <v>104.932</v>
      </c>
      <c r="GD4" s="63" t="n">
        <v>104.873</v>
      </c>
      <c r="GE4" s="63" t="n">
        <v>105.576</v>
      </c>
      <c r="GF4" s="63" t="n">
        <v>105.894</v>
      </c>
      <c r="GG4" s="63" t="n">
        <v>106.47</v>
      </c>
      <c r="GH4" s="63" t="n">
        <v>107.022</v>
      </c>
      <c r="GI4" s="63" t="n">
        <v>107.363</v>
      </c>
      <c r="GJ4" s="63" t="n">
        <v>107.948</v>
      </c>
      <c r="GK4" s="63" t="n">
        <v>108.639</v>
      </c>
      <c r="GL4" s="63" t="n">
        <v>109.365</v>
      </c>
      <c r="GM4" s="63" t="n">
        <v>110.176</v>
      </c>
      <c r="GN4" s="63" t="n">
        <v>110.68</v>
      </c>
      <c r="GO4" s="63" t="n">
        <v>111.155</v>
      </c>
      <c r="GP4" s="63" t="n">
        <v>111.56</v>
      </c>
      <c r="GQ4" s="63" t="n">
        <v>112.184</v>
      </c>
      <c r="GR4" s="63" t="n">
        <v>112.558</v>
      </c>
      <c r="GS4" s="63" t="n">
        <v>112.91</v>
      </c>
      <c r="GT4" s="63" t="n">
        <v>113.427</v>
      </c>
      <c r="GU4" s="63" t="n">
        <v>113.053</v>
      </c>
      <c r="GV4" s="63" t="n">
        <v>114.032</v>
      </c>
      <c r="GW4" s="63" t="n">
        <v>114.744</v>
      </c>
      <c r="GX4" s="63" t="n">
        <v>116.199</v>
      </c>
      <c r="GY4" s="63" t="n">
        <v>117.974</v>
      </c>
      <c r="GZ4" s="63" t="n">
        <v>119.763</v>
      </c>
      <c r="HA4" s="63" t="n">
        <v>121.758</v>
      </c>
      <c r="HB4" s="63" t="n">
        <v>124.209</v>
      </c>
      <c r="HC4" t="n">
        <v>126.914</v>
      </c>
      <c r="HD4" t="n">
        <v>128.276</v>
      </c>
      <c r="HE4" t="n">
        <v>129.502</v>
      </c>
    </row>
    <row r="5">
      <c r="A5" s="63" t="s">
        <v>2439</v>
      </c>
      <c r="B5" s="63" t="n">
        <v>631.7</v>
      </c>
      <c r="C5" s="63" t="n">
        <v>641.6</v>
      </c>
      <c r="D5" s="63" t="n">
        <v>653.5</v>
      </c>
      <c r="E5" s="63" t="n">
        <v>660.2</v>
      </c>
      <c r="F5" s="63" t="n">
        <v>679.2</v>
      </c>
      <c r="G5" s="63" t="n">
        <v>693.2</v>
      </c>
      <c r="H5" s="63" t="n">
        <v>705.6</v>
      </c>
      <c r="I5" s="63" t="n">
        <v>721.7</v>
      </c>
      <c r="J5" s="63" t="n">
        <v>738.9</v>
      </c>
      <c r="K5" s="63" t="n">
        <v>757.4</v>
      </c>
      <c r="L5" s="63" t="n">
        <v>775.8</v>
      </c>
      <c r="M5" s="63" t="n">
        <v>800.5</v>
      </c>
      <c r="N5" s="63" t="n">
        <v>825</v>
      </c>
      <c r="O5" s="63" t="n">
        <v>840.5</v>
      </c>
      <c r="P5" s="63" t="n">
        <v>858.9</v>
      </c>
      <c r="Q5" s="63" t="n">
        <v>873.9</v>
      </c>
      <c r="R5" s="63" t="n">
        <v>891.9</v>
      </c>
      <c r="S5" s="63" t="n">
        <v>920.4</v>
      </c>
      <c r="T5" s="63" t="n">
        <v>949.3</v>
      </c>
      <c r="U5" s="63" t="n">
        <v>959.1</v>
      </c>
      <c r="V5" s="63" t="n">
        <v>985.2</v>
      </c>
      <c r="W5" s="63" t="n">
        <v>1013.6</v>
      </c>
      <c r="X5" s="63" t="n">
        <v>1047.2</v>
      </c>
      <c r="Y5" s="63" t="n">
        <v>1076.2</v>
      </c>
      <c r="Z5" s="63" t="n">
        <v>1109.9</v>
      </c>
      <c r="AA5" s="63" t="n">
        <v>1129.5</v>
      </c>
      <c r="AB5" s="63" t="n">
        <v>1158.8</v>
      </c>
      <c r="AC5" s="63" t="n">
        <v>1192.4</v>
      </c>
      <c r="AD5" s="63" t="n">
        <v>1228.2</v>
      </c>
      <c r="AE5" s="63" t="n">
        <v>1256</v>
      </c>
      <c r="AF5" s="63" t="n">
        <v>1286.9</v>
      </c>
      <c r="AG5" s="63" t="n">
        <v>1324.8</v>
      </c>
      <c r="AH5" s="63" t="n">
        <v>1354.1</v>
      </c>
      <c r="AI5" s="63" t="n">
        <v>1411.4</v>
      </c>
      <c r="AJ5" s="63" t="n">
        <v>1442.2</v>
      </c>
      <c r="AK5" s="63" t="n">
        <v>1481.4</v>
      </c>
      <c r="AL5" s="63" t="n">
        <v>1517.1</v>
      </c>
      <c r="AM5" s="63" t="n">
        <v>1557.6</v>
      </c>
      <c r="AN5" s="63" t="n">
        <v>1611.9</v>
      </c>
      <c r="AO5" s="63" t="n">
        <v>1655</v>
      </c>
      <c r="AP5" s="63" t="n">
        <v>1702.3</v>
      </c>
      <c r="AQ5" s="63" t="n">
        <v>1704.7</v>
      </c>
      <c r="AR5" s="63" t="n">
        <v>1763.8</v>
      </c>
      <c r="AS5" s="63" t="n">
        <v>1831.9</v>
      </c>
      <c r="AT5" s="63" t="n">
        <v>1885.7</v>
      </c>
      <c r="AU5" s="63" t="n">
        <v>1917.5</v>
      </c>
      <c r="AV5" s="63" t="n">
        <v>1958.1</v>
      </c>
      <c r="AW5" s="63" t="n">
        <v>1974.4</v>
      </c>
      <c r="AX5" s="63" t="n">
        <v>2014.2</v>
      </c>
      <c r="AY5" s="63" t="n">
        <v>2039.6</v>
      </c>
      <c r="AZ5" s="63" t="n">
        <v>2085.7</v>
      </c>
      <c r="BA5" s="63" t="n">
        <v>2145.6</v>
      </c>
      <c r="BB5" s="63" t="n">
        <v>2184.6</v>
      </c>
      <c r="BC5" s="63" t="n">
        <v>2249.4</v>
      </c>
      <c r="BD5" s="63" t="n">
        <v>2319.9</v>
      </c>
      <c r="BE5" s="63" t="n">
        <v>2372.5</v>
      </c>
      <c r="BF5" s="63" t="n">
        <v>2418.2</v>
      </c>
      <c r="BG5" s="63" t="n">
        <v>2475.9</v>
      </c>
      <c r="BH5" s="63" t="n">
        <v>2513.5</v>
      </c>
      <c r="BI5" s="63" t="n">
        <v>2561.8</v>
      </c>
      <c r="BJ5" s="63" t="n">
        <v>2636</v>
      </c>
      <c r="BK5" s="63" t="n">
        <v>2681.8</v>
      </c>
      <c r="BL5" s="63" t="n">
        <v>2754.1</v>
      </c>
      <c r="BM5" s="63" t="n">
        <v>2779.4</v>
      </c>
      <c r="BN5" s="63" t="n">
        <v>2823.6</v>
      </c>
      <c r="BO5" s="63" t="n">
        <v>2851.5</v>
      </c>
      <c r="BP5" s="63" t="n">
        <v>2917.2</v>
      </c>
      <c r="BQ5" s="63" t="n">
        <v>2952.8</v>
      </c>
      <c r="BR5" s="63" t="n">
        <v>2983.5</v>
      </c>
      <c r="BS5" s="63" t="n">
        <v>3053.3</v>
      </c>
      <c r="BT5" s="63" t="n">
        <v>3117.4</v>
      </c>
      <c r="BU5" s="63" t="n">
        <v>3150.9</v>
      </c>
      <c r="BV5" s="63" t="n">
        <v>3231.9</v>
      </c>
      <c r="BW5" s="63" t="n">
        <v>3291.7</v>
      </c>
      <c r="BX5" s="63" t="n">
        <v>3361.9</v>
      </c>
      <c r="BY5" s="63" t="n">
        <v>3434.5</v>
      </c>
      <c r="BZ5" s="63" t="n">
        <v>3490.2</v>
      </c>
      <c r="CA5" s="63" t="n">
        <v>3553.8</v>
      </c>
      <c r="CB5" s="63" t="n">
        <v>3609.4</v>
      </c>
      <c r="CC5" s="63" t="n">
        <v>3653.7</v>
      </c>
      <c r="CD5" s="63" t="n">
        <v>3737.9</v>
      </c>
      <c r="CE5" s="63" t="n">
        <v>3783.4</v>
      </c>
      <c r="CF5" s="63" t="n">
        <v>3846.7</v>
      </c>
      <c r="CG5" s="63" t="n">
        <v>3867.9</v>
      </c>
      <c r="CH5" s="63" t="n">
        <v>3873.6</v>
      </c>
      <c r="CI5" s="63" t="n">
        <v>3926.9</v>
      </c>
      <c r="CJ5" s="63" t="n">
        <v>3973.3</v>
      </c>
      <c r="CK5" s="63" t="n">
        <v>4000</v>
      </c>
      <c r="CL5" s="63" t="n">
        <v>4100.4</v>
      </c>
      <c r="CM5" s="63" t="n">
        <v>4155.7</v>
      </c>
      <c r="CN5" s="63" t="n">
        <v>4227</v>
      </c>
      <c r="CO5" s="63" t="n">
        <v>4307.2</v>
      </c>
      <c r="CP5" s="63" t="n">
        <v>4349.5</v>
      </c>
      <c r="CQ5" s="63" t="n">
        <v>4418.6</v>
      </c>
      <c r="CR5" s="63" t="n">
        <v>4487.2</v>
      </c>
      <c r="CS5" s="63" t="n">
        <v>4552.7</v>
      </c>
      <c r="CT5" s="63" t="n">
        <v>4621.2</v>
      </c>
      <c r="CU5" s="63" t="n">
        <v>4683.2</v>
      </c>
      <c r="CV5" s="63" t="n">
        <v>4752.8</v>
      </c>
      <c r="CW5" s="63" t="n">
        <v>4826.7</v>
      </c>
      <c r="CX5" s="63" t="n">
        <v>4862.4</v>
      </c>
      <c r="CY5" s="63" t="n">
        <v>4933.6</v>
      </c>
      <c r="CZ5" s="63" t="n">
        <v>4998.7</v>
      </c>
      <c r="DA5" s="63" t="n">
        <v>5055.7</v>
      </c>
      <c r="DB5" s="63" t="n">
        <v>5130.6</v>
      </c>
      <c r="DC5" s="63" t="n">
        <v>5220.5</v>
      </c>
      <c r="DD5" s="63" t="n">
        <v>5274.5</v>
      </c>
      <c r="DE5" s="63" t="n">
        <v>5352.8</v>
      </c>
      <c r="DF5" s="63" t="n">
        <v>5433.1</v>
      </c>
      <c r="DG5" s="63" t="n">
        <v>5471.3</v>
      </c>
      <c r="DH5" s="63" t="n">
        <v>5579.2</v>
      </c>
      <c r="DI5" s="63" t="n">
        <v>5663.6</v>
      </c>
      <c r="DJ5" s="63" t="n">
        <v>5721.3</v>
      </c>
      <c r="DK5" s="63" t="n">
        <v>5832.6</v>
      </c>
      <c r="DL5" s="63" t="n">
        <v>5926.8</v>
      </c>
      <c r="DM5" s="63" t="n">
        <v>6028.2</v>
      </c>
      <c r="DN5" s="63" t="n">
        <v>6102</v>
      </c>
      <c r="DO5" s="63" t="n">
        <v>6230.6</v>
      </c>
      <c r="DP5" s="63" t="n">
        <v>6335.3</v>
      </c>
      <c r="DQ5" s="63" t="n">
        <v>6467</v>
      </c>
      <c r="DR5" s="63" t="n">
        <v>6618.2</v>
      </c>
      <c r="DS5" s="63" t="n">
        <v>6711.9</v>
      </c>
      <c r="DT5" s="63" t="n">
        <v>6820</v>
      </c>
      <c r="DU5" s="63" t="n">
        <v>6918.6</v>
      </c>
      <c r="DV5" s="63" t="n">
        <v>6995.3</v>
      </c>
      <c r="DW5" s="63" t="n">
        <v>7042.3</v>
      </c>
      <c r="DX5" s="63" t="n">
        <v>7070.3</v>
      </c>
      <c r="DY5" s="63" t="n">
        <v>7187.3</v>
      </c>
      <c r="DZ5" s="63" t="n">
        <v>7217.7</v>
      </c>
      <c r="EA5" s="63" t="n">
        <v>7308</v>
      </c>
      <c r="EB5" s="63" t="n">
        <v>7397.1</v>
      </c>
      <c r="EC5" s="63" t="n">
        <v>7473</v>
      </c>
      <c r="ED5" s="63" t="n">
        <v>7567.2</v>
      </c>
      <c r="EE5" s="63" t="n">
        <v>7661.5</v>
      </c>
      <c r="EF5" s="63" t="n">
        <v>7820.9</v>
      </c>
      <c r="EG5" s="63" t="n">
        <v>7913.5</v>
      </c>
      <c r="EH5" s="63" t="n">
        <v>8048.8</v>
      </c>
      <c r="EI5" s="63" t="n">
        <v>8147.1</v>
      </c>
      <c r="EJ5" s="63" t="n">
        <v>8283.3</v>
      </c>
      <c r="EK5" s="63" t="n">
        <v>8448.6</v>
      </c>
      <c r="EL5" s="63" t="n">
        <v>8551.7</v>
      </c>
      <c r="EM5" s="63" t="n">
        <v>8701.1</v>
      </c>
      <c r="EN5" s="63" t="n">
        <v>8868.1</v>
      </c>
      <c r="EO5" s="63" t="n">
        <v>8955.3</v>
      </c>
      <c r="EP5" s="63" t="n">
        <v>9100.2</v>
      </c>
      <c r="EQ5" s="63" t="n">
        <v>9227.6</v>
      </c>
      <c r="ER5" s="63" t="n">
        <v>9353.8</v>
      </c>
      <c r="ES5" s="63" t="n">
        <v>9427.4</v>
      </c>
      <c r="ET5" s="63" t="n">
        <v>9572.1</v>
      </c>
      <c r="EU5" s="63" t="n">
        <v>9678.7</v>
      </c>
      <c r="EV5" s="63" t="n">
        <v>9798.4</v>
      </c>
      <c r="EW5" s="63" t="n">
        <v>9937.1</v>
      </c>
      <c r="EX5" s="63" t="n">
        <v>10004.4</v>
      </c>
      <c r="EY5" s="63" t="n">
        <v>10129.9</v>
      </c>
      <c r="EZ5" s="63" t="n">
        <v>10159.1</v>
      </c>
      <c r="FA5" s="63" t="n">
        <v>9906.9</v>
      </c>
      <c r="FB5" s="63" t="n">
        <v>9815</v>
      </c>
      <c r="FC5" s="63" t="n">
        <v>9805.5</v>
      </c>
      <c r="FD5" s="63" t="n">
        <v>9939.4</v>
      </c>
      <c r="FE5" s="63" t="n">
        <v>10005</v>
      </c>
      <c r="FF5" s="63" t="n">
        <v>10101.8</v>
      </c>
      <c r="FG5" s="63" t="n">
        <v>10208.1</v>
      </c>
      <c r="FH5" s="63" t="n">
        <v>10300.8</v>
      </c>
      <c r="FI5" s="63" t="n">
        <v>10430.3</v>
      </c>
      <c r="FJ5" s="63" t="n">
        <v>10558.2</v>
      </c>
      <c r="FK5" s="63" t="n">
        <v>10673</v>
      </c>
      <c r="FL5" s="63" t="n">
        <v>10755</v>
      </c>
      <c r="FM5" s="63" t="n">
        <v>10809.2</v>
      </c>
      <c r="FN5" s="63" t="n">
        <v>10959.3</v>
      </c>
      <c r="FO5" s="63" t="n">
        <v>11005.1</v>
      </c>
      <c r="FP5" s="63" t="n">
        <v>11059.4</v>
      </c>
      <c r="FQ5" s="63" t="n">
        <v>11165.7</v>
      </c>
      <c r="FR5" s="63" t="n">
        <v>11265.6</v>
      </c>
      <c r="FS5" s="63" t="n">
        <v>11291</v>
      </c>
      <c r="FT5" s="63" t="n">
        <v>11379.2</v>
      </c>
      <c r="FU5" s="63" t="n">
        <v>11518.4</v>
      </c>
      <c r="FV5" s="63" t="n">
        <v>11618.1</v>
      </c>
      <c r="FW5" s="63" t="n">
        <v>11784.7</v>
      </c>
      <c r="FX5" s="63" t="n">
        <v>11934.3</v>
      </c>
      <c r="FY5" s="63" t="n">
        <v>12053.8</v>
      </c>
      <c r="FZ5" s="63" t="n">
        <v>12083.9</v>
      </c>
      <c r="GA5" s="63" t="n">
        <v>12224.7</v>
      </c>
      <c r="GB5" s="63" t="n">
        <v>12347.8</v>
      </c>
      <c r="GC5" s="63" t="n">
        <v>12397.5</v>
      </c>
      <c r="GD5" s="63" t="n">
        <v>12495.1</v>
      </c>
      <c r="GE5" s="63" t="n">
        <v>12637.4</v>
      </c>
      <c r="GF5" s="63" t="n">
        <v>12759.1</v>
      </c>
      <c r="GG5" s="63" t="n">
        <v>12881.6</v>
      </c>
      <c r="GH5" s="63" t="n">
        <v>13049.4</v>
      </c>
      <c r="GI5" s="63" t="n">
        <v>13134</v>
      </c>
      <c r="GJ5" s="63" t="n">
        <v>13260.3</v>
      </c>
      <c r="GK5" s="63" t="n">
        <v>13490.7</v>
      </c>
      <c r="GL5" s="63" t="n">
        <v>13677.3</v>
      </c>
      <c r="GM5" s="63" t="n">
        <v>13850.8</v>
      </c>
      <c r="GN5" s="63" t="n">
        <v>13988.8</v>
      </c>
      <c r="GO5" s="63" t="n">
        <v>14102.9</v>
      </c>
      <c r="GP5" s="63" t="n">
        <v>14145.9</v>
      </c>
      <c r="GQ5" s="63" t="n">
        <v>14323.7</v>
      </c>
      <c r="GR5" s="63" t="n">
        <v>14482.2</v>
      </c>
      <c r="GS5" s="63" t="n">
        <v>14619</v>
      </c>
      <c r="GT5" s="63" t="n">
        <v>14440.2</v>
      </c>
      <c r="GU5" s="63" t="n">
        <v>13049.8</v>
      </c>
      <c r="GV5" s="63" t="n">
        <v>14388.7</v>
      </c>
      <c r="GW5" s="63" t="n">
        <v>14586</v>
      </c>
      <c r="GX5" s="63" t="n">
        <v>15131.5</v>
      </c>
      <c r="GY5" s="63" t="n">
        <v>15813.5</v>
      </c>
      <c r="GZ5" s="63" t="n">
        <v>16147.3</v>
      </c>
      <c r="HA5" s="63" t="n">
        <v>16518</v>
      </c>
      <c r="HB5" s="63" t="n">
        <v>16874.8</v>
      </c>
      <c r="HC5" t="n">
        <v>17261.3</v>
      </c>
      <c r="HD5" t="n">
        <v>17542.7</v>
      </c>
      <c r="HE5" t="n">
        <v>17762.7</v>
      </c>
    </row>
    <row r="6">
      <c r="A6" s="63" t="s">
        <v>2440</v>
      </c>
      <c r="B6" s="63" t="n">
        <v>3071.1</v>
      </c>
      <c r="C6" s="63" t="n">
        <v>3085</v>
      </c>
      <c r="D6" s="63" t="n">
        <v>3112</v>
      </c>
      <c r="E6" s="63" t="n">
        <v>3103.6</v>
      </c>
      <c r="F6" s="63" t="n">
        <v>3163.1</v>
      </c>
      <c r="G6" s="63" t="n">
        <v>3192.2</v>
      </c>
      <c r="H6" s="63" t="n">
        <v>3217.7</v>
      </c>
      <c r="I6" s="63" t="n">
        <v>3271.1</v>
      </c>
      <c r="J6" s="63" t="n">
        <v>3314.2</v>
      </c>
      <c r="K6" s="63" t="n">
        <v>3377.3</v>
      </c>
      <c r="L6" s="63" t="n">
        <v>3429.4</v>
      </c>
      <c r="M6" s="63" t="n">
        <v>3509.8</v>
      </c>
      <c r="N6" s="63" t="n">
        <v>3573.9</v>
      </c>
      <c r="O6" s="63" t="n">
        <v>3572.3</v>
      </c>
      <c r="P6" s="63" t="n">
        <v>3584.9</v>
      </c>
      <c r="Q6" s="63" t="n">
        <v>3574.2</v>
      </c>
      <c r="R6" s="63" t="n">
        <v>3542.2</v>
      </c>
      <c r="S6" s="63" t="n">
        <v>3555</v>
      </c>
      <c r="T6" s="63" t="n">
        <v>3570.2</v>
      </c>
      <c r="U6" s="63" t="n">
        <v>3518.1</v>
      </c>
      <c r="V6" s="63" t="n">
        <v>3547.6</v>
      </c>
      <c r="W6" s="63" t="n">
        <v>3605.9</v>
      </c>
      <c r="X6" s="63" t="n">
        <v>3657.2</v>
      </c>
      <c r="Y6" s="63" t="n">
        <v>3696.5</v>
      </c>
      <c r="Z6" s="63" t="n">
        <v>3770.4</v>
      </c>
      <c r="AA6" s="63" t="n">
        <v>3805.1</v>
      </c>
      <c r="AB6" s="63" t="n">
        <v>3845.1</v>
      </c>
      <c r="AC6" s="63" t="n">
        <v>3895</v>
      </c>
      <c r="AD6" s="63" t="n">
        <v>3940.9</v>
      </c>
      <c r="AE6" s="63" t="n">
        <v>3962.3</v>
      </c>
      <c r="AF6" s="63" t="n">
        <v>3999.8</v>
      </c>
      <c r="AG6" s="63" t="n">
        <v>4059.9</v>
      </c>
      <c r="AH6" s="63" t="n">
        <v>4082.7</v>
      </c>
      <c r="AI6" s="63" t="n">
        <v>4170</v>
      </c>
      <c r="AJ6" s="63" t="n">
        <v>4187.5</v>
      </c>
      <c r="AK6" s="63" t="n">
        <v>4221.3</v>
      </c>
      <c r="AL6" s="63" t="n">
        <v>4243.2</v>
      </c>
      <c r="AM6" s="63" t="n">
        <v>4240.4</v>
      </c>
      <c r="AN6" s="63" t="n">
        <v>4281.7</v>
      </c>
      <c r="AO6" s="63" t="n">
        <v>4292.3</v>
      </c>
      <c r="AP6" s="63" t="n">
        <v>4286.2</v>
      </c>
      <c r="AQ6" s="63" t="n">
        <v>4189.7</v>
      </c>
      <c r="AR6" s="63" t="n">
        <v>4235.6</v>
      </c>
      <c r="AS6" s="63" t="n">
        <v>4292.9</v>
      </c>
      <c r="AT6" s="63" t="n">
        <v>4307.2</v>
      </c>
      <c r="AU6" s="63" t="n">
        <v>4307.6</v>
      </c>
      <c r="AV6" s="63" t="n">
        <v>4327.5</v>
      </c>
      <c r="AW6" s="63" t="n">
        <v>4297.9</v>
      </c>
      <c r="AX6" s="63" t="n">
        <v>4329.5</v>
      </c>
      <c r="AY6" s="63" t="n">
        <v>4342.7</v>
      </c>
      <c r="AZ6" s="63" t="n">
        <v>4371.8</v>
      </c>
      <c r="BA6" s="63" t="n">
        <v>4448.4</v>
      </c>
      <c r="BB6" s="63" t="n">
        <v>4492.4</v>
      </c>
      <c r="BC6" s="63" t="n">
        <v>4583.9</v>
      </c>
      <c r="BD6" s="63" t="n">
        <v>4666.1</v>
      </c>
      <c r="BE6" s="63" t="n">
        <v>4740.4</v>
      </c>
      <c r="BF6" s="63" t="n">
        <v>4779.8</v>
      </c>
      <c r="BG6" s="63" t="n">
        <v>4846.7</v>
      </c>
      <c r="BH6" s="63" t="n">
        <v>4882.7</v>
      </c>
      <c r="BI6" s="63" t="n">
        <v>4945.9</v>
      </c>
      <c r="BJ6" s="63" t="n">
        <v>5030</v>
      </c>
      <c r="BK6" s="63" t="n">
        <v>5076.1</v>
      </c>
      <c r="BL6" s="63" t="n">
        <v>5172.6</v>
      </c>
      <c r="BM6" s="63" t="n">
        <v>5183.7</v>
      </c>
      <c r="BN6" s="63" t="n">
        <v>5229</v>
      </c>
      <c r="BO6" s="63" t="n">
        <v>5286</v>
      </c>
      <c r="BP6" s="63" t="n">
        <v>5379.5</v>
      </c>
      <c r="BQ6" s="63" t="n">
        <v>5412.5</v>
      </c>
      <c r="BR6" s="63" t="n">
        <v>5417.9</v>
      </c>
      <c r="BS6" s="63" t="n">
        <v>5491.8</v>
      </c>
      <c r="BT6" s="63" t="n">
        <v>5554.5</v>
      </c>
      <c r="BU6" s="63" t="n">
        <v>5566.3</v>
      </c>
      <c r="BV6" s="63" t="n">
        <v>5664.6</v>
      </c>
      <c r="BW6" s="63" t="n">
        <v>5706.4</v>
      </c>
      <c r="BX6" s="63" t="n">
        <v>5757.1</v>
      </c>
      <c r="BY6" s="63" t="n">
        <v>5822.6</v>
      </c>
      <c r="BZ6" s="63" t="n">
        <v>5849.6</v>
      </c>
      <c r="CA6" s="63" t="n">
        <v>5876.9</v>
      </c>
      <c r="CB6" s="63" t="n">
        <v>5933.8</v>
      </c>
      <c r="CC6" s="63" t="n">
        <v>5959.6</v>
      </c>
      <c r="CD6" s="63" t="n">
        <v>6009.7</v>
      </c>
      <c r="CE6" s="63" t="n">
        <v>6028</v>
      </c>
      <c r="CF6" s="63" t="n">
        <v>6051.9</v>
      </c>
      <c r="CG6" s="63" t="n">
        <v>6005.9</v>
      </c>
      <c r="CH6" s="63" t="n">
        <v>5983.3</v>
      </c>
      <c r="CI6" s="63" t="n">
        <v>6032.9</v>
      </c>
      <c r="CJ6" s="63" t="n">
        <v>6063</v>
      </c>
      <c r="CK6" s="63" t="n">
        <v>6059.9</v>
      </c>
      <c r="CL6" s="63" t="n">
        <v>6173.4</v>
      </c>
      <c r="CM6" s="63" t="n">
        <v>6215.3</v>
      </c>
      <c r="CN6" s="63" t="n">
        <v>6281.9</v>
      </c>
      <c r="CO6" s="63" t="n">
        <v>6356.8</v>
      </c>
      <c r="CP6" s="63" t="n">
        <v>6381.2</v>
      </c>
      <c r="CQ6" s="63" t="n">
        <v>6439.2</v>
      </c>
      <c r="CR6" s="63" t="n">
        <v>6510.9</v>
      </c>
      <c r="CS6" s="63" t="n">
        <v>6568</v>
      </c>
      <c r="CT6" s="63" t="n">
        <v>6643.2</v>
      </c>
      <c r="CU6" s="63" t="n">
        <v>6694.8</v>
      </c>
      <c r="CV6" s="63" t="n">
        <v>6745.9</v>
      </c>
      <c r="CW6" s="63" t="n">
        <v>6818.8</v>
      </c>
      <c r="CX6" s="63" t="n">
        <v>6835.8</v>
      </c>
      <c r="CY6" s="63" t="n">
        <v>6895.7</v>
      </c>
      <c r="CZ6" s="63" t="n">
        <v>6958.2</v>
      </c>
      <c r="DA6" s="63" t="n">
        <v>7006.7</v>
      </c>
      <c r="DB6" s="63" t="n">
        <v>7071.4</v>
      </c>
      <c r="DC6" s="63" t="n">
        <v>7147.4</v>
      </c>
      <c r="DD6" s="63" t="n">
        <v>7190.7</v>
      </c>
      <c r="DE6" s="63" t="n">
        <v>7248</v>
      </c>
      <c r="DF6" s="63" t="n">
        <v>7324.4</v>
      </c>
      <c r="DG6" s="63" t="n">
        <v>7357.4</v>
      </c>
      <c r="DH6" s="63" t="n">
        <v>7482.7</v>
      </c>
      <c r="DI6" s="63" t="n">
        <v>7572.1</v>
      </c>
      <c r="DJ6" s="63" t="n">
        <v>7648.7</v>
      </c>
      <c r="DK6" s="63" t="n">
        <v>7783.4</v>
      </c>
      <c r="DL6" s="63" t="n">
        <v>7884.9</v>
      </c>
      <c r="DM6" s="63" t="n">
        <v>7998.8</v>
      </c>
      <c r="DN6" s="63" t="n">
        <v>8081</v>
      </c>
      <c r="DO6" s="63" t="n">
        <v>8204.8</v>
      </c>
      <c r="DP6" s="63" t="n">
        <v>8297</v>
      </c>
      <c r="DQ6" s="63" t="n">
        <v>8418.3</v>
      </c>
      <c r="DR6" s="63" t="n">
        <v>8545.6</v>
      </c>
      <c r="DS6" s="63" t="n">
        <v>8625.4</v>
      </c>
      <c r="DT6" s="63" t="n">
        <v>8708.1</v>
      </c>
      <c r="DU6" s="63" t="n">
        <v>8784.2</v>
      </c>
      <c r="DV6" s="63" t="n">
        <v>8816</v>
      </c>
      <c r="DW6" s="63" t="n">
        <v>8833.7</v>
      </c>
      <c r="DX6" s="63" t="n">
        <v>8864.5</v>
      </c>
      <c r="DY6" s="63" t="n">
        <v>9007.5</v>
      </c>
      <c r="DZ6" s="63" t="n">
        <v>9027.5</v>
      </c>
      <c r="EA6" s="63" t="n">
        <v>9073.2</v>
      </c>
      <c r="EB6" s="63" t="n">
        <v>9136.7</v>
      </c>
      <c r="EC6" s="63" t="n">
        <v>9187.5</v>
      </c>
      <c r="ED6" s="63" t="n">
        <v>9232.8</v>
      </c>
      <c r="EE6" s="63" t="n">
        <v>9338.5</v>
      </c>
      <c r="EF6" s="63" t="n">
        <v>9470.5</v>
      </c>
      <c r="EG6" s="63" t="n">
        <v>9535.7</v>
      </c>
      <c r="EH6" s="63" t="n">
        <v>9624.6</v>
      </c>
      <c r="EI6" s="63" t="n">
        <v>9677.2</v>
      </c>
      <c r="EJ6" s="63" t="n">
        <v>9790.8</v>
      </c>
      <c r="EK6" s="63" t="n">
        <v>9901.6</v>
      </c>
      <c r="EL6" s="63" t="n">
        <v>9964.5</v>
      </c>
      <c r="EM6" s="63" t="n">
        <v>10074.9</v>
      </c>
      <c r="EN6" s="63" t="n">
        <v>10158.5</v>
      </c>
      <c r="EO6" s="63" t="n">
        <v>10177.2</v>
      </c>
      <c r="EP6" s="63" t="n">
        <v>10288.2</v>
      </c>
      <c r="EQ6" s="63" t="n">
        <v>10341.6</v>
      </c>
      <c r="ER6" s="63" t="n">
        <v>10408</v>
      </c>
      <c r="ES6" s="63" t="n">
        <v>10507.2</v>
      </c>
      <c r="ET6" s="63" t="n">
        <v>10572.1</v>
      </c>
      <c r="EU6" s="63" t="n">
        <v>10599.8</v>
      </c>
      <c r="EV6" s="63" t="n">
        <v>10670.5</v>
      </c>
      <c r="EW6" s="63" t="n">
        <v>10712.6</v>
      </c>
      <c r="EX6" s="63" t="n">
        <v>10697.9</v>
      </c>
      <c r="EY6" s="63" t="n">
        <v>10727.3</v>
      </c>
      <c r="EZ6" s="63" t="n">
        <v>10644.7</v>
      </c>
      <c r="FA6" s="63" t="n">
        <v>10548.9</v>
      </c>
      <c r="FB6" s="63" t="n">
        <v>10522.1</v>
      </c>
      <c r="FC6" s="63" t="n">
        <v>10470.4</v>
      </c>
      <c r="FD6" s="63" t="n">
        <v>10540.8</v>
      </c>
      <c r="FE6" s="63" t="n">
        <v>10529.2</v>
      </c>
      <c r="FF6" s="63" t="n">
        <v>10590.2</v>
      </c>
      <c r="FG6" s="63" t="n">
        <v>10685.1</v>
      </c>
      <c r="FH6" s="63" t="n">
        <v>10761.4</v>
      </c>
      <c r="FI6" s="63" t="n">
        <v>10827.3</v>
      </c>
      <c r="FJ6" s="63" t="n">
        <v>10868.7</v>
      </c>
      <c r="FK6" s="63" t="n">
        <v>10879.9</v>
      </c>
      <c r="FL6" s="63" t="n">
        <v>10913</v>
      </c>
      <c r="FM6" s="63" t="n">
        <v>10931.8</v>
      </c>
      <c r="FN6" s="63" t="n">
        <v>11010.7</v>
      </c>
      <c r="FO6" s="63" t="n">
        <v>11030</v>
      </c>
      <c r="FP6" s="63" t="n">
        <v>11052.4</v>
      </c>
      <c r="FQ6" s="63" t="n">
        <v>11096.4</v>
      </c>
      <c r="FR6" s="63" t="n">
        <v>11155.5</v>
      </c>
      <c r="FS6" s="63" t="n">
        <v>11172.6</v>
      </c>
      <c r="FT6" s="63" t="n">
        <v>11214.4</v>
      </c>
      <c r="FU6" s="63" t="n">
        <v>11304.3</v>
      </c>
      <c r="FV6" s="63" t="n">
        <v>11347.6</v>
      </c>
      <c r="FW6" s="63" t="n">
        <v>11453</v>
      </c>
      <c r="FX6" s="63" t="n">
        <v>11565.7</v>
      </c>
      <c r="FY6" s="63" t="n">
        <v>11694.9</v>
      </c>
      <c r="FZ6" s="63" t="n">
        <v>11772.9</v>
      </c>
      <c r="GA6" s="63" t="n">
        <v>11852.7</v>
      </c>
      <c r="GB6" s="63" t="n">
        <v>11943</v>
      </c>
      <c r="GC6" s="63" t="n">
        <v>12003.1</v>
      </c>
      <c r="GD6" s="63" t="n">
        <v>12091.2</v>
      </c>
      <c r="GE6" s="63" t="n">
        <v>12152.6</v>
      </c>
      <c r="GF6" s="63" t="n">
        <v>12223.8</v>
      </c>
      <c r="GG6" s="63" t="n">
        <v>12283.1</v>
      </c>
      <c r="GH6" s="63" t="n">
        <v>12369.9</v>
      </c>
      <c r="GI6" s="63" t="n">
        <v>12419.4</v>
      </c>
      <c r="GJ6" s="63" t="n">
        <v>12493.5</v>
      </c>
      <c r="GK6" s="63" t="n">
        <v>12630.1</v>
      </c>
      <c r="GL6" s="63" t="n">
        <v>12713.2</v>
      </c>
      <c r="GM6" s="63" t="n">
        <v>12805.6</v>
      </c>
      <c r="GN6" s="63" t="n">
        <v>12887.1</v>
      </c>
      <c r="GO6" s="63" t="n">
        <v>12943.4</v>
      </c>
      <c r="GP6" s="63" t="n">
        <v>12955.7</v>
      </c>
      <c r="GQ6" s="63" t="n">
        <v>13038.9</v>
      </c>
      <c r="GR6" s="63" t="n">
        <v>13148.9</v>
      </c>
      <c r="GS6" s="63" t="n">
        <v>13225.6</v>
      </c>
      <c r="GT6" s="63" t="n">
        <v>13016.8</v>
      </c>
      <c r="GU6" s="63" t="n">
        <v>11817.1</v>
      </c>
      <c r="GV6" s="63" t="n">
        <v>12922.4</v>
      </c>
      <c r="GW6" s="63" t="n">
        <v>13046.6</v>
      </c>
      <c r="GX6" s="63" t="n">
        <v>13386.8</v>
      </c>
      <c r="GY6" s="63" t="n">
        <v>13773.7</v>
      </c>
      <c r="GZ6" s="63" t="n">
        <v>13874.4</v>
      </c>
      <c r="HA6" s="63" t="n">
        <v>13981.5</v>
      </c>
      <c r="HB6" s="63" t="n">
        <v>14028.4</v>
      </c>
      <c r="HC6" t="n">
        <v>14099.5</v>
      </c>
      <c r="HD6" t="n">
        <v>14178.6</v>
      </c>
      <c r="HE6" t="n">
        <v>14226.8</v>
      </c>
    </row>
    <row r="7">
      <c r="A7" s="63" t="s">
        <v>2441</v>
      </c>
      <c r="B7" s="63" t="n">
        <v>20.57</v>
      </c>
      <c r="C7" s="63" t="n">
        <v>20.798</v>
      </c>
      <c r="D7" s="63" t="n">
        <v>21</v>
      </c>
      <c r="E7" s="63" t="n">
        <v>21.272</v>
      </c>
      <c r="F7" s="63" t="n">
        <v>21.474</v>
      </c>
      <c r="G7" s="63" t="n">
        <v>21.718</v>
      </c>
      <c r="H7" s="63" t="n">
        <v>21.932</v>
      </c>
      <c r="I7" s="63" t="n">
        <v>22.068</v>
      </c>
      <c r="J7" s="63" t="n">
        <v>22.301</v>
      </c>
      <c r="K7" s="63" t="n">
        <v>22.429</v>
      </c>
      <c r="L7" s="63" t="n">
        <v>22.626</v>
      </c>
      <c r="M7" s="63" t="n">
        <v>22.811</v>
      </c>
      <c r="N7" s="63" t="n">
        <v>23.086</v>
      </c>
      <c r="O7" s="63" t="n">
        <v>23.53</v>
      </c>
      <c r="P7" s="63" t="n">
        <v>23.958</v>
      </c>
      <c r="Q7" s="63" t="n">
        <v>24.448</v>
      </c>
      <c r="R7" s="63" t="n">
        <v>25.176</v>
      </c>
      <c r="S7" s="63" t="n">
        <v>25.889</v>
      </c>
      <c r="T7" s="63" t="n">
        <v>26.587</v>
      </c>
      <c r="U7" s="63" t="n">
        <v>27.263</v>
      </c>
      <c r="V7" s="63" t="n">
        <v>27.776</v>
      </c>
      <c r="W7" s="63" t="n">
        <v>28.117</v>
      </c>
      <c r="X7" s="63" t="n">
        <v>28.643</v>
      </c>
      <c r="Y7" s="63" t="n">
        <v>29.124</v>
      </c>
      <c r="Z7" s="63" t="n">
        <v>29.444</v>
      </c>
      <c r="AA7" s="63" t="n">
        <v>29.691</v>
      </c>
      <c r="AB7" s="63" t="n">
        <v>30.142</v>
      </c>
      <c r="AC7" s="63" t="n">
        <v>30.618</v>
      </c>
      <c r="AD7" s="63" t="n">
        <v>31.17</v>
      </c>
      <c r="AE7" s="63" t="n">
        <v>31.704</v>
      </c>
      <c r="AF7" s="63" t="n">
        <v>32.181</v>
      </c>
      <c r="AG7" s="63" t="n">
        <v>32.638</v>
      </c>
      <c r="AH7" s="63" t="n">
        <v>33.174</v>
      </c>
      <c r="AI7" s="63" t="n">
        <v>33.855</v>
      </c>
      <c r="AJ7" s="63" t="n">
        <v>34.449</v>
      </c>
      <c r="AK7" s="63" t="n">
        <v>35.1</v>
      </c>
      <c r="AL7" s="63" t="n">
        <v>35.762</v>
      </c>
      <c r="AM7" s="63" t="n">
        <v>36.739</v>
      </c>
      <c r="AN7" s="63" t="n">
        <v>37.65</v>
      </c>
      <c r="AO7" s="63" t="n">
        <v>38.562</v>
      </c>
      <c r="AP7" s="63" t="n">
        <v>39.719</v>
      </c>
      <c r="AQ7" s="63" t="n">
        <v>40.691</v>
      </c>
      <c r="AR7" s="63" t="n">
        <v>41.643</v>
      </c>
      <c r="AS7" s="63" t="n">
        <v>42.673</v>
      </c>
      <c r="AT7" s="63" t="n">
        <v>43.78</v>
      </c>
      <c r="AU7" s="63" t="n">
        <v>44.515</v>
      </c>
      <c r="AV7" s="63" t="n">
        <v>45.248</v>
      </c>
      <c r="AW7" s="63" t="n">
        <v>45.941</v>
      </c>
      <c r="AX7" s="63" t="n">
        <v>46.525</v>
      </c>
      <c r="AY7" s="63" t="n">
        <v>46.973</v>
      </c>
      <c r="AZ7" s="63" t="n">
        <v>47.715</v>
      </c>
      <c r="BA7" s="63" t="n">
        <v>48.241</v>
      </c>
      <c r="BB7" s="63" t="n">
        <v>48.64</v>
      </c>
      <c r="BC7" s="63" t="n">
        <v>49.085</v>
      </c>
      <c r="BD7" s="63" t="n">
        <v>49.73</v>
      </c>
      <c r="BE7" s="63" t="n">
        <v>50.058</v>
      </c>
      <c r="BF7" s="63" t="n">
        <v>50.599</v>
      </c>
      <c r="BG7" s="63" t="n">
        <v>51.089</v>
      </c>
      <c r="BH7" s="63" t="n">
        <v>51.483</v>
      </c>
      <c r="BI7" s="63" t="n">
        <v>51.801</v>
      </c>
      <c r="BJ7" s="63" t="n">
        <v>52.412</v>
      </c>
      <c r="BK7" s="63" t="n">
        <v>52.837</v>
      </c>
      <c r="BL7" s="63" t="n">
        <v>53.251</v>
      </c>
      <c r="BM7" s="63" t="n">
        <v>53.623</v>
      </c>
      <c r="BN7" s="63" t="n">
        <v>54.003</v>
      </c>
      <c r="BO7" s="63" t="n">
        <v>53.946</v>
      </c>
      <c r="BP7" s="63" t="n">
        <v>54.23</v>
      </c>
      <c r="BQ7" s="63" t="n">
        <v>54.558</v>
      </c>
      <c r="BR7" s="63" t="n">
        <v>55.072</v>
      </c>
      <c r="BS7" s="63" t="n">
        <v>55.603</v>
      </c>
      <c r="BT7" s="63" t="n">
        <v>56.13</v>
      </c>
      <c r="BU7" s="63" t="n">
        <v>56.615</v>
      </c>
      <c r="BV7" s="63" t="n">
        <v>57.062</v>
      </c>
      <c r="BW7" s="63" t="n">
        <v>57.692</v>
      </c>
      <c r="BX7" s="63" t="n">
        <v>58.403</v>
      </c>
      <c r="BY7" s="63" t="n">
        <v>58.993</v>
      </c>
      <c r="BZ7" s="63" t="n">
        <v>59.671</v>
      </c>
      <c r="CA7" s="63" t="n">
        <v>60.475</v>
      </c>
      <c r="CB7" s="63" t="n">
        <v>60.832</v>
      </c>
      <c r="CC7" s="63" t="n">
        <v>61.31</v>
      </c>
      <c r="CD7" s="63" t="n">
        <v>62.199</v>
      </c>
      <c r="CE7" s="63" t="n">
        <v>62.764</v>
      </c>
      <c r="CF7" s="63" t="n">
        <v>63.561</v>
      </c>
      <c r="CG7" s="63" t="n">
        <v>64.402</v>
      </c>
      <c r="CH7" s="63" t="n">
        <v>64.74</v>
      </c>
      <c r="CI7" s="63" t="n">
        <v>65.094</v>
      </c>
      <c r="CJ7" s="63" t="n">
        <v>65.536</v>
      </c>
      <c r="CK7" s="63" t="n">
        <v>66.012</v>
      </c>
      <c r="CL7" s="63" t="n">
        <v>66.425</v>
      </c>
      <c r="CM7" s="63" t="n">
        <v>66.867</v>
      </c>
      <c r="CN7" s="63" t="n">
        <v>67.294</v>
      </c>
      <c r="CO7" s="63" t="n">
        <v>67.763</v>
      </c>
      <c r="CP7" s="63" t="n">
        <v>68.167</v>
      </c>
      <c r="CQ7" s="63" t="n">
        <v>68.624</v>
      </c>
      <c r="CR7" s="63" t="n">
        <v>68.923</v>
      </c>
      <c r="CS7" s="63" t="n">
        <v>69.32</v>
      </c>
      <c r="CT7" s="63" t="n">
        <v>69.568</v>
      </c>
      <c r="CU7" s="63" t="n">
        <v>69.956</v>
      </c>
      <c r="CV7" s="63" t="n">
        <v>70.459</v>
      </c>
      <c r="CW7" s="63" t="n">
        <v>70.789</v>
      </c>
      <c r="CX7" s="63" t="n">
        <v>71.136</v>
      </c>
      <c r="CY7" s="63" t="n">
        <v>71.549</v>
      </c>
      <c r="CZ7" s="63" t="n">
        <v>71.842</v>
      </c>
      <c r="DA7" s="63" t="n">
        <v>72.158</v>
      </c>
      <c r="DB7" s="63" t="n">
        <v>72.559</v>
      </c>
      <c r="DC7" s="63" t="n">
        <v>73.044</v>
      </c>
      <c r="DD7" s="63" t="n">
        <v>73.356</v>
      </c>
      <c r="DE7" s="63" t="n">
        <v>73.856</v>
      </c>
      <c r="DF7" s="63" t="n">
        <v>74.182</v>
      </c>
      <c r="DG7" s="63" t="n">
        <v>74.368</v>
      </c>
      <c r="DH7" s="63" t="n">
        <v>74.564</v>
      </c>
      <c r="DI7" s="63" t="n">
        <v>74.798</v>
      </c>
      <c r="DJ7" s="63" t="n">
        <v>74.804</v>
      </c>
      <c r="DK7" s="63" t="n">
        <v>74.939</v>
      </c>
      <c r="DL7" s="63" t="n">
        <v>75.17</v>
      </c>
      <c r="DM7" s="63" t="n">
        <v>75.369</v>
      </c>
      <c r="DN7" s="63" t="n">
        <v>75.517</v>
      </c>
      <c r="DO7" s="63" t="n">
        <v>75.947</v>
      </c>
      <c r="DP7" s="63" t="n">
        <v>76.365</v>
      </c>
      <c r="DQ7" s="63" t="n">
        <v>76.828</v>
      </c>
      <c r="DR7" s="63" t="n">
        <v>77.452</v>
      </c>
      <c r="DS7" s="63" t="n">
        <v>77.821</v>
      </c>
      <c r="DT7" s="63" t="n">
        <v>78.323</v>
      </c>
      <c r="DU7" s="63" t="n">
        <v>78.766</v>
      </c>
      <c r="DV7" s="63" t="n">
        <v>79.349</v>
      </c>
      <c r="DW7" s="63" t="n">
        <v>79.721</v>
      </c>
      <c r="DX7" s="63" t="n">
        <v>79.761</v>
      </c>
      <c r="DY7" s="63" t="n">
        <v>79.794</v>
      </c>
      <c r="DZ7" s="63" t="n">
        <v>79.954</v>
      </c>
      <c r="EA7" s="63" t="n">
        <v>80.547</v>
      </c>
      <c r="EB7" s="63" t="n">
        <v>80.964</v>
      </c>
      <c r="EC7" s="63" t="n">
        <v>81.342</v>
      </c>
      <c r="ED7" s="63" t="n">
        <v>81.964</v>
      </c>
      <c r="EE7" s="63" t="n">
        <v>82.046</v>
      </c>
      <c r="EF7" s="63" t="n">
        <v>82.587</v>
      </c>
      <c r="EG7" s="63" t="n">
        <v>82.993</v>
      </c>
      <c r="EH7" s="63" t="n">
        <v>83.633</v>
      </c>
      <c r="EI7" s="63" t="n">
        <v>84.196</v>
      </c>
      <c r="EJ7" s="63" t="n">
        <v>84.61</v>
      </c>
      <c r="EK7" s="63" t="n">
        <v>85.333</v>
      </c>
      <c r="EL7" s="63" t="n">
        <v>85.829</v>
      </c>
      <c r="EM7" s="63" t="n">
        <v>86.371</v>
      </c>
      <c r="EN7" s="63" t="n">
        <v>87.304</v>
      </c>
      <c r="EO7" s="63" t="n">
        <v>87.999</v>
      </c>
      <c r="EP7" s="63" t="n">
        <v>88.456</v>
      </c>
      <c r="EQ7" s="63" t="n">
        <v>89.232</v>
      </c>
      <c r="ER7" s="63" t="n">
        <v>89.874</v>
      </c>
      <c r="ES7" s="63" t="n">
        <v>89.726</v>
      </c>
      <c r="ET7" s="63" t="n">
        <v>90.546</v>
      </c>
      <c r="EU7" s="63" t="n">
        <v>91.315</v>
      </c>
      <c r="EV7" s="63" t="n">
        <v>91.831</v>
      </c>
      <c r="EW7" s="63" t="n">
        <v>92.765</v>
      </c>
      <c r="EX7" s="63" t="n">
        <v>93.52</v>
      </c>
      <c r="EY7" s="63" t="n">
        <v>94.43</v>
      </c>
      <c r="EZ7" s="63" t="n">
        <v>95.438</v>
      </c>
      <c r="FA7" s="63" t="n">
        <v>93.914</v>
      </c>
      <c r="FB7" s="63" t="n">
        <v>93.28</v>
      </c>
      <c r="FC7" s="63" t="n">
        <v>93.651</v>
      </c>
      <c r="FD7" s="63" t="n">
        <v>94.296</v>
      </c>
      <c r="FE7" s="63" t="n">
        <v>95.024</v>
      </c>
      <c r="FF7" s="63" t="n">
        <v>95.391</v>
      </c>
      <c r="FG7" s="63" t="n">
        <v>95.539</v>
      </c>
      <c r="FH7" s="63" t="n">
        <v>95.723</v>
      </c>
      <c r="FI7" s="63" t="n">
        <v>96.336</v>
      </c>
      <c r="FJ7" s="63" t="n">
        <v>97.145</v>
      </c>
      <c r="FK7" s="63" t="n">
        <v>98.1</v>
      </c>
      <c r="FL7" s="63" t="n">
        <v>98.554</v>
      </c>
      <c r="FM7" s="63" t="n">
        <v>98.879</v>
      </c>
      <c r="FN7" s="63" t="n">
        <v>99.534</v>
      </c>
      <c r="FO7" s="63" t="n">
        <v>99.775</v>
      </c>
      <c r="FP7" s="63" t="n">
        <v>100.065</v>
      </c>
      <c r="FQ7" s="63" t="n">
        <v>100.626</v>
      </c>
      <c r="FR7" s="63" t="n">
        <v>100.989</v>
      </c>
      <c r="FS7" s="63" t="n">
        <v>101.061</v>
      </c>
      <c r="FT7" s="63" t="n">
        <v>101.471</v>
      </c>
      <c r="FU7" s="63" t="n">
        <v>101.896</v>
      </c>
      <c r="FV7" s="63" t="n">
        <v>102.386</v>
      </c>
      <c r="FW7" s="63" t="n">
        <v>102.899</v>
      </c>
      <c r="FX7" s="63" t="n">
        <v>103.19</v>
      </c>
      <c r="FY7" s="63" t="n">
        <v>103.071</v>
      </c>
      <c r="FZ7" s="63" t="n">
        <v>102.643</v>
      </c>
      <c r="GA7" s="63" t="n">
        <v>103.141</v>
      </c>
      <c r="GB7" s="63" t="n">
        <v>103.39</v>
      </c>
      <c r="GC7" s="63" t="n">
        <v>103.288</v>
      </c>
      <c r="GD7" s="63" t="n">
        <v>103.343</v>
      </c>
      <c r="GE7" s="63" t="n">
        <v>103.992</v>
      </c>
      <c r="GF7" s="63" t="n">
        <v>104.382</v>
      </c>
      <c r="GG7" s="63" t="n">
        <v>104.876</v>
      </c>
      <c r="GH7" s="63" t="n">
        <v>105.497</v>
      </c>
      <c r="GI7" s="63" t="n">
        <v>105.758</v>
      </c>
      <c r="GJ7" s="63" t="n">
        <v>106.142</v>
      </c>
      <c r="GK7" s="63" t="n">
        <v>106.818</v>
      </c>
      <c r="GL7" s="63" t="n">
        <v>107.588</v>
      </c>
      <c r="GM7" s="63" t="n">
        <v>108.166</v>
      </c>
      <c r="GN7" s="63" t="n">
        <v>108.552</v>
      </c>
      <c r="GO7" s="63" t="n">
        <v>108.961</v>
      </c>
      <c r="GP7" s="63" t="n">
        <v>109.188</v>
      </c>
      <c r="GQ7" s="63" t="n">
        <v>109.857</v>
      </c>
      <c r="GR7" s="63" t="n">
        <v>110.144</v>
      </c>
      <c r="GS7" s="63" t="n">
        <v>110.543</v>
      </c>
      <c r="GT7" s="63" t="n">
        <v>110.946</v>
      </c>
      <c r="GU7" s="63" t="n">
        <v>110.445</v>
      </c>
      <c r="GV7" s="63" t="n">
        <v>111.366</v>
      </c>
      <c r="GW7" s="63" t="n">
        <v>111.821</v>
      </c>
      <c r="GX7" s="63" t="n">
        <v>113.059</v>
      </c>
      <c r="GY7" s="63" t="n">
        <v>114.838</v>
      </c>
      <c r="GZ7" s="63" t="n">
        <v>116.413</v>
      </c>
      <c r="HA7" s="63" t="n">
        <v>118.173</v>
      </c>
      <c r="HB7" s="63" t="n">
        <v>120.323</v>
      </c>
      <c r="HC7" t="n">
        <v>122.459</v>
      </c>
      <c r="HD7" t="n">
        <v>123.76</v>
      </c>
      <c r="HE7" t="n">
        <v>124.888</v>
      </c>
    </row>
    <row r="8">
      <c r="A8" s="63" t="s">
        <v>2442</v>
      </c>
      <c r="B8" s="63" t="n">
        <v>18.704</v>
      </c>
      <c r="C8" s="63" t="n">
        <v>18.951</v>
      </c>
      <c r="D8" s="63" t="n">
        <v>19.274</v>
      </c>
      <c r="E8" s="63" t="n">
        <v>19.519</v>
      </c>
      <c r="F8" s="63" t="n">
        <v>20.137</v>
      </c>
      <c r="G8" s="63" t="n">
        <v>20.513</v>
      </c>
      <c r="H8" s="63" t="n">
        <v>20.81</v>
      </c>
      <c r="I8" s="63" t="n">
        <v>21.233</v>
      </c>
      <c r="J8" s="63" t="n">
        <v>22.107</v>
      </c>
      <c r="K8" s="63" t="n">
        <v>22.33</v>
      </c>
      <c r="L8" s="63" t="n">
        <v>22.513</v>
      </c>
      <c r="M8" s="63" t="n">
        <v>23.003</v>
      </c>
      <c r="N8" s="63" t="n">
        <v>23.373</v>
      </c>
      <c r="O8" s="63" t="n">
        <v>23.78</v>
      </c>
      <c r="P8" s="63" t="n">
        <v>24.272</v>
      </c>
      <c r="Q8" s="63" t="n">
        <v>24.791</v>
      </c>
      <c r="R8" s="63" t="n">
        <v>25.045</v>
      </c>
      <c r="S8" s="63" t="n">
        <v>25.498</v>
      </c>
      <c r="T8" s="63" t="n">
        <v>26.242</v>
      </c>
      <c r="U8" s="63" t="n">
        <v>27.114</v>
      </c>
      <c r="V8" s="63" t="n">
        <v>27.607</v>
      </c>
      <c r="W8" s="63" t="n">
        <v>28.006</v>
      </c>
      <c r="X8" s="63" t="n">
        <v>28.384</v>
      </c>
      <c r="Y8" s="63" t="n">
        <v>29.036</v>
      </c>
      <c r="Z8" s="63" t="n">
        <v>29.46</v>
      </c>
      <c r="AA8" s="63" t="n">
        <v>29.707</v>
      </c>
      <c r="AB8" s="63" t="n">
        <v>30.047</v>
      </c>
      <c r="AC8" s="63" t="n">
        <v>30.851</v>
      </c>
      <c r="AD8" s="63" t="n">
        <v>31.287</v>
      </c>
      <c r="AE8" s="63" t="n">
        <v>31.643</v>
      </c>
      <c r="AF8" s="63" t="n">
        <v>31.799</v>
      </c>
      <c r="AG8" s="63" t="n">
        <v>32.721</v>
      </c>
      <c r="AH8" s="63" t="n">
        <v>33.095</v>
      </c>
      <c r="AI8" s="63" t="n">
        <v>33.745</v>
      </c>
      <c r="AJ8" s="63" t="n">
        <v>34.309</v>
      </c>
      <c r="AK8" s="63" t="n">
        <v>34.901</v>
      </c>
      <c r="AL8" s="63" t="n">
        <v>35.544</v>
      </c>
      <c r="AM8" s="63" t="n">
        <v>36.081</v>
      </c>
      <c r="AN8" s="63" t="n">
        <v>36.923</v>
      </c>
      <c r="AO8" s="63" t="n">
        <v>37.736</v>
      </c>
      <c r="AP8" s="63" t="n">
        <v>38.482</v>
      </c>
      <c r="AQ8" s="63" t="n">
        <v>39.97</v>
      </c>
      <c r="AR8" s="63" t="n">
        <v>40.375</v>
      </c>
      <c r="AS8" s="63" t="n">
        <v>41.59</v>
      </c>
      <c r="AT8" s="63" t="n">
        <v>42.421</v>
      </c>
      <c r="AU8" s="63" t="n">
        <v>43.407</v>
      </c>
      <c r="AV8" s="63" t="n">
        <v>44.36</v>
      </c>
      <c r="AW8" s="63" t="n">
        <v>45.209</v>
      </c>
      <c r="AX8" s="63" t="n">
        <v>45.932</v>
      </c>
      <c r="AY8" s="63" t="n">
        <v>46.841</v>
      </c>
      <c r="AZ8" s="63" t="n">
        <v>47.235</v>
      </c>
      <c r="BA8" s="63" t="n">
        <v>47.792</v>
      </c>
      <c r="BB8" s="63" t="n">
        <v>47.882</v>
      </c>
      <c r="BC8" s="63" t="n">
        <v>48.252</v>
      </c>
      <c r="BD8" s="63" t="n">
        <v>48.786</v>
      </c>
      <c r="BE8" s="63" t="n">
        <v>49.105</v>
      </c>
      <c r="BF8" s="63" t="n">
        <v>49.741</v>
      </c>
      <c r="BG8" s="63" t="n">
        <v>50.237</v>
      </c>
      <c r="BH8" s="63" t="n">
        <v>50.984</v>
      </c>
      <c r="BI8" s="63" t="n">
        <v>51.612</v>
      </c>
      <c r="BJ8" s="63" t="n">
        <v>51.406</v>
      </c>
      <c r="BK8" s="63" t="n">
        <v>51.527</v>
      </c>
      <c r="BL8" s="63" t="n">
        <v>51.802</v>
      </c>
      <c r="BM8" s="63" t="n">
        <v>52.142</v>
      </c>
      <c r="BN8" s="63" t="n">
        <v>52.01</v>
      </c>
      <c r="BO8" s="63" t="n">
        <v>51.881</v>
      </c>
      <c r="BP8" s="63" t="n">
        <v>51.954</v>
      </c>
      <c r="BQ8" s="63" t="n">
        <v>52.013</v>
      </c>
      <c r="BR8" s="63" t="n">
        <v>51.924</v>
      </c>
      <c r="BS8" s="63" t="n">
        <v>52.171</v>
      </c>
      <c r="BT8" s="63" t="n">
        <v>52.548</v>
      </c>
      <c r="BU8" s="63" t="n">
        <v>52.658</v>
      </c>
      <c r="BV8" s="63" t="n">
        <v>53.376</v>
      </c>
      <c r="BW8" s="63" t="n">
        <v>53.901</v>
      </c>
      <c r="BX8" s="63" t="n">
        <v>54.209</v>
      </c>
      <c r="BY8" s="63" t="n">
        <v>54.645</v>
      </c>
      <c r="BZ8" s="63" t="n">
        <v>55.051</v>
      </c>
      <c r="CA8" s="63" t="n">
        <v>55.455</v>
      </c>
      <c r="CB8" s="63" t="n">
        <v>55.731</v>
      </c>
      <c r="CC8" s="63" t="n">
        <v>55.931</v>
      </c>
      <c r="CD8" s="63" t="n">
        <v>56.323</v>
      </c>
      <c r="CE8" s="63" t="n">
        <v>57.29</v>
      </c>
      <c r="CF8" s="63" t="n">
        <v>57.367</v>
      </c>
      <c r="CG8" s="63" t="n">
        <v>58.05</v>
      </c>
      <c r="CH8" s="63" t="n">
        <v>58.571</v>
      </c>
      <c r="CI8" s="63" t="n">
        <v>58.86</v>
      </c>
      <c r="CJ8" s="63" t="n">
        <v>59.616</v>
      </c>
      <c r="CK8" s="63" t="n">
        <v>60.219</v>
      </c>
      <c r="CL8" s="63" t="n">
        <v>60.307</v>
      </c>
      <c r="CM8" s="63" t="n">
        <v>60.527</v>
      </c>
      <c r="CN8" s="63" t="n">
        <v>61.055</v>
      </c>
      <c r="CO8" s="63" t="n">
        <v>61.439</v>
      </c>
      <c r="CP8" s="63" t="n">
        <v>61.592</v>
      </c>
      <c r="CQ8" s="63" t="n">
        <v>61.863</v>
      </c>
      <c r="CR8" s="63" t="n">
        <v>62.311</v>
      </c>
      <c r="CS8" s="63" t="n">
        <v>62.87</v>
      </c>
      <c r="CT8" s="63" t="n">
        <v>63.158</v>
      </c>
      <c r="CU8" s="63" t="n">
        <v>63.688</v>
      </c>
      <c r="CV8" s="63" t="n">
        <v>64.054</v>
      </c>
      <c r="CW8" s="63" t="n">
        <v>64.58</v>
      </c>
      <c r="CX8" s="63" t="n">
        <v>65.124</v>
      </c>
      <c r="CY8" s="63" t="n">
        <v>65.558</v>
      </c>
      <c r="CZ8" s="63" t="n">
        <v>65.897</v>
      </c>
      <c r="DA8" s="63" t="n">
        <v>66.807</v>
      </c>
      <c r="DB8" s="63" t="n">
        <v>66.964</v>
      </c>
      <c r="DC8" s="63" t="n">
        <v>66.605</v>
      </c>
      <c r="DD8" s="63" t="n">
        <v>66.992</v>
      </c>
      <c r="DE8" s="63" t="n">
        <v>67.222</v>
      </c>
      <c r="DF8" s="63" t="n">
        <v>67.451</v>
      </c>
      <c r="DG8" s="63" t="n">
        <v>67.895</v>
      </c>
      <c r="DH8" s="63" t="n">
        <v>68.051</v>
      </c>
      <c r="DI8" s="63" t="n">
        <v>68.528</v>
      </c>
      <c r="DJ8" s="63" t="n">
        <v>68.241</v>
      </c>
      <c r="DK8" s="63" t="n">
        <v>68.68</v>
      </c>
      <c r="DL8" s="63" t="n">
        <v>69.129</v>
      </c>
      <c r="DM8" s="63" t="n">
        <v>69.351</v>
      </c>
      <c r="DN8" s="63" t="n">
        <v>69.557</v>
      </c>
      <c r="DO8" s="63" t="n">
        <v>70.142</v>
      </c>
      <c r="DP8" s="63" t="n">
        <v>70.779</v>
      </c>
      <c r="DQ8" s="63" t="n">
        <v>71.649</v>
      </c>
      <c r="DR8" s="63" t="n">
        <v>72.347</v>
      </c>
      <c r="DS8" s="63" t="n">
        <v>72.625</v>
      </c>
      <c r="DT8" s="63" t="n">
        <v>73.145</v>
      </c>
      <c r="DU8" s="63" t="n">
        <v>73.476</v>
      </c>
      <c r="DV8" s="63" t="n">
        <v>73.601</v>
      </c>
      <c r="DW8" s="63" t="n">
        <v>73.988</v>
      </c>
      <c r="DX8" s="63" t="n">
        <v>74.462</v>
      </c>
      <c r="DY8" s="63" t="n">
        <v>74.944</v>
      </c>
      <c r="DZ8" s="63" t="n">
        <v>75.43</v>
      </c>
      <c r="EA8" s="63" t="n">
        <v>76.143</v>
      </c>
      <c r="EB8" s="63" t="n">
        <v>76.797</v>
      </c>
      <c r="EC8" s="63" t="n">
        <v>78.22</v>
      </c>
      <c r="ED8" s="63" t="n">
        <v>79.092</v>
      </c>
      <c r="EE8" s="63" t="n">
        <v>79.654</v>
      </c>
      <c r="EF8" s="63" t="n">
        <v>80.375</v>
      </c>
      <c r="EG8" s="63" t="n">
        <v>80.977</v>
      </c>
      <c r="EH8" s="63" t="n">
        <v>81.666</v>
      </c>
      <c r="EI8" s="63" t="n">
        <v>82.375</v>
      </c>
      <c r="EJ8" s="63" t="n">
        <v>83.129</v>
      </c>
      <c r="EK8" s="63" t="n">
        <v>83.938</v>
      </c>
      <c r="EL8" s="63" t="n">
        <v>85.043</v>
      </c>
      <c r="EM8" s="63" t="n">
        <v>85.81</v>
      </c>
      <c r="EN8" s="63" t="n">
        <v>86.706</v>
      </c>
      <c r="EO8" s="63" t="n">
        <v>87.329</v>
      </c>
      <c r="EP8" s="63" t="n">
        <v>88.064</v>
      </c>
      <c r="EQ8" s="63" t="n">
        <v>88.677</v>
      </c>
      <c r="ER8" s="63" t="n">
        <v>89.334</v>
      </c>
      <c r="ES8" s="63" t="n">
        <v>89.799</v>
      </c>
      <c r="ET8" s="63" t="n">
        <v>90.567</v>
      </c>
      <c r="EU8" s="63" t="n">
        <v>91.291</v>
      </c>
      <c r="EV8" s="63" t="n">
        <v>91.92</v>
      </c>
      <c r="EW8" s="63" t="n">
        <v>92.657</v>
      </c>
      <c r="EX8" s="63" t="n">
        <v>93.438</v>
      </c>
      <c r="EY8" s="63" t="n">
        <v>94.395</v>
      </c>
      <c r="EZ8" s="63" t="n">
        <v>95.103</v>
      </c>
      <c r="FA8" s="63" t="n">
        <v>94.65</v>
      </c>
      <c r="FB8" s="63" t="n">
        <v>93.856</v>
      </c>
      <c r="FC8" s="63" t="n">
        <v>93.873</v>
      </c>
      <c r="FD8" s="63" t="n">
        <v>94.16</v>
      </c>
      <c r="FE8" s="63" t="n">
        <v>94.884</v>
      </c>
      <c r="FF8" s="63" t="n">
        <v>95.488</v>
      </c>
      <c r="FG8" s="63" t="n">
        <v>96.22</v>
      </c>
      <c r="FH8" s="63" t="n">
        <v>96.602</v>
      </c>
      <c r="FI8" s="63" t="n">
        <v>97.388</v>
      </c>
      <c r="FJ8" s="63" t="n">
        <v>98.263</v>
      </c>
      <c r="FK8" s="63" t="n">
        <v>99.152</v>
      </c>
      <c r="FL8" s="63" t="n">
        <v>99.497</v>
      </c>
      <c r="FM8" s="63" t="n">
        <v>99.364</v>
      </c>
      <c r="FN8" s="63" t="n">
        <v>99.708</v>
      </c>
      <c r="FO8" s="63" t="n">
        <v>99.928</v>
      </c>
      <c r="FP8" s="63" t="n">
        <v>100.12</v>
      </c>
      <c r="FQ8" s="63" t="n">
        <v>100.244</v>
      </c>
      <c r="FR8" s="63" t="n">
        <v>100.239</v>
      </c>
      <c r="FS8" s="63" t="n">
        <v>100.437</v>
      </c>
      <c r="FT8" s="63" t="n">
        <v>100.762</v>
      </c>
      <c r="FU8" s="63" t="n">
        <v>102.295</v>
      </c>
      <c r="FV8" s="63" t="n">
        <v>102.031</v>
      </c>
      <c r="FW8" s="63" t="n">
        <v>102.482</v>
      </c>
      <c r="FX8" s="63" t="n">
        <v>102.961</v>
      </c>
      <c r="FY8" s="63" t="n">
        <v>103.099</v>
      </c>
      <c r="FZ8" s="63" t="n">
        <v>102.933</v>
      </c>
      <c r="GA8" s="63" t="n">
        <v>103.135</v>
      </c>
      <c r="GB8" s="63" t="n">
        <v>103.293</v>
      </c>
      <c r="GC8" s="63" t="n">
        <v>103.211</v>
      </c>
      <c r="GD8" s="63" t="n">
        <v>102.953</v>
      </c>
      <c r="GE8" s="63" t="n">
        <v>103.507</v>
      </c>
      <c r="GF8" s="63" t="n">
        <v>103.909</v>
      </c>
      <c r="GG8" s="63" t="n">
        <v>104.41</v>
      </c>
      <c r="GH8" s="63" t="n">
        <v>104.913</v>
      </c>
      <c r="GI8" s="63" t="n">
        <v>105.255</v>
      </c>
      <c r="GJ8" s="63" t="n">
        <v>105.72</v>
      </c>
      <c r="GK8" s="63" t="n">
        <v>106.48</v>
      </c>
      <c r="GL8" s="63" t="n">
        <v>107.559</v>
      </c>
      <c r="GM8" s="63" t="n">
        <v>108.345</v>
      </c>
      <c r="GN8" s="63" t="n">
        <v>108.973</v>
      </c>
      <c r="GO8" s="63" t="n">
        <v>109.772</v>
      </c>
      <c r="GP8" s="63" t="n">
        <v>110.943</v>
      </c>
      <c r="GQ8" s="63" t="n">
        <v>110.205</v>
      </c>
      <c r="GR8" s="63" t="n">
        <v>110.48</v>
      </c>
      <c r="GS8" s="63" t="n">
        <v>110.926</v>
      </c>
      <c r="GT8" s="63" t="n">
        <v>111.301</v>
      </c>
      <c r="GU8" s="63" t="n">
        <v>111.393</v>
      </c>
      <c r="GV8" s="63" t="n">
        <v>112.109</v>
      </c>
      <c r="GW8" s="63" t="n">
        <v>112.788</v>
      </c>
      <c r="GX8" s="63" t="n">
        <v>113.922</v>
      </c>
      <c r="GY8" s="63" t="n">
        <v>115.079</v>
      </c>
      <c r="GZ8" s="63" t="n">
        <v>116.325</v>
      </c>
      <c r="HA8" s="63" t="n">
        <v>117.568</v>
      </c>
      <c r="HB8" s="63" t="n">
        <v>119.203</v>
      </c>
      <c r="HC8" t="n">
        <v>120.951</v>
      </c>
      <c r="HD8" t="n">
        <v>122.383</v>
      </c>
      <c r="HE8" t="n">
        <v>123.316</v>
      </c>
    </row>
    <row r="9">
      <c r="A9" s="63" t="s">
        <v>2443</v>
      </c>
      <c r="B9" s="63" t="n">
        <v>13.706</v>
      </c>
      <c r="C9" s="63" t="n">
        <v>13.997</v>
      </c>
      <c r="D9" s="63" t="n">
        <v>14.25</v>
      </c>
      <c r="E9" s="63" t="n">
        <v>14.52</v>
      </c>
      <c r="F9" s="63" t="n">
        <v>14.849</v>
      </c>
      <c r="G9" s="63" t="n">
        <v>15.118</v>
      </c>
      <c r="H9" s="63" t="n">
        <v>15.331</v>
      </c>
      <c r="I9" s="63" t="n">
        <v>15.498</v>
      </c>
      <c r="J9" s="63" t="n">
        <v>15.845</v>
      </c>
      <c r="K9" s="63" t="n">
        <v>16.032</v>
      </c>
      <c r="L9" s="63" t="n">
        <v>16.276</v>
      </c>
      <c r="M9" s="63" t="n">
        <v>16.5</v>
      </c>
      <c r="N9" s="63" t="n">
        <v>16.825</v>
      </c>
      <c r="O9" s="63" t="n">
        <v>17.124</v>
      </c>
      <c r="P9" s="63" t="n">
        <v>17.354</v>
      </c>
      <c r="Q9" s="63" t="n">
        <v>17.683</v>
      </c>
      <c r="R9" s="63" t="n">
        <v>18.196</v>
      </c>
      <c r="S9" s="63" t="n">
        <v>18.829</v>
      </c>
      <c r="T9" s="63" t="n">
        <v>19.516</v>
      </c>
      <c r="U9" s="63" t="n">
        <v>20.09</v>
      </c>
      <c r="V9" s="63" t="n">
        <v>20.494</v>
      </c>
      <c r="W9" s="63" t="n">
        <v>20.9</v>
      </c>
      <c r="X9" s="63" t="n">
        <v>21.167</v>
      </c>
      <c r="Y9" s="63" t="n">
        <v>21.438</v>
      </c>
      <c r="Z9" s="63" t="n">
        <v>21.68</v>
      </c>
      <c r="AA9" s="63" t="n">
        <v>21.943</v>
      </c>
      <c r="AB9" s="63" t="n">
        <v>22.106</v>
      </c>
      <c r="AC9" s="63" t="n">
        <v>22.37</v>
      </c>
      <c r="AD9" s="63" t="n">
        <v>22.792</v>
      </c>
      <c r="AE9" s="63" t="n">
        <v>23.2</v>
      </c>
      <c r="AF9" s="63" t="n">
        <v>23.595</v>
      </c>
      <c r="AG9" s="63" t="n">
        <v>23.993</v>
      </c>
      <c r="AH9" s="63" t="n">
        <v>24.332</v>
      </c>
      <c r="AI9" s="63" t="n">
        <v>24.738</v>
      </c>
      <c r="AJ9" s="63" t="n">
        <v>25.115</v>
      </c>
      <c r="AK9" s="63" t="n">
        <v>25.475</v>
      </c>
      <c r="AL9" s="63" t="n">
        <v>26.081</v>
      </c>
      <c r="AM9" s="63" t="n">
        <v>26.678</v>
      </c>
      <c r="AN9" s="63" t="n">
        <v>27.582</v>
      </c>
      <c r="AO9" s="63" t="n">
        <v>28.121</v>
      </c>
      <c r="AP9" s="63" t="n">
        <v>28.853</v>
      </c>
      <c r="AQ9" s="63" t="n">
        <v>29.645</v>
      </c>
      <c r="AR9" s="63" t="n">
        <v>30.5</v>
      </c>
      <c r="AS9" s="63" t="n">
        <v>31.33</v>
      </c>
      <c r="AT9" s="63" t="n">
        <v>32.349</v>
      </c>
      <c r="AU9" s="63" t="n">
        <v>33.045</v>
      </c>
      <c r="AV9" s="63" t="n">
        <v>33.494</v>
      </c>
      <c r="AW9" s="63" t="n">
        <v>34.023</v>
      </c>
      <c r="AX9" s="63" t="n">
        <v>34.596</v>
      </c>
      <c r="AY9" s="63" t="n">
        <v>35.152</v>
      </c>
      <c r="AZ9" s="63" t="n">
        <v>35.704</v>
      </c>
      <c r="BA9" s="63" t="n">
        <v>36.158</v>
      </c>
      <c r="BB9" s="63" t="n">
        <v>36.418</v>
      </c>
      <c r="BC9" s="63" t="n">
        <v>36.817</v>
      </c>
      <c r="BD9" s="63" t="n">
        <v>37.173</v>
      </c>
      <c r="BE9" s="63" t="n">
        <v>37.456</v>
      </c>
      <c r="BF9" s="63" t="n">
        <v>37.999</v>
      </c>
      <c r="BG9" s="63" t="n">
        <v>38.361</v>
      </c>
      <c r="BH9" s="63" t="n">
        <v>38.719</v>
      </c>
      <c r="BI9" s="63" t="n">
        <v>39.103</v>
      </c>
      <c r="BJ9" s="63" t="n">
        <v>39.564</v>
      </c>
      <c r="BK9" s="63" t="n">
        <v>39.954</v>
      </c>
      <c r="BL9" s="63" t="n">
        <v>40.285</v>
      </c>
      <c r="BM9" s="63" t="n">
        <v>40.658</v>
      </c>
      <c r="BN9" s="63" t="n">
        <v>40.827</v>
      </c>
      <c r="BO9" s="63" t="n">
        <v>41.007</v>
      </c>
      <c r="BP9" s="63" t="n">
        <v>41.362</v>
      </c>
      <c r="BQ9" s="63" t="n">
        <v>41.888</v>
      </c>
      <c r="BR9" s="63" t="n">
        <v>42.487</v>
      </c>
      <c r="BS9" s="63" t="n">
        <v>43.006</v>
      </c>
      <c r="BT9" s="63" t="n">
        <v>43.521</v>
      </c>
      <c r="BU9" s="63" t="n">
        <v>43.78</v>
      </c>
      <c r="BV9" s="63" t="n">
        <v>44.005</v>
      </c>
      <c r="BW9" s="63" t="n">
        <v>44.434</v>
      </c>
      <c r="BX9" s="63" t="n">
        <v>44.808</v>
      </c>
      <c r="BY9" s="63" t="n">
        <v>45.321</v>
      </c>
      <c r="BZ9" s="63" t="n">
        <v>45.917</v>
      </c>
      <c r="CA9" s="63" t="n">
        <v>46.54</v>
      </c>
      <c r="CB9" s="63" t="n">
        <v>46.976</v>
      </c>
      <c r="CC9" s="63" t="n">
        <v>47.583</v>
      </c>
      <c r="CD9" s="63" t="n">
        <v>48.256</v>
      </c>
      <c r="CE9" s="63" t="n">
        <v>48.754</v>
      </c>
      <c r="CF9" s="63" t="n">
        <v>49.417</v>
      </c>
      <c r="CG9" s="63" t="n">
        <v>50.195</v>
      </c>
      <c r="CH9" s="63" t="n">
        <v>50.406</v>
      </c>
      <c r="CI9" s="63" t="n">
        <v>50.711</v>
      </c>
      <c r="CJ9" s="63" t="n">
        <v>51.129</v>
      </c>
      <c r="CK9" s="63" t="n">
        <v>51.575</v>
      </c>
      <c r="CL9" s="63" t="n">
        <v>51.943</v>
      </c>
      <c r="CM9" s="63" t="n">
        <v>52.563</v>
      </c>
      <c r="CN9" s="63" t="n">
        <v>52.951</v>
      </c>
      <c r="CO9" s="63" t="n">
        <v>53.312</v>
      </c>
      <c r="CP9" s="63" t="n">
        <v>53.622</v>
      </c>
      <c r="CQ9" s="63" t="n">
        <v>53.938</v>
      </c>
      <c r="CR9" s="63" t="n">
        <v>54.092</v>
      </c>
      <c r="CS9" s="63" t="n">
        <v>54.365</v>
      </c>
      <c r="CT9" s="63" t="n">
        <v>54.809</v>
      </c>
      <c r="CU9" s="63" t="n">
        <v>55.114</v>
      </c>
      <c r="CV9" s="63" t="n">
        <v>55.596</v>
      </c>
      <c r="CW9" s="63" t="n">
        <v>56.068</v>
      </c>
      <c r="CX9" s="63" t="n">
        <v>56.381</v>
      </c>
      <c r="CY9" s="63" t="n">
        <v>56.809</v>
      </c>
      <c r="CZ9" s="63" t="n">
        <v>57.043</v>
      </c>
      <c r="DA9" s="63" t="n">
        <v>57.261</v>
      </c>
      <c r="DB9" s="63" t="n">
        <v>57.833</v>
      </c>
      <c r="DC9" s="63" t="n">
        <v>57.912</v>
      </c>
      <c r="DD9" s="63" t="n">
        <v>58.278</v>
      </c>
      <c r="DE9" s="63" t="n">
        <v>58.696</v>
      </c>
      <c r="DF9" s="63" t="n">
        <v>59.085</v>
      </c>
      <c r="DG9" s="63" t="n">
        <v>59.276</v>
      </c>
      <c r="DH9" s="63" t="n">
        <v>59.534</v>
      </c>
      <c r="DI9" s="63" t="n">
        <v>60</v>
      </c>
      <c r="DJ9" s="63" t="n">
        <v>60.081</v>
      </c>
      <c r="DK9" s="63" t="n">
        <v>60.347</v>
      </c>
      <c r="DL9" s="63" t="n">
        <v>60.799</v>
      </c>
      <c r="DM9" s="63" t="n">
        <v>61.307</v>
      </c>
      <c r="DN9" s="63" t="n">
        <v>61.778</v>
      </c>
      <c r="DO9" s="63" t="n">
        <v>62.614</v>
      </c>
      <c r="DP9" s="63" t="n">
        <v>63.366</v>
      </c>
      <c r="DQ9" s="63" t="n">
        <v>64.094</v>
      </c>
      <c r="DR9" s="63" t="n">
        <v>64.913</v>
      </c>
      <c r="DS9" s="63" t="n">
        <v>65.602</v>
      </c>
      <c r="DT9" s="63" t="n">
        <v>66.306</v>
      </c>
      <c r="DU9" s="63" t="n">
        <v>67.134</v>
      </c>
      <c r="DV9" s="63" t="n">
        <v>67.936</v>
      </c>
      <c r="DW9" s="63" t="n">
        <v>68.202</v>
      </c>
      <c r="DX9" s="63" t="n">
        <v>68.381</v>
      </c>
      <c r="DY9" s="63" t="n">
        <v>68.514</v>
      </c>
      <c r="DZ9" s="63" t="n">
        <v>68.931</v>
      </c>
      <c r="EA9" s="63" t="n">
        <v>69.551</v>
      </c>
      <c r="EB9" s="63" t="n">
        <v>70.051</v>
      </c>
      <c r="EC9" s="63" t="n">
        <v>70.636</v>
      </c>
      <c r="ED9" s="63" t="n">
        <v>71.642</v>
      </c>
      <c r="EE9" s="63" t="n">
        <v>71.694</v>
      </c>
      <c r="EF9" s="63" t="n">
        <v>72.175</v>
      </c>
      <c r="EG9" s="63" t="n">
        <v>72.741</v>
      </c>
      <c r="EH9" s="63" t="n">
        <v>73.661</v>
      </c>
      <c r="EI9" s="63" t="n">
        <v>74.713</v>
      </c>
      <c r="EJ9" s="63" t="n">
        <v>75.923</v>
      </c>
      <c r="EK9" s="63" t="n">
        <v>77.231</v>
      </c>
      <c r="EL9" s="63" t="n">
        <v>77.925</v>
      </c>
      <c r="EM9" s="63" t="n">
        <v>78.922</v>
      </c>
      <c r="EN9" s="63" t="n">
        <v>80.183</v>
      </c>
      <c r="EO9" s="63" t="n">
        <v>81.493</v>
      </c>
      <c r="EP9" s="63" t="n">
        <v>82.073</v>
      </c>
      <c r="EQ9" s="63" t="n">
        <v>83.333</v>
      </c>
      <c r="ER9" s="63" t="n">
        <v>84.169</v>
      </c>
      <c r="ES9" s="63" t="n">
        <v>85.059</v>
      </c>
      <c r="ET9" s="63" t="n">
        <v>86.683</v>
      </c>
      <c r="EU9" s="63" t="n">
        <v>87.617</v>
      </c>
      <c r="EV9" s="63" t="n">
        <v>88.57</v>
      </c>
      <c r="EW9" s="63" t="n">
        <v>89.855</v>
      </c>
      <c r="EX9" s="63" t="n">
        <v>91.295</v>
      </c>
      <c r="EY9" s="63" t="n">
        <v>92.566</v>
      </c>
      <c r="EZ9" s="63" t="n">
        <v>93.808</v>
      </c>
      <c r="FA9" s="63" t="n">
        <v>92.692</v>
      </c>
      <c r="FB9" s="63" t="n">
        <v>91.491</v>
      </c>
      <c r="FC9" s="63" t="n">
        <v>91.692</v>
      </c>
      <c r="FD9" s="63" t="n">
        <v>92.161</v>
      </c>
      <c r="FE9" s="63" t="n">
        <v>92.838</v>
      </c>
      <c r="FF9" s="63" t="n">
        <v>93.758</v>
      </c>
      <c r="FG9" s="63" t="n">
        <v>94.383</v>
      </c>
      <c r="FH9" s="63" t="n">
        <v>94.877</v>
      </c>
      <c r="FI9" s="63" t="n">
        <v>95.678</v>
      </c>
      <c r="FJ9" s="63" t="n">
        <v>96.65</v>
      </c>
      <c r="FK9" s="63" t="n">
        <v>97.814</v>
      </c>
      <c r="FL9" s="63" t="n">
        <v>98.319</v>
      </c>
      <c r="FM9" s="63" t="n">
        <v>98.204</v>
      </c>
      <c r="FN9" s="63" t="n">
        <v>99.401</v>
      </c>
      <c r="FO9" s="63" t="n">
        <v>99.402</v>
      </c>
      <c r="FP9" s="63" t="n">
        <v>99.99</v>
      </c>
      <c r="FQ9" s="63" t="n">
        <v>101.208</v>
      </c>
      <c r="FR9" s="63" t="n">
        <v>102.371</v>
      </c>
      <c r="FS9" s="63" t="n">
        <v>102.912</v>
      </c>
      <c r="FT9" s="63" t="n">
        <v>103.727</v>
      </c>
      <c r="FU9" s="63" t="n">
        <v>104.318</v>
      </c>
      <c r="FV9" s="63" t="n">
        <v>105.145</v>
      </c>
      <c r="FW9" s="63" t="n">
        <v>105.502</v>
      </c>
      <c r="FX9" s="63" t="n">
        <v>106.09</v>
      </c>
      <c r="FY9" s="63" t="n">
        <v>106.054</v>
      </c>
      <c r="FZ9" s="63" t="n">
        <v>105.176</v>
      </c>
      <c r="GA9" s="63" t="n">
        <v>105.863</v>
      </c>
      <c r="GB9" s="63" t="n">
        <v>105.969</v>
      </c>
      <c r="GC9" s="63" t="n">
        <v>105.615</v>
      </c>
      <c r="GD9" s="63" t="n">
        <v>104.83</v>
      </c>
      <c r="GE9" s="63" t="n">
        <v>105.637</v>
      </c>
      <c r="GF9" s="63" t="n">
        <v>105.985</v>
      </c>
      <c r="GG9" s="63" t="n">
        <v>106.504</v>
      </c>
      <c r="GH9" s="63" t="n">
        <v>107.483</v>
      </c>
      <c r="GI9" s="63" t="n">
        <v>107.785</v>
      </c>
      <c r="GJ9" s="63" t="n">
        <v>108.757</v>
      </c>
      <c r="GK9" s="63" t="n">
        <v>110.112</v>
      </c>
      <c r="GL9" s="63" t="n">
        <v>111.454</v>
      </c>
      <c r="GM9" s="63" t="n">
        <v>112.669</v>
      </c>
      <c r="GN9" s="63" t="n">
        <v>113.702</v>
      </c>
      <c r="GO9" s="63" t="n">
        <v>114.287</v>
      </c>
      <c r="GP9" s="63" t="n">
        <v>113.974</v>
      </c>
      <c r="GQ9" s="63" t="n">
        <v>114.817</v>
      </c>
      <c r="GR9" s="63" t="n">
        <v>115.118</v>
      </c>
      <c r="GS9" s="63" t="n">
        <v>115.545</v>
      </c>
      <c r="GT9" s="63" t="n">
        <v>116.772</v>
      </c>
      <c r="GU9" s="63" t="n">
        <v>116.705</v>
      </c>
      <c r="GV9" s="63" t="n">
        <v>117.738</v>
      </c>
      <c r="GW9" s="63" t="n">
        <v>119.056</v>
      </c>
      <c r="GX9" s="63" t="n">
        <v>121.585</v>
      </c>
      <c r="GY9" s="63" t="n">
        <v>124.087</v>
      </c>
      <c r="GZ9" s="63" t="n">
        <v>126.195</v>
      </c>
      <c r="HA9" s="63" t="n">
        <v>128.957</v>
      </c>
      <c r="HB9" s="63" t="n">
        <v>132.234</v>
      </c>
      <c r="HC9" t="n">
        <v>136.93</v>
      </c>
      <c r="HD9" t="n">
        <v>137.914</v>
      </c>
      <c r="HE9" t="n">
        <v>139.195</v>
      </c>
    </row>
    <row r="10">
      <c r="A10" s="63" t="s">
        <v>2444</v>
      </c>
      <c r="B10" s="63" t="n">
        <v>13.107</v>
      </c>
      <c r="C10" s="63" t="n">
        <v>13.368</v>
      </c>
      <c r="D10" s="63" t="n">
        <v>13.604</v>
      </c>
      <c r="E10" s="63" t="n">
        <v>13.833</v>
      </c>
      <c r="F10" s="63" t="n">
        <v>14.174</v>
      </c>
      <c r="G10" s="63" t="n">
        <v>14.439</v>
      </c>
      <c r="H10" s="63" t="n">
        <v>14.657</v>
      </c>
      <c r="I10" s="63" t="n">
        <v>14.79</v>
      </c>
      <c r="J10" s="63" t="n">
        <v>15.162</v>
      </c>
      <c r="K10" s="63" t="n">
        <v>15.361</v>
      </c>
      <c r="L10" s="63" t="n">
        <v>15.6</v>
      </c>
      <c r="M10" s="63" t="n">
        <v>15.794</v>
      </c>
      <c r="N10" s="63" t="n">
        <v>16.106</v>
      </c>
      <c r="O10" s="63" t="n">
        <v>16.378</v>
      </c>
      <c r="P10" s="63" t="n">
        <v>16.568</v>
      </c>
      <c r="Q10" s="63" t="n">
        <v>16.846</v>
      </c>
      <c r="R10" s="63" t="n">
        <v>17.255</v>
      </c>
      <c r="S10" s="63" t="n">
        <v>17.719</v>
      </c>
      <c r="T10" s="63" t="n">
        <v>18.228</v>
      </c>
      <c r="U10" s="63" t="n">
        <v>18.704</v>
      </c>
      <c r="V10" s="63" t="n">
        <v>19.078</v>
      </c>
      <c r="W10" s="63" t="n">
        <v>19.538</v>
      </c>
      <c r="X10" s="63" t="n">
        <v>19.838</v>
      </c>
      <c r="Y10" s="63" t="n">
        <v>20.127</v>
      </c>
      <c r="Z10" s="63" t="n">
        <v>20.389</v>
      </c>
      <c r="AA10" s="63" t="n">
        <v>20.655</v>
      </c>
      <c r="AB10" s="63" t="n">
        <v>20.836</v>
      </c>
      <c r="AC10" s="63" t="n">
        <v>21.111</v>
      </c>
      <c r="AD10" s="63" t="n">
        <v>21.54</v>
      </c>
      <c r="AE10" s="63" t="n">
        <v>21.968</v>
      </c>
      <c r="AF10" s="63" t="n">
        <v>22.361</v>
      </c>
      <c r="AG10" s="63" t="n">
        <v>22.771</v>
      </c>
      <c r="AH10" s="63" t="n">
        <v>23.102</v>
      </c>
      <c r="AI10" s="63" t="n">
        <v>23.472</v>
      </c>
      <c r="AJ10" s="63" t="n">
        <v>23.808</v>
      </c>
      <c r="AK10" s="63" t="n">
        <v>24.127</v>
      </c>
      <c r="AL10" s="63" t="n">
        <v>24.719</v>
      </c>
      <c r="AM10" s="63" t="n">
        <v>25.259</v>
      </c>
      <c r="AN10" s="63" t="n">
        <v>26.146</v>
      </c>
      <c r="AO10" s="63" t="n">
        <v>26.596</v>
      </c>
      <c r="AP10" s="63" t="n">
        <v>27.28</v>
      </c>
      <c r="AQ10" s="63" t="n">
        <v>28.02</v>
      </c>
      <c r="AR10" s="63" t="n">
        <v>28.799</v>
      </c>
      <c r="AS10" s="63" t="n">
        <v>29.565</v>
      </c>
      <c r="AT10" s="63" t="n">
        <v>30.556</v>
      </c>
      <c r="AU10" s="63" t="n">
        <v>31.195</v>
      </c>
      <c r="AV10" s="63" t="n">
        <v>31.568</v>
      </c>
      <c r="AW10" s="63" t="n">
        <v>32.052</v>
      </c>
      <c r="AX10" s="63" t="n">
        <v>32.614</v>
      </c>
      <c r="AY10" s="63" t="n">
        <v>33.134</v>
      </c>
      <c r="AZ10" s="63" t="n">
        <v>33.684</v>
      </c>
      <c r="BA10" s="63" t="n">
        <v>34.19</v>
      </c>
      <c r="BB10" s="63" t="n">
        <v>34.483</v>
      </c>
      <c r="BC10" s="63" t="n">
        <v>34.954</v>
      </c>
      <c r="BD10" s="63" t="n">
        <v>35.363</v>
      </c>
      <c r="BE10" s="63" t="n">
        <v>35.694</v>
      </c>
      <c r="BF10" s="63" t="n">
        <v>36.32</v>
      </c>
      <c r="BG10" s="63" t="n">
        <v>36.716</v>
      </c>
      <c r="BH10" s="63" t="n">
        <v>37.11</v>
      </c>
      <c r="BI10" s="63" t="n">
        <v>37.548</v>
      </c>
      <c r="BJ10" s="63" t="n">
        <v>38.044</v>
      </c>
      <c r="BK10" s="63" t="n">
        <v>38.479</v>
      </c>
      <c r="BL10" s="63" t="n">
        <v>38.836</v>
      </c>
      <c r="BM10" s="63" t="n">
        <v>39.227</v>
      </c>
      <c r="BN10" s="63" t="n">
        <v>39.371</v>
      </c>
      <c r="BO10" s="63" t="n">
        <v>39.489</v>
      </c>
      <c r="BP10" s="63" t="n">
        <v>39.827</v>
      </c>
      <c r="BQ10" s="63" t="n">
        <v>40.352</v>
      </c>
      <c r="BR10" s="63" t="n">
        <v>41.005</v>
      </c>
      <c r="BS10" s="63" t="n">
        <v>41.545</v>
      </c>
      <c r="BT10" s="63" t="n">
        <v>42.072</v>
      </c>
      <c r="BU10" s="63" t="n">
        <v>42.329</v>
      </c>
      <c r="BV10" s="63" t="n">
        <v>42.517</v>
      </c>
      <c r="BW10" s="63" t="n">
        <v>42.975</v>
      </c>
      <c r="BX10" s="63" t="n">
        <v>43.357</v>
      </c>
      <c r="BY10" s="63" t="n">
        <v>43.919</v>
      </c>
      <c r="BZ10" s="63" t="n">
        <v>44.585</v>
      </c>
      <c r="CA10" s="63" t="n">
        <v>45.248</v>
      </c>
      <c r="CB10" s="63" t="n">
        <v>45.693</v>
      </c>
      <c r="CC10" s="63" t="n">
        <v>46.364</v>
      </c>
      <c r="CD10" s="63" t="n">
        <v>47.099</v>
      </c>
      <c r="CE10" s="63" t="n">
        <v>47.602</v>
      </c>
      <c r="CF10" s="63" t="n">
        <v>48.294</v>
      </c>
      <c r="CG10" s="63" t="n">
        <v>49.208</v>
      </c>
      <c r="CH10" s="63" t="n">
        <v>49.442</v>
      </c>
      <c r="CI10" s="63" t="n">
        <v>49.752</v>
      </c>
      <c r="CJ10" s="63" t="n">
        <v>50.227</v>
      </c>
      <c r="CK10" s="63" t="n">
        <v>50.798</v>
      </c>
      <c r="CL10" s="63" t="n">
        <v>51.278</v>
      </c>
      <c r="CM10" s="63" t="n">
        <v>51.975</v>
      </c>
      <c r="CN10" s="63" t="n">
        <v>52.42</v>
      </c>
      <c r="CO10" s="63" t="n">
        <v>52.803</v>
      </c>
      <c r="CP10" s="63" t="n">
        <v>53.092</v>
      </c>
      <c r="CQ10" s="63" t="n">
        <v>53.406</v>
      </c>
      <c r="CR10" s="63" t="n">
        <v>53.58</v>
      </c>
      <c r="CS10" s="63" t="n">
        <v>53.854</v>
      </c>
      <c r="CT10" s="63" t="n">
        <v>54.305</v>
      </c>
      <c r="CU10" s="63" t="n">
        <v>54.621</v>
      </c>
      <c r="CV10" s="63" t="n">
        <v>55.098</v>
      </c>
      <c r="CW10" s="63" t="n">
        <v>55.569</v>
      </c>
      <c r="CX10" s="63" t="n">
        <v>55.825</v>
      </c>
      <c r="CY10" s="63" t="n">
        <v>56.254</v>
      </c>
      <c r="CZ10" s="63" t="n">
        <v>56.468</v>
      </c>
      <c r="DA10" s="63" t="n">
        <v>56.66</v>
      </c>
      <c r="DB10" s="63" t="n">
        <v>57.284</v>
      </c>
      <c r="DC10" s="63" t="n">
        <v>57.366</v>
      </c>
      <c r="DD10" s="63" t="n">
        <v>57.746</v>
      </c>
      <c r="DE10" s="63" t="n">
        <v>58.214</v>
      </c>
      <c r="DF10" s="63" t="n">
        <v>58.613</v>
      </c>
      <c r="DG10" s="63" t="n">
        <v>58.753</v>
      </c>
      <c r="DH10" s="63" t="n">
        <v>59.034</v>
      </c>
      <c r="DI10" s="63" t="n">
        <v>59.516</v>
      </c>
      <c r="DJ10" s="63" t="n">
        <v>59.61</v>
      </c>
      <c r="DK10" s="63" t="n">
        <v>59.927</v>
      </c>
      <c r="DL10" s="63" t="n">
        <v>60.395</v>
      </c>
      <c r="DM10" s="63" t="n">
        <v>60.939</v>
      </c>
      <c r="DN10" s="63" t="n">
        <v>61.46</v>
      </c>
      <c r="DO10" s="63" t="n">
        <v>62.382</v>
      </c>
      <c r="DP10" s="63" t="n">
        <v>63.246</v>
      </c>
      <c r="DQ10" s="63" t="n">
        <v>64.018</v>
      </c>
      <c r="DR10" s="63" t="n">
        <v>64.912</v>
      </c>
      <c r="DS10" s="63" t="n">
        <v>65.59</v>
      </c>
      <c r="DT10" s="63" t="n">
        <v>66.359</v>
      </c>
      <c r="DU10" s="63" t="n">
        <v>67.293</v>
      </c>
      <c r="DV10" s="63" t="n">
        <v>68.191</v>
      </c>
      <c r="DW10" s="63" t="n">
        <v>68.48</v>
      </c>
      <c r="DX10" s="63" t="n">
        <v>68.652</v>
      </c>
      <c r="DY10" s="63" t="n">
        <v>68.729</v>
      </c>
      <c r="DZ10" s="63" t="n">
        <v>69.175</v>
      </c>
      <c r="EA10" s="63" t="n">
        <v>69.856</v>
      </c>
      <c r="EB10" s="63" t="n">
        <v>70.428</v>
      </c>
      <c r="EC10" s="63" t="n">
        <v>71.129</v>
      </c>
      <c r="ED10" s="63" t="n">
        <v>72.244</v>
      </c>
      <c r="EE10" s="63" t="n">
        <v>72.291</v>
      </c>
      <c r="EF10" s="63" t="n">
        <v>72.872</v>
      </c>
      <c r="EG10" s="63" t="n">
        <v>73.532</v>
      </c>
      <c r="EH10" s="63" t="n">
        <v>74.57</v>
      </c>
      <c r="EI10" s="63" t="n">
        <v>75.561</v>
      </c>
      <c r="EJ10" s="63" t="n">
        <v>76.592</v>
      </c>
      <c r="EK10" s="63" t="n">
        <v>77.79</v>
      </c>
      <c r="EL10" s="63" t="n">
        <v>78.498</v>
      </c>
      <c r="EM10" s="63" t="n">
        <v>79.393</v>
      </c>
      <c r="EN10" s="63" t="n">
        <v>80.545</v>
      </c>
      <c r="EO10" s="63" t="n">
        <v>81.906</v>
      </c>
      <c r="EP10" s="63" t="n">
        <v>82.508</v>
      </c>
      <c r="EQ10" s="63" t="n">
        <v>83.642</v>
      </c>
      <c r="ER10" s="63" t="n">
        <v>84.402</v>
      </c>
      <c r="ES10" s="63" t="n">
        <v>85.035</v>
      </c>
      <c r="ET10" s="63" t="n">
        <v>86.532</v>
      </c>
      <c r="EU10" s="63" t="n">
        <v>87.469</v>
      </c>
      <c r="EV10" s="63" t="n">
        <v>88.447</v>
      </c>
      <c r="EW10" s="63" t="n">
        <v>89.788</v>
      </c>
      <c r="EX10" s="63" t="n">
        <v>91.369</v>
      </c>
      <c r="EY10" s="63" t="n">
        <v>92.781</v>
      </c>
      <c r="EZ10" s="63" t="n">
        <v>94.036</v>
      </c>
      <c r="FA10" s="63" t="n">
        <v>92.242</v>
      </c>
      <c r="FB10" s="63" t="n">
        <v>90.621</v>
      </c>
      <c r="FC10" s="63" t="n">
        <v>91.067</v>
      </c>
      <c r="FD10" s="63" t="n">
        <v>91.849</v>
      </c>
      <c r="FE10" s="63" t="n">
        <v>92.701</v>
      </c>
      <c r="FF10" s="63" t="n">
        <v>93.771</v>
      </c>
      <c r="FG10" s="63" t="n">
        <v>94.445</v>
      </c>
      <c r="FH10" s="63" t="n">
        <v>94.985</v>
      </c>
      <c r="FI10" s="63" t="n">
        <v>95.872</v>
      </c>
      <c r="FJ10" s="63" t="n">
        <v>96.936</v>
      </c>
      <c r="FK10" s="63" t="n">
        <v>98.145</v>
      </c>
      <c r="FL10" s="63" t="n">
        <v>98.517</v>
      </c>
      <c r="FM10" s="63" t="n">
        <v>98.168</v>
      </c>
      <c r="FN10" s="63" t="n">
        <v>99.47</v>
      </c>
      <c r="FO10" s="63" t="n">
        <v>99.296</v>
      </c>
      <c r="FP10" s="63" t="n">
        <v>99.897</v>
      </c>
      <c r="FQ10" s="63" t="n">
        <v>101.337</v>
      </c>
      <c r="FR10" s="63" t="n">
        <v>102.663</v>
      </c>
      <c r="FS10" s="63" t="n">
        <v>103.21</v>
      </c>
      <c r="FT10" s="63" t="n">
        <v>104.082</v>
      </c>
      <c r="FU10" s="63" t="n">
        <v>104.636</v>
      </c>
      <c r="FV10" s="63" t="n">
        <v>105.515</v>
      </c>
      <c r="FW10" s="63" t="n">
        <v>105.848</v>
      </c>
      <c r="FX10" s="63" t="n">
        <v>106.454</v>
      </c>
      <c r="FY10" s="63" t="n">
        <v>106.371</v>
      </c>
      <c r="FZ10" s="63" t="n">
        <v>105.31</v>
      </c>
      <c r="GA10" s="63" t="n">
        <v>106.047</v>
      </c>
      <c r="GB10" s="63" t="n">
        <v>106.111</v>
      </c>
      <c r="GC10" s="63" t="n">
        <v>105.693</v>
      </c>
      <c r="GD10" s="63" t="n">
        <v>104.792</v>
      </c>
      <c r="GE10" s="63" t="n">
        <v>105.589</v>
      </c>
      <c r="GF10" s="63" t="n">
        <v>105.995</v>
      </c>
      <c r="GG10" s="63" t="n">
        <v>106.516</v>
      </c>
      <c r="GH10" s="63" t="n">
        <v>107.553</v>
      </c>
      <c r="GI10" s="63" t="n">
        <v>107.795</v>
      </c>
      <c r="GJ10" s="63" t="n">
        <v>108.769</v>
      </c>
      <c r="GK10" s="63" t="n">
        <v>110.288</v>
      </c>
      <c r="GL10" s="63" t="n">
        <v>111.703</v>
      </c>
      <c r="GM10" s="63" t="n">
        <v>112.842</v>
      </c>
      <c r="GN10" s="63" t="n">
        <v>113.922</v>
      </c>
      <c r="GO10" s="63" t="n">
        <v>114.376</v>
      </c>
      <c r="GP10" s="63" t="n">
        <v>113.894</v>
      </c>
      <c r="GQ10" s="63" t="n">
        <v>114.622</v>
      </c>
      <c r="GR10" s="63" t="n">
        <v>114.868</v>
      </c>
      <c r="GS10" s="63" t="n">
        <v>115.353</v>
      </c>
      <c r="GT10" s="63" t="n">
        <v>116.787</v>
      </c>
      <c r="GU10" s="63" t="n">
        <v>116.756</v>
      </c>
      <c r="GV10" s="63" t="n">
        <v>117.753</v>
      </c>
      <c r="GW10" s="63" t="n">
        <v>119.242</v>
      </c>
      <c r="GX10" s="63" t="n">
        <v>121.918</v>
      </c>
      <c r="GY10" s="63" t="n">
        <v>124.303</v>
      </c>
      <c r="GZ10" s="63" t="n">
        <v>126.266</v>
      </c>
      <c r="HA10" s="63" t="n">
        <v>128.842</v>
      </c>
      <c r="HB10" s="63" t="n">
        <v>131.985</v>
      </c>
      <c r="HC10" t="n">
        <v>136.744</v>
      </c>
      <c r="HD10" t="n">
        <v>137.302</v>
      </c>
      <c r="HE10" t="n">
        <v>138.473</v>
      </c>
    </row>
    <row r="11">
      <c r="A11" s="63" t="s">
        <v>2445</v>
      </c>
      <c r="B11" s="63" t="n">
        <v>16.825</v>
      </c>
      <c r="C11" s="63" t="n">
        <v>17.248</v>
      </c>
      <c r="D11" s="63" t="n">
        <v>17.582</v>
      </c>
      <c r="E11" s="63" t="n">
        <v>18.028</v>
      </c>
      <c r="F11" s="63" t="n">
        <v>18.332</v>
      </c>
      <c r="G11" s="63" t="n">
        <v>18.625</v>
      </c>
      <c r="H11" s="63" t="n">
        <v>18.828</v>
      </c>
      <c r="I11" s="63" t="n">
        <v>19.153</v>
      </c>
      <c r="J11" s="63" t="n">
        <v>19.398</v>
      </c>
      <c r="K11" s="63" t="n">
        <v>19.534</v>
      </c>
      <c r="L11" s="63" t="n">
        <v>19.805</v>
      </c>
      <c r="M11" s="63" t="n">
        <v>20.175</v>
      </c>
      <c r="N11" s="63" t="n">
        <v>20.564</v>
      </c>
      <c r="O11" s="63" t="n">
        <v>20.997</v>
      </c>
      <c r="P11" s="63" t="n">
        <v>21.425</v>
      </c>
      <c r="Q11" s="63" t="n">
        <v>22</v>
      </c>
      <c r="R11" s="63" t="n">
        <v>23.02</v>
      </c>
      <c r="S11" s="63" t="n">
        <v>24.467</v>
      </c>
      <c r="T11" s="63" t="n">
        <v>26.031</v>
      </c>
      <c r="U11" s="63" t="n">
        <v>27.113</v>
      </c>
      <c r="V11" s="63" t="n">
        <v>27.689</v>
      </c>
      <c r="W11" s="63" t="n">
        <v>27.826</v>
      </c>
      <c r="X11" s="63" t="n">
        <v>27.914</v>
      </c>
      <c r="Y11" s="63" t="n">
        <v>28.084</v>
      </c>
      <c r="Z11" s="63" t="n">
        <v>28.222</v>
      </c>
      <c r="AA11" s="63" t="n">
        <v>28.464</v>
      </c>
      <c r="AB11" s="63" t="n">
        <v>28.526</v>
      </c>
      <c r="AC11" s="63" t="n">
        <v>28.72</v>
      </c>
      <c r="AD11" s="63" t="n">
        <v>29.092</v>
      </c>
      <c r="AE11" s="63" t="n">
        <v>29.379</v>
      </c>
      <c r="AF11" s="63" t="n">
        <v>29.774</v>
      </c>
      <c r="AG11" s="63" t="n">
        <v>30.092</v>
      </c>
      <c r="AH11" s="63" t="n">
        <v>30.465</v>
      </c>
      <c r="AI11" s="63" t="n">
        <v>31.064</v>
      </c>
      <c r="AJ11" s="63" t="n">
        <v>31.658</v>
      </c>
      <c r="AK11" s="63" t="n">
        <v>32.224</v>
      </c>
      <c r="AL11" s="63" t="n">
        <v>32.889</v>
      </c>
      <c r="AM11" s="63" t="n">
        <v>33.782</v>
      </c>
      <c r="AN11" s="63" t="n">
        <v>34.768</v>
      </c>
      <c r="AO11" s="63" t="n">
        <v>35.754</v>
      </c>
      <c r="AP11" s="63" t="n">
        <v>36.731</v>
      </c>
      <c r="AQ11" s="63" t="n">
        <v>37.785</v>
      </c>
      <c r="AR11" s="63" t="n">
        <v>39.027</v>
      </c>
      <c r="AS11" s="63" t="n">
        <v>40.182</v>
      </c>
      <c r="AT11" s="63" t="n">
        <v>41.32</v>
      </c>
      <c r="AU11" s="63" t="n">
        <v>42.308</v>
      </c>
      <c r="AV11" s="63" t="n">
        <v>43.175</v>
      </c>
      <c r="AW11" s="63" t="n">
        <v>43.944</v>
      </c>
      <c r="AX11" s="63" t="n">
        <v>44.56</v>
      </c>
      <c r="AY11" s="63" t="n">
        <v>45.305</v>
      </c>
      <c r="AZ11" s="63" t="n">
        <v>45.84</v>
      </c>
      <c r="BA11" s="63" t="n">
        <v>45.956</v>
      </c>
      <c r="BB11" s="63" t="n">
        <v>45.999</v>
      </c>
      <c r="BC11" s="63" t="n">
        <v>45.937</v>
      </c>
      <c r="BD11" s="63" t="n">
        <v>45.963</v>
      </c>
      <c r="BE11" s="63" t="n">
        <v>45.95</v>
      </c>
      <c r="BF11" s="63" t="n">
        <v>46</v>
      </c>
      <c r="BG11" s="63" t="n">
        <v>46.163</v>
      </c>
      <c r="BH11" s="63" t="n">
        <v>46.312</v>
      </c>
      <c r="BI11" s="63" t="n">
        <v>46.406</v>
      </c>
      <c r="BJ11" s="63" t="n">
        <v>46.664</v>
      </c>
      <c r="BK11" s="63" t="n">
        <v>46.808</v>
      </c>
      <c r="BL11" s="63" t="n">
        <v>47</v>
      </c>
      <c r="BM11" s="63" t="n">
        <v>47.28</v>
      </c>
      <c r="BN11" s="63" t="n">
        <v>47.574</v>
      </c>
      <c r="BO11" s="63" t="n">
        <v>48.063</v>
      </c>
      <c r="BP11" s="63" t="n">
        <v>48.501</v>
      </c>
      <c r="BQ11" s="63" t="n">
        <v>49.026</v>
      </c>
      <c r="BR11" s="63" t="n">
        <v>49.34</v>
      </c>
      <c r="BS11" s="63" t="n">
        <v>49.755</v>
      </c>
      <c r="BT11" s="63" t="n">
        <v>50.198</v>
      </c>
      <c r="BU11" s="63" t="n">
        <v>50.464</v>
      </c>
      <c r="BV11" s="63" t="n">
        <v>50.87</v>
      </c>
      <c r="BW11" s="63" t="n">
        <v>51.151</v>
      </c>
      <c r="BX11" s="63" t="n">
        <v>51.481</v>
      </c>
      <c r="BY11" s="63" t="n">
        <v>51.753</v>
      </c>
      <c r="BZ11" s="63" t="n">
        <v>52.003</v>
      </c>
      <c r="CA11" s="63" t="n">
        <v>52.425</v>
      </c>
      <c r="CB11" s="63" t="n">
        <v>52.814</v>
      </c>
      <c r="CC11" s="63" t="n">
        <v>53.105</v>
      </c>
      <c r="CD11" s="63" t="n">
        <v>53.487</v>
      </c>
      <c r="CE11" s="63" t="n">
        <v>53.959</v>
      </c>
      <c r="CF11" s="63" t="n">
        <v>54.483</v>
      </c>
      <c r="CG11" s="63" t="n">
        <v>54.628</v>
      </c>
      <c r="CH11" s="63" t="n">
        <v>54.736</v>
      </c>
      <c r="CI11" s="63" t="n">
        <v>55.018</v>
      </c>
      <c r="CJ11" s="63" t="n">
        <v>55.164</v>
      </c>
      <c r="CK11" s="63" t="n">
        <v>55.026</v>
      </c>
      <c r="CL11" s="63" t="n">
        <v>54.882</v>
      </c>
      <c r="CM11" s="63" t="n">
        <v>55.142</v>
      </c>
      <c r="CN11" s="63" t="n">
        <v>55.254</v>
      </c>
      <c r="CO11" s="63" t="n">
        <v>55.506</v>
      </c>
      <c r="CP11" s="63" t="n">
        <v>55.919</v>
      </c>
      <c r="CQ11" s="63" t="n">
        <v>56.245</v>
      </c>
      <c r="CR11" s="63" t="n">
        <v>56.302</v>
      </c>
      <c r="CS11" s="63" t="n">
        <v>56.565</v>
      </c>
      <c r="CT11" s="63" t="n">
        <v>56.978</v>
      </c>
      <c r="CU11" s="63" t="n">
        <v>57.225</v>
      </c>
      <c r="CV11" s="63" t="n">
        <v>57.726</v>
      </c>
      <c r="CW11" s="63" t="n">
        <v>58.207</v>
      </c>
      <c r="CX11" s="63" t="n">
        <v>58.788</v>
      </c>
      <c r="CY11" s="63" t="n">
        <v>59.208</v>
      </c>
      <c r="CZ11" s="63" t="n">
        <v>59.535</v>
      </c>
      <c r="DA11" s="63" t="n">
        <v>59.878</v>
      </c>
      <c r="DB11" s="63" t="n">
        <v>60.199</v>
      </c>
      <c r="DC11" s="63" t="n">
        <v>60.266</v>
      </c>
      <c r="DD11" s="63" t="n">
        <v>60.565</v>
      </c>
      <c r="DE11" s="63" t="n">
        <v>60.761</v>
      </c>
      <c r="DF11" s="63" t="n">
        <v>61.104</v>
      </c>
      <c r="DG11" s="63" t="n">
        <v>61.521</v>
      </c>
      <c r="DH11" s="63" t="n">
        <v>61.677</v>
      </c>
      <c r="DI11" s="63" t="n">
        <v>62.074</v>
      </c>
      <c r="DJ11" s="63" t="n">
        <v>62.095</v>
      </c>
      <c r="DK11" s="63" t="n">
        <v>62.134</v>
      </c>
      <c r="DL11" s="63" t="n">
        <v>62.517</v>
      </c>
      <c r="DM11" s="63" t="n">
        <v>62.87</v>
      </c>
      <c r="DN11" s="63" t="n">
        <v>63.122</v>
      </c>
      <c r="DO11" s="63" t="n">
        <v>63.59</v>
      </c>
      <c r="DP11" s="63" t="n">
        <v>63.858</v>
      </c>
      <c r="DQ11" s="63" t="n">
        <v>64.402</v>
      </c>
      <c r="DR11" s="63" t="n">
        <v>64.912</v>
      </c>
      <c r="DS11" s="63" t="n">
        <v>65.651</v>
      </c>
      <c r="DT11" s="63" t="n">
        <v>66.081</v>
      </c>
      <c r="DU11" s="63" t="n">
        <v>66.47</v>
      </c>
      <c r="DV11" s="63" t="n">
        <v>66.88</v>
      </c>
      <c r="DW11" s="63" t="n">
        <v>67.052</v>
      </c>
      <c r="DX11" s="63" t="n">
        <v>67.262</v>
      </c>
      <c r="DY11" s="63" t="n">
        <v>67.623</v>
      </c>
      <c r="DZ11" s="63" t="n">
        <v>67.921</v>
      </c>
      <c r="EA11" s="63" t="n">
        <v>68.29</v>
      </c>
      <c r="EB11" s="63" t="n">
        <v>68.5</v>
      </c>
      <c r="EC11" s="63" t="n">
        <v>68.618</v>
      </c>
      <c r="ED11" s="63" t="n">
        <v>69.187</v>
      </c>
      <c r="EE11" s="63" t="n">
        <v>69.259</v>
      </c>
      <c r="EF11" s="63" t="n">
        <v>69.347</v>
      </c>
      <c r="EG11" s="63" t="n">
        <v>69.539</v>
      </c>
      <c r="EH11" s="63" t="n">
        <v>69.992</v>
      </c>
      <c r="EI11" s="63" t="n">
        <v>71.278</v>
      </c>
      <c r="EJ11" s="63" t="n">
        <v>73.197</v>
      </c>
      <c r="EK11" s="63" t="n">
        <v>74.955</v>
      </c>
      <c r="EL11" s="63" t="n">
        <v>75.588</v>
      </c>
      <c r="EM11" s="63" t="n">
        <v>77.01</v>
      </c>
      <c r="EN11" s="63" t="n">
        <v>78.725</v>
      </c>
      <c r="EO11" s="63" t="n">
        <v>79.823</v>
      </c>
      <c r="EP11" s="63" t="n">
        <v>80.319</v>
      </c>
      <c r="EQ11" s="63" t="n">
        <v>82.089</v>
      </c>
      <c r="ER11" s="63" t="n">
        <v>83.232</v>
      </c>
      <c r="ES11" s="63" t="n">
        <v>85.185</v>
      </c>
      <c r="ET11" s="63" t="n">
        <v>87.334</v>
      </c>
      <c r="EU11" s="63" t="n">
        <v>88.247</v>
      </c>
      <c r="EV11" s="63" t="n">
        <v>89.097</v>
      </c>
      <c r="EW11" s="63" t="n">
        <v>90.145</v>
      </c>
      <c r="EX11" s="63" t="n">
        <v>90.999</v>
      </c>
      <c r="EY11" s="63" t="n">
        <v>91.699</v>
      </c>
      <c r="EZ11" s="63" t="n">
        <v>92.884</v>
      </c>
      <c r="FA11" s="63" t="n">
        <v>94.586</v>
      </c>
      <c r="FB11" s="63" t="n">
        <v>95.176</v>
      </c>
      <c r="FC11" s="63" t="n">
        <v>94.34</v>
      </c>
      <c r="FD11" s="63" t="n">
        <v>93.49</v>
      </c>
      <c r="FE11" s="63" t="n">
        <v>93.418</v>
      </c>
      <c r="FF11" s="63" t="n">
        <v>93.683</v>
      </c>
      <c r="FG11" s="63" t="n">
        <v>94.09</v>
      </c>
      <c r="FH11" s="63" t="n">
        <v>94.386</v>
      </c>
      <c r="FI11" s="63" t="n">
        <v>94.81</v>
      </c>
      <c r="FJ11" s="63" t="n">
        <v>95.383</v>
      </c>
      <c r="FK11" s="63" t="n">
        <v>96.347</v>
      </c>
      <c r="FL11" s="63" t="n">
        <v>97.436</v>
      </c>
      <c r="FM11" s="63" t="n">
        <v>98.352</v>
      </c>
      <c r="FN11" s="63" t="n">
        <v>99.089</v>
      </c>
      <c r="FO11" s="63" t="n">
        <v>99.879</v>
      </c>
      <c r="FP11" s="63" t="n">
        <v>100.417</v>
      </c>
      <c r="FQ11" s="63" t="n">
        <v>100.615</v>
      </c>
      <c r="FR11" s="63" t="n">
        <v>101.023</v>
      </c>
      <c r="FS11" s="63" t="n">
        <v>101.538</v>
      </c>
      <c r="FT11" s="63" t="n">
        <v>102.085</v>
      </c>
      <c r="FU11" s="63" t="n">
        <v>102.856</v>
      </c>
      <c r="FV11" s="63" t="n">
        <v>103.435</v>
      </c>
      <c r="FW11" s="63" t="n">
        <v>103.907</v>
      </c>
      <c r="FX11" s="63" t="n">
        <v>104.409</v>
      </c>
      <c r="FY11" s="63" t="n">
        <v>104.593</v>
      </c>
      <c r="FZ11" s="63" t="n">
        <v>104.562</v>
      </c>
      <c r="GA11" s="63" t="n">
        <v>105.021</v>
      </c>
      <c r="GB11" s="63" t="n">
        <v>105.319</v>
      </c>
      <c r="GC11" s="63" t="n">
        <v>105.261</v>
      </c>
      <c r="GD11" s="63" t="n">
        <v>105.006</v>
      </c>
      <c r="GE11" s="63" t="n">
        <v>105.862</v>
      </c>
      <c r="GF11" s="63" t="n">
        <v>105.942</v>
      </c>
      <c r="GG11" s="63" t="n">
        <v>106.454</v>
      </c>
      <c r="GH11" s="63" t="n">
        <v>107.168</v>
      </c>
      <c r="GI11" s="63" t="n">
        <v>107.74</v>
      </c>
      <c r="GJ11" s="63" t="n">
        <v>108.705</v>
      </c>
      <c r="GK11" s="63" t="n">
        <v>109.33</v>
      </c>
      <c r="GL11" s="63" t="n">
        <v>110.357</v>
      </c>
      <c r="GM11" s="63" t="n">
        <v>111.901</v>
      </c>
      <c r="GN11" s="63" t="n">
        <v>112.724</v>
      </c>
      <c r="GO11" s="63" t="n">
        <v>113.887</v>
      </c>
      <c r="GP11" s="63" t="n">
        <v>114.332</v>
      </c>
      <c r="GQ11" s="63" t="n">
        <v>115.681</v>
      </c>
      <c r="GR11" s="63" t="n">
        <v>116.229</v>
      </c>
      <c r="GS11" s="63" t="n">
        <v>116.4</v>
      </c>
      <c r="GT11" s="63" t="n">
        <v>116.702</v>
      </c>
      <c r="GU11" s="63" t="n">
        <v>116.478</v>
      </c>
      <c r="GV11" s="63" t="n">
        <v>117.664</v>
      </c>
      <c r="GW11" s="63" t="n">
        <v>118.202</v>
      </c>
      <c r="GX11" s="63" t="n">
        <v>120.054</v>
      </c>
      <c r="GY11" s="63" t="n">
        <v>123.077</v>
      </c>
      <c r="GZ11" s="63" t="n">
        <v>125.862</v>
      </c>
      <c r="HA11" s="63" t="n">
        <v>129.515</v>
      </c>
      <c r="HB11" s="63" t="n">
        <v>133.441</v>
      </c>
      <c r="HC11" t="n">
        <v>137.823</v>
      </c>
      <c r="HD11" t="n">
        <v>140.93</v>
      </c>
      <c r="HE11" t="n">
        <v>142.75</v>
      </c>
    </row>
    <row r="12">
      <c r="A12" s="63" t="s">
        <v>2446</v>
      </c>
      <c r="B12" s="63" t="n">
        <v>7</v>
      </c>
      <c r="C12" s="63" t="n">
        <v>7.2</v>
      </c>
      <c r="D12" s="63" t="n">
        <v>7.3</v>
      </c>
      <c r="E12" s="63" t="n">
        <v>7.5</v>
      </c>
      <c r="F12" s="63" t="n">
        <v>7.8</v>
      </c>
      <c r="G12" s="63" t="n">
        <v>8</v>
      </c>
      <c r="H12" s="63" t="n">
        <v>8.1</v>
      </c>
      <c r="I12" s="63" t="n">
        <v>8.3</v>
      </c>
      <c r="J12" s="63" t="n">
        <v>8.5</v>
      </c>
      <c r="K12" s="63" t="n">
        <v>8.7</v>
      </c>
      <c r="L12" s="63" t="n">
        <v>8.9</v>
      </c>
      <c r="M12" s="63" t="n">
        <v>9.2</v>
      </c>
      <c r="N12" s="63" t="n">
        <v>9.5</v>
      </c>
      <c r="O12" s="63" t="n">
        <v>10</v>
      </c>
      <c r="P12" s="63" t="n">
        <v>10.5</v>
      </c>
      <c r="Q12" s="63" t="n">
        <v>11</v>
      </c>
      <c r="R12" s="63" t="n">
        <v>11.7</v>
      </c>
      <c r="S12" s="63" t="n">
        <v>12.4</v>
      </c>
      <c r="T12" s="63" t="n">
        <v>13.1</v>
      </c>
      <c r="U12" s="63" t="n">
        <v>13.8</v>
      </c>
      <c r="V12" s="63" t="n">
        <v>14.5</v>
      </c>
      <c r="W12" s="63" t="n">
        <v>15.2</v>
      </c>
      <c r="X12" s="63" t="n">
        <v>16</v>
      </c>
      <c r="Y12" s="63" t="n">
        <v>16.8</v>
      </c>
      <c r="Z12" s="63" t="n">
        <v>17.6</v>
      </c>
      <c r="AA12" s="63" t="n">
        <v>18.4</v>
      </c>
      <c r="AB12" s="63" t="n">
        <v>19.2</v>
      </c>
      <c r="AC12" s="63" t="n">
        <v>20</v>
      </c>
      <c r="AD12" s="63" t="n">
        <v>20.9</v>
      </c>
      <c r="AE12" s="63" t="n">
        <v>21.7</v>
      </c>
      <c r="AF12" s="63" t="n">
        <v>22.5</v>
      </c>
      <c r="AG12" s="63" t="n">
        <v>23.3</v>
      </c>
      <c r="AH12" s="63" t="n">
        <v>24.2</v>
      </c>
      <c r="AI12" s="63" t="n">
        <v>25</v>
      </c>
      <c r="AJ12" s="63" t="n">
        <v>26</v>
      </c>
      <c r="AK12" s="63" t="n">
        <v>27</v>
      </c>
      <c r="AL12" s="63" t="n">
        <v>28</v>
      </c>
      <c r="AM12" s="63" t="n">
        <v>29.2</v>
      </c>
      <c r="AN12" s="63" t="n">
        <v>30.5</v>
      </c>
      <c r="AO12" s="63" t="n">
        <v>32</v>
      </c>
      <c r="AP12" s="63" t="n">
        <v>33.6</v>
      </c>
      <c r="AQ12" s="63" t="n">
        <v>35.3</v>
      </c>
      <c r="AR12" s="63" t="n">
        <v>37</v>
      </c>
      <c r="AS12" s="63" t="n">
        <v>38.8</v>
      </c>
      <c r="AT12" s="63" t="n">
        <v>40.7</v>
      </c>
      <c r="AU12" s="63" t="n">
        <v>42.6</v>
      </c>
      <c r="AV12" s="63" t="n">
        <v>44.4</v>
      </c>
      <c r="AW12" s="63" t="n">
        <v>46.3</v>
      </c>
      <c r="AX12" s="63" t="n">
        <v>48.2</v>
      </c>
      <c r="AY12" s="63" t="n">
        <v>50.1</v>
      </c>
      <c r="AZ12" s="63" t="n">
        <v>51.8</v>
      </c>
      <c r="BA12" s="63" t="n">
        <v>53.6</v>
      </c>
      <c r="BB12" s="63" t="n">
        <v>55.2</v>
      </c>
      <c r="BC12" s="63" t="n">
        <v>56.9</v>
      </c>
      <c r="BD12" s="63" t="n">
        <v>58.7</v>
      </c>
      <c r="BE12" s="63" t="n">
        <v>60.4</v>
      </c>
      <c r="BF12" s="63" t="n">
        <v>62.5</v>
      </c>
      <c r="BG12" s="63" t="n">
        <v>64.1</v>
      </c>
      <c r="BH12" s="63" t="n">
        <v>65.6</v>
      </c>
      <c r="BI12" s="63" t="n">
        <v>66.9</v>
      </c>
      <c r="BJ12" s="63" t="n">
        <v>67.9</v>
      </c>
      <c r="BK12" s="63" t="n">
        <v>69.1</v>
      </c>
      <c r="BL12" s="63" t="n">
        <v>70.3</v>
      </c>
      <c r="BM12" s="63" t="n">
        <v>71.6</v>
      </c>
      <c r="BN12" s="63" t="n">
        <v>73</v>
      </c>
      <c r="BO12" s="63" t="n">
        <v>74.5</v>
      </c>
      <c r="BP12" s="63" t="n">
        <v>76</v>
      </c>
      <c r="BQ12" s="63" t="n">
        <v>77.6</v>
      </c>
      <c r="BR12" s="63" t="n">
        <v>79.6</v>
      </c>
      <c r="BS12" s="63" t="n">
        <v>81.1</v>
      </c>
      <c r="BT12" s="63" t="n">
        <v>82.3</v>
      </c>
      <c r="BU12" s="63" t="n">
        <v>83.3</v>
      </c>
      <c r="BV12" s="63" t="n">
        <v>83.4</v>
      </c>
      <c r="BW12" s="63" t="n">
        <v>85</v>
      </c>
      <c r="BX12" s="63" t="n">
        <v>87</v>
      </c>
      <c r="BY12" s="63" t="n">
        <v>89.7</v>
      </c>
      <c r="BZ12" s="63" t="n">
        <v>93.8</v>
      </c>
      <c r="CA12" s="63" t="n">
        <v>96.9</v>
      </c>
      <c r="CB12" s="63" t="n">
        <v>99.7</v>
      </c>
      <c r="CC12" s="63" t="n">
        <v>102.3</v>
      </c>
      <c r="CD12" s="63" t="n">
        <v>104.3</v>
      </c>
      <c r="CE12" s="63" t="n">
        <v>106.5</v>
      </c>
      <c r="CF12" s="63" t="n">
        <v>108.7</v>
      </c>
      <c r="CG12" s="63" t="n">
        <v>111</v>
      </c>
      <c r="CH12" s="63" t="n">
        <v>112.9</v>
      </c>
      <c r="CI12" s="63" t="n">
        <v>115.7</v>
      </c>
      <c r="CJ12" s="63" t="n">
        <v>118.9</v>
      </c>
      <c r="CK12" s="63" t="n">
        <v>122.5</v>
      </c>
      <c r="CL12" s="63" t="n">
        <v>127.2</v>
      </c>
      <c r="CM12" s="63" t="n">
        <v>131</v>
      </c>
      <c r="CN12" s="63" t="n">
        <v>134.5</v>
      </c>
      <c r="CO12" s="63" t="n">
        <v>137.7</v>
      </c>
      <c r="CP12" s="63" t="n">
        <v>143.4</v>
      </c>
      <c r="CQ12" s="63" t="n">
        <v>144.7</v>
      </c>
      <c r="CR12" s="63" t="n">
        <v>147.5</v>
      </c>
      <c r="CS12" s="63" t="n">
        <v>151.6</v>
      </c>
      <c r="CT12" s="63" t="n">
        <v>156.9</v>
      </c>
      <c r="CU12" s="63" t="n">
        <v>162.2</v>
      </c>
      <c r="CV12" s="63" t="n">
        <v>167.1</v>
      </c>
      <c r="CW12" s="63" t="n">
        <v>171.6</v>
      </c>
      <c r="CX12" s="63" t="n">
        <v>175.7</v>
      </c>
      <c r="CY12" s="63" t="n">
        <v>179.6</v>
      </c>
      <c r="CZ12" s="63" t="n">
        <v>183.2</v>
      </c>
      <c r="DA12" s="63" t="n">
        <v>186.5</v>
      </c>
      <c r="DB12" s="63" t="n">
        <v>189.6</v>
      </c>
      <c r="DC12" s="63" t="n">
        <v>192.9</v>
      </c>
      <c r="DD12" s="63" t="n">
        <v>196.5</v>
      </c>
      <c r="DE12" s="63" t="n">
        <v>200.4</v>
      </c>
      <c r="DF12" s="63" t="n">
        <v>204.4</v>
      </c>
      <c r="DG12" s="63" t="n">
        <v>207.1</v>
      </c>
      <c r="DH12" s="63" t="n">
        <v>208.3</v>
      </c>
      <c r="DI12" s="63" t="n">
        <v>207.9</v>
      </c>
      <c r="DJ12" s="63" t="n">
        <v>206.4</v>
      </c>
      <c r="DK12" s="63" t="n">
        <v>205.3</v>
      </c>
      <c r="DL12" s="63" t="n">
        <v>205</v>
      </c>
      <c r="DM12" s="63" t="n">
        <v>205.5</v>
      </c>
      <c r="DN12" s="63" t="n">
        <v>206.6</v>
      </c>
      <c r="DO12" s="63" t="n">
        <v>207.9</v>
      </c>
      <c r="DP12" s="63" t="n">
        <v>209.4</v>
      </c>
      <c r="DQ12" s="63" t="n">
        <v>211</v>
      </c>
      <c r="DR12" s="63" t="n">
        <v>213</v>
      </c>
      <c r="DS12" s="63" t="n">
        <v>216.1</v>
      </c>
      <c r="DT12" s="63" t="n">
        <v>220.7</v>
      </c>
      <c r="DU12" s="63" t="n">
        <v>226.7</v>
      </c>
      <c r="DV12" s="63" t="n">
        <v>233.8</v>
      </c>
      <c r="DW12" s="63" t="n">
        <v>240.4</v>
      </c>
      <c r="DX12" s="63" t="n">
        <v>245.8</v>
      </c>
      <c r="DY12" s="63" t="n">
        <v>250.3</v>
      </c>
      <c r="DZ12" s="63" t="n">
        <v>254.1</v>
      </c>
      <c r="EA12" s="63" t="n">
        <v>257.9</v>
      </c>
      <c r="EB12" s="63" t="n">
        <v>261.6</v>
      </c>
      <c r="EC12" s="63" t="n">
        <v>265.2</v>
      </c>
      <c r="ED12" s="63" t="n">
        <v>268.9</v>
      </c>
      <c r="EE12" s="63" t="n">
        <v>273.4</v>
      </c>
      <c r="EF12" s="63" t="n">
        <v>279</v>
      </c>
      <c r="EG12" s="63" t="n">
        <v>285.5</v>
      </c>
      <c r="EH12" s="63" t="n">
        <v>293</v>
      </c>
      <c r="EI12" s="63" t="n">
        <v>300.4</v>
      </c>
      <c r="EJ12" s="63" t="n">
        <v>308.6</v>
      </c>
      <c r="EK12" s="63" t="n">
        <v>315.4</v>
      </c>
      <c r="EL12" s="63" t="n">
        <v>323.2</v>
      </c>
      <c r="EM12" s="63" t="n">
        <v>329.2</v>
      </c>
      <c r="EN12" s="63" t="n">
        <v>335.1</v>
      </c>
      <c r="EO12" s="63" t="n">
        <v>341</v>
      </c>
      <c r="EP12" s="63" t="n">
        <v>389.6</v>
      </c>
      <c r="EQ12" s="63" t="n">
        <v>395.6</v>
      </c>
      <c r="ER12" s="63" t="n">
        <v>402.1</v>
      </c>
      <c r="ES12" s="63" t="n">
        <v>409.1</v>
      </c>
      <c r="ET12" s="63" t="n">
        <v>416.4</v>
      </c>
      <c r="EU12" s="63" t="n">
        <v>424.1</v>
      </c>
      <c r="EV12" s="63" t="n">
        <v>432</v>
      </c>
      <c r="EW12" s="63" t="n">
        <v>440.3</v>
      </c>
      <c r="EX12" s="63" t="n">
        <v>448.8</v>
      </c>
      <c r="EY12" s="63" t="n">
        <v>457.3</v>
      </c>
      <c r="EZ12" s="63" t="n">
        <v>465.9</v>
      </c>
      <c r="FA12" s="63" t="n">
        <v>474.5</v>
      </c>
      <c r="FB12" s="63" t="n">
        <v>482.9</v>
      </c>
      <c r="FC12" s="63" t="n">
        <v>490.4</v>
      </c>
      <c r="FD12" s="63" t="n">
        <v>496.7</v>
      </c>
      <c r="FE12" s="63" t="n">
        <v>501.8</v>
      </c>
      <c r="FF12" s="63" t="n">
        <v>506</v>
      </c>
      <c r="FG12" s="63" t="n">
        <v>510.5</v>
      </c>
      <c r="FH12" s="63" t="n">
        <v>515.7</v>
      </c>
      <c r="FI12" s="63" t="n">
        <v>521.4</v>
      </c>
      <c r="FJ12" s="63" t="n">
        <v>527.6</v>
      </c>
      <c r="FK12" s="63" t="n">
        <v>533.4</v>
      </c>
      <c r="FL12" s="63" t="n">
        <v>538.5</v>
      </c>
      <c r="FM12" s="63" t="n">
        <v>542.9</v>
      </c>
      <c r="FN12" s="63" t="n">
        <v>547</v>
      </c>
      <c r="FO12" s="63" t="n">
        <v>551.6</v>
      </c>
      <c r="FP12" s="63" t="n">
        <v>557.1</v>
      </c>
      <c r="FQ12" s="63" t="n">
        <v>563.4</v>
      </c>
      <c r="FR12" s="63" t="n">
        <v>570.3</v>
      </c>
      <c r="FS12" s="63" t="n">
        <v>567.1</v>
      </c>
      <c r="FT12" s="63" t="n">
        <v>573.7</v>
      </c>
      <c r="FU12" s="63" t="n">
        <v>580.2</v>
      </c>
      <c r="FV12" s="63" t="n">
        <v>587.5</v>
      </c>
      <c r="FW12" s="63" t="n">
        <v>595.6</v>
      </c>
      <c r="FX12" s="63" t="n">
        <v>604</v>
      </c>
      <c r="FY12" s="63" t="n">
        <v>612.8</v>
      </c>
      <c r="FZ12" s="63" t="n">
        <v>622.4</v>
      </c>
      <c r="GA12" s="63" t="n">
        <v>631.5</v>
      </c>
      <c r="GB12" s="63" t="n">
        <v>639.5</v>
      </c>
      <c r="GC12" s="63" t="n">
        <v>646.4</v>
      </c>
      <c r="GD12" s="63" t="n">
        <v>652.4</v>
      </c>
      <c r="GE12" s="63" t="n">
        <v>658.6</v>
      </c>
      <c r="GF12" s="63" t="n">
        <v>665.2</v>
      </c>
      <c r="GG12" s="63" t="n">
        <v>672.2</v>
      </c>
      <c r="GH12" s="63" t="n">
        <v>678.5</v>
      </c>
      <c r="GI12" s="63" t="n">
        <v>687.4</v>
      </c>
      <c r="GJ12" s="63" t="n">
        <v>696.3</v>
      </c>
      <c r="GK12" s="63" t="n">
        <v>705.1</v>
      </c>
      <c r="GL12" s="63" t="n">
        <v>714.3</v>
      </c>
      <c r="GM12" s="63" t="n">
        <v>725.6</v>
      </c>
      <c r="GN12" s="63" t="n">
        <v>739.2</v>
      </c>
      <c r="GO12" s="63" t="n">
        <v>755.3</v>
      </c>
      <c r="GP12" s="63" t="n">
        <v>772.6</v>
      </c>
      <c r="GQ12" s="63" t="n">
        <v>785.8</v>
      </c>
      <c r="GR12" s="63" t="n">
        <v>793.7</v>
      </c>
      <c r="GS12" s="63" t="n">
        <v>796.3</v>
      </c>
      <c r="GT12" s="63" t="n">
        <v>795.3</v>
      </c>
      <c r="GU12" s="63" t="n">
        <v>808</v>
      </c>
      <c r="GV12" s="63" t="n">
        <v>822.1</v>
      </c>
      <c r="GW12" s="63" t="n">
        <v>837.5</v>
      </c>
      <c r="GX12" s="63" t="n">
        <v>857.6</v>
      </c>
      <c r="GY12" s="63" t="n">
        <v>875.4</v>
      </c>
      <c r="GZ12" s="63" t="n">
        <v>889.5</v>
      </c>
      <c r="HA12" s="63" t="n">
        <v>900</v>
      </c>
      <c r="HB12" s="63" t="n">
        <v>908</v>
      </c>
      <c r="HC12" t="n">
        <v>911.8</v>
      </c>
      <c r="HD12" t="n">
        <v>920.3</v>
      </c>
      <c r="HE12" t="n">
        <v>941.6</v>
      </c>
    </row>
    <row r="13">
      <c r="A13" s="63" t="s">
        <v>2447</v>
      </c>
      <c r="B13" s="63" t="n">
        <v>5</v>
      </c>
      <c r="C13" s="63" t="n">
        <v>5.3</v>
      </c>
      <c r="D13" s="63" t="n">
        <v>5.6</v>
      </c>
      <c r="E13" s="63" t="n">
        <v>5.9</v>
      </c>
      <c r="F13" s="63" t="n">
        <v>6.2</v>
      </c>
      <c r="G13" s="63" t="n">
        <v>6.6</v>
      </c>
      <c r="H13" s="63" t="n">
        <v>6.9</v>
      </c>
      <c r="I13" s="63" t="n">
        <v>7.3</v>
      </c>
      <c r="J13" s="63" t="n">
        <v>7.8</v>
      </c>
      <c r="K13" s="63" t="n">
        <v>8</v>
      </c>
      <c r="L13" s="63" t="n">
        <v>8.6</v>
      </c>
      <c r="M13" s="63" t="n">
        <v>8.5</v>
      </c>
      <c r="N13" s="63" t="n">
        <v>9</v>
      </c>
      <c r="O13" s="63" t="n">
        <v>9.6</v>
      </c>
      <c r="P13" s="63" t="n">
        <v>9.7</v>
      </c>
      <c r="Q13" s="63" t="n">
        <v>10.1</v>
      </c>
      <c r="R13" s="63" t="n">
        <v>10.2</v>
      </c>
      <c r="S13" s="63" t="n">
        <v>11.1</v>
      </c>
      <c r="T13" s="63" t="n">
        <v>11.4</v>
      </c>
      <c r="U13" s="63" t="n">
        <v>12</v>
      </c>
      <c r="V13" s="63" t="n">
        <v>13.3</v>
      </c>
      <c r="W13" s="63" t="n">
        <v>13.8</v>
      </c>
      <c r="X13" s="63" t="n">
        <v>13.8</v>
      </c>
      <c r="Y13" s="63" t="n">
        <v>14.6</v>
      </c>
      <c r="Z13" s="63" t="n">
        <v>15.2</v>
      </c>
      <c r="AA13" s="63" t="n">
        <v>14.9</v>
      </c>
      <c r="AB13" s="63" t="n">
        <v>15.9</v>
      </c>
      <c r="AC13" s="63" t="n">
        <v>15.9</v>
      </c>
      <c r="AD13" s="63" t="n">
        <v>16.2</v>
      </c>
      <c r="AE13" s="63" t="n">
        <v>17.5</v>
      </c>
      <c r="AF13" s="63" t="n">
        <v>16.7</v>
      </c>
      <c r="AG13" s="63" t="n">
        <v>16.5</v>
      </c>
      <c r="AH13" s="63" t="n">
        <v>17.5</v>
      </c>
      <c r="AI13" s="63" t="n">
        <v>18.6</v>
      </c>
      <c r="AJ13" s="63" t="n">
        <v>18.9</v>
      </c>
      <c r="AK13" s="63" t="n">
        <v>19.5</v>
      </c>
      <c r="AL13" s="63" t="n">
        <v>20</v>
      </c>
      <c r="AM13" s="63" t="n">
        <v>20.8</v>
      </c>
      <c r="AN13" s="63" t="n">
        <v>21.1</v>
      </c>
      <c r="AO13" s="63" t="n">
        <v>22.4</v>
      </c>
      <c r="AP13" s="63" t="n">
        <v>23.4</v>
      </c>
      <c r="AQ13" s="63" t="n">
        <v>22.2</v>
      </c>
      <c r="AR13" s="63" t="n">
        <v>24.2</v>
      </c>
      <c r="AS13" s="63" t="n">
        <v>25.6</v>
      </c>
      <c r="AT13" s="63" t="n">
        <v>26.5</v>
      </c>
      <c r="AU13" s="63" t="n">
        <v>28.1</v>
      </c>
      <c r="AV13" s="63" t="n">
        <v>28.3</v>
      </c>
      <c r="AW13" s="63" t="n">
        <v>28</v>
      </c>
      <c r="AX13" s="63" t="n">
        <v>28.8</v>
      </c>
      <c r="AY13" s="63" t="n">
        <v>30.2</v>
      </c>
      <c r="AZ13" s="63" t="n">
        <v>30.8</v>
      </c>
      <c r="BA13" s="63" t="n">
        <v>30.8</v>
      </c>
      <c r="BB13" s="63" t="n">
        <v>33.2</v>
      </c>
      <c r="BC13" s="63" t="n">
        <v>33.4</v>
      </c>
      <c r="BD13" s="63" t="n">
        <v>34</v>
      </c>
      <c r="BE13" s="63" t="n">
        <v>34.9</v>
      </c>
      <c r="BF13" s="63" t="n">
        <v>35.7</v>
      </c>
      <c r="BG13" s="63" t="n">
        <v>36.2</v>
      </c>
      <c r="BH13" s="63" t="n">
        <v>36.8</v>
      </c>
      <c r="BI13" s="63" t="n">
        <v>37.6</v>
      </c>
      <c r="BJ13" s="63" t="n">
        <v>38.4</v>
      </c>
      <c r="BK13" s="63" t="n">
        <v>39.2</v>
      </c>
      <c r="BL13" s="63" t="n">
        <v>40.1</v>
      </c>
      <c r="BM13" s="63" t="n">
        <v>41.1</v>
      </c>
      <c r="BN13" s="63" t="n">
        <v>42.1</v>
      </c>
      <c r="BO13" s="63" t="n">
        <v>43.1</v>
      </c>
      <c r="BP13" s="63" t="n">
        <v>44.1</v>
      </c>
      <c r="BQ13" s="63" t="n">
        <v>45.2</v>
      </c>
      <c r="BR13" s="63" t="n">
        <v>46.2</v>
      </c>
      <c r="BS13" s="63" t="n">
        <v>47.3</v>
      </c>
      <c r="BT13" s="63" t="n">
        <v>48.4</v>
      </c>
      <c r="BU13" s="63" t="n">
        <v>49.4</v>
      </c>
      <c r="BV13" s="63" t="n">
        <v>50.9</v>
      </c>
      <c r="BW13" s="63" t="n">
        <v>52.2</v>
      </c>
      <c r="BX13" s="63" t="n">
        <v>53.7</v>
      </c>
      <c r="BY13" s="63" t="n">
        <v>55.4</v>
      </c>
      <c r="BZ13" s="63" t="n">
        <v>57.4</v>
      </c>
      <c r="CA13" s="63" t="n">
        <v>59.6</v>
      </c>
      <c r="CB13" s="63" t="n">
        <v>61.9</v>
      </c>
      <c r="CC13" s="63" t="n">
        <v>64.4</v>
      </c>
      <c r="CD13" s="63" t="n">
        <v>66.6</v>
      </c>
      <c r="CE13" s="63" t="n">
        <v>70.3</v>
      </c>
      <c r="CF13" s="63" t="n">
        <v>74.9</v>
      </c>
      <c r="CG13" s="63" t="n">
        <v>80.7</v>
      </c>
      <c r="CH13" s="63" t="n">
        <v>83.7</v>
      </c>
      <c r="CI13" s="63" t="n">
        <v>93.1</v>
      </c>
      <c r="CJ13" s="63" t="n">
        <v>98.4</v>
      </c>
      <c r="CK13" s="63" t="n">
        <v>112.5</v>
      </c>
      <c r="CL13" s="63" t="n">
        <v>108.3</v>
      </c>
      <c r="CM13" s="63" t="n">
        <v>115.4</v>
      </c>
      <c r="CN13" s="63" t="n">
        <v>120.6</v>
      </c>
      <c r="CO13" s="63" t="n">
        <v>120.8</v>
      </c>
      <c r="CP13" s="63" t="n">
        <v>124.4</v>
      </c>
      <c r="CQ13" s="63" t="n">
        <v>124.8</v>
      </c>
      <c r="CR13" s="63" t="n">
        <v>135.2</v>
      </c>
      <c r="CS13" s="63" t="n">
        <v>136</v>
      </c>
      <c r="CT13" s="63" t="n">
        <v>136.6</v>
      </c>
      <c r="CU13" s="63" t="n">
        <v>137.1</v>
      </c>
      <c r="CV13" s="63" t="n">
        <v>136.2</v>
      </c>
      <c r="CW13" s="63" t="n">
        <v>147.8</v>
      </c>
      <c r="CX13" s="63" t="n">
        <v>152.5</v>
      </c>
      <c r="CY13" s="63" t="n">
        <v>152.5</v>
      </c>
      <c r="CZ13" s="63" t="n">
        <v>152.7</v>
      </c>
      <c r="DA13" s="63" t="n">
        <v>140.7</v>
      </c>
      <c r="DB13" s="63" t="n">
        <v>151.3</v>
      </c>
      <c r="DC13" s="63" t="n">
        <v>165.8</v>
      </c>
      <c r="DD13" s="63" t="n">
        <v>158.8</v>
      </c>
      <c r="DE13" s="63" t="n">
        <v>156.9</v>
      </c>
      <c r="DF13" s="63" t="n">
        <v>161.4</v>
      </c>
      <c r="DG13" s="63" t="n">
        <v>159.4</v>
      </c>
      <c r="DH13" s="63" t="n">
        <v>163.7</v>
      </c>
      <c r="DI13" s="63" t="n">
        <v>168</v>
      </c>
      <c r="DJ13" s="63" t="n">
        <v>167.2</v>
      </c>
      <c r="DK13" s="63" t="n">
        <v>170</v>
      </c>
      <c r="DL13" s="63" t="n">
        <v>168.1</v>
      </c>
      <c r="DM13" s="63" t="n">
        <v>175.4</v>
      </c>
      <c r="DN13" s="63" t="n">
        <v>181.1</v>
      </c>
      <c r="DO13" s="63" t="n">
        <v>179.1</v>
      </c>
      <c r="DP13" s="63" t="n">
        <v>186.7</v>
      </c>
      <c r="DQ13" s="63" t="n">
        <v>191.3</v>
      </c>
      <c r="DR13" s="63" t="n">
        <v>190.2</v>
      </c>
      <c r="DS13" s="63" t="n">
        <v>198.3</v>
      </c>
      <c r="DT13" s="63" t="n">
        <v>204.8</v>
      </c>
      <c r="DU13" s="63" t="n">
        <v>204.8</v>
      </c>
      <c r="DV13" s="63" t="n">
        <v>215</v>
      </c>
      <c r="DW13" s="63" t="n">
        <v>230.1</v>
      </c>
      <c r="DX13" s="63" t="n">
        <v>217.4</v>
      </c>
      <c r="DY13" s="63" t="n">
        <v>246.5</v>
      </c>
      <c r="DZ13" s="63" t="n">
        <v>244.9</v>
      </c>
      <c r="EA13" s="63" t="n">
        <v>243.8</v>
      </c>
      <c r="EB13" s="63" t="n">
        <v>251.1</v>
      </c>
      <c r="EC13" s="63" t="n">
        <v>260.3</v>
      </c>
      <c r="ED13" s="63" t="n">
        <v>260.7</v>
      </c>
      <c r="EE13" s="63" t="n">
        <v>260.1</v>
      </c>
      <c r="EF13" s="63" t="n">
        <v>271.7</v>
      </c>
      <c r="EG13" s="63" t="n">
        <v>265.7</v>
      </c>
      <c r="EH13" s="63" t="n">
        <v>283.4</v>
      </c>
      <c r="EI13" s="63" t="n">
        <v>293</v>
      </c>
      <c r="EJ13" s="63" t="n">
        <v>288.3</v>
      </c>
      <c r="EK13" s="63" t="n">
        <v>294.5</v>
      </c>
      <c r="EL13" s="63" t="n">
        <v>301.3</v>
      </c>
      <c r="EM13" s="63" t="n">
        <v>310.8</v>
      </c>
      <c r="EN13" s="63" t="n">
        <v>300.1</v>
      </c>
      <c r="EO13" s="63" t="n">
        <v>305.4</v>
      </c>
      <c r="EP13" s="63" t="n">
        <v>291.3</v>
      </c>
      <c r="EQ13" s="63" t="n">
        <v>294.9</v>
      </c>
      <c r="ER13" s="63" t="n">
        <v>308.7</v>
      </c>
      <c r="ES13" s="63" t="n">
        <v>301.4</v>
      </c>
      <c r="ET13" s="63" t="n">
        <v>332.5</v>
      </c>
      <c r="EU13" s="63" t="n">
        <v>314.7</v>
      </c>
      <c r="EV13" s="63" t="n">
        <v>319.6</v>
      </c>
      <c r="EW13" s="63" t="n">
        <v>329.9</v>
      </c>
      <c r="EX13" s="63" t="n">
        <v>331.6</v>
      </c>
      <c r="EY13" s="63" t="n">
        <v>339.2</v>
      </c>
      <c r="EZ13" s="63" t="n">
        <v>340.8</v>
      </c>
      <c r="FA13" s="63" t="n">
        <v>341.8</v>
      </c>
      <c r="FB13" s="63" t="n">
        <v>358.4</v>
      </c>
      <c r="FC13" s="63" t="n">
        <v>368.9</v>
      </c>
      <c r="FD13" s="63" t="n">
        <v>378.2</v>
      </c>
      <c r="FE13" s="63" t="n">
        <v>372.8</v>
      </c>
      <c r="FF13" s="63" t="n">
        <v>382.1</v>
      </c>
      <c r="FG13" s="63" t="n">
        <v>385.7</v>
      </c>
      <c r="FH13" s="63" t="n">
        <v>405.6</v>
      </c>
      <c r="FI13" s="63" t="n">
        <v>414.1</v>
      </c>
      <c r="FJ13" s="63" t="n">
        <v>418.8</v>
      </c>
      <c r="FK13" s="63" t="n">
        <v>409.7</v>
      </c>
      <c r="FL13" s="63" t="n">
        <v>396.4</v>
      </c>
      <c r="FM13" s="63" t="n">
        <v>399.3</v>
      </c>
      <c r="FN13" s="63" t="n">
        <v>400.6</v>
      </c>
      <c r="FO13" s="63" t="n">
        <v>421.7</v>
      </c>
      <c r="FP13" s="63" t="n">
        <v>419</v>
      </c>
      <c r="FQ13" s="63" t="n">
        <v>428.9</v>
      </c>
      <c r="FR13" s="63" t="n">
        <v>424.8</v>
      </c>
      <c r="FS13" s="63" t="n">
        <v>438.4</v>
      </c>
      <c r="FT13" s="63" t="n">
        <v>448.2</v>
      </c>
      <c r="FU13" s="63" t="n">
        <v>448.6</v>
      </c>
      <c r="FV13" s="63" t="n">
        <v>459.5</v>
      </c>
      <c r="FW13" s="63" t="n">
        <v>481.5</v>
      </c>
      <c r="FX13" s="63" t="n">
        <v>507.2</v>
      </c>
      <c r="FY13" s="63" t="n">
        <v>515.3</v>
      </c>
      <c r="FZ13" s="63" t="n">
        <v>523.6</v>
      </c>
      <c r="GA13" s="63" t="n">
        <v>537.9</v>
      </c>
      <c r="GB13" s="63" t="n">
        <v>540.4</v>
      </c>
      <c r="GC13" s="63" t="n">
        <v>541.8</v>
      </c>
      <c r="GD13" s="63" t="n">
        <v>550.5</v>
      </c>
      <c r="GE13" s="63" t="n">
        <v>558.8</v>
      </c>
      <c r="GF13" s="63" t="n">
        <v>566.5</v>
      </c>
      <c r="GG13" s="63" t="n">
        <v>575.3</v>
      </c>
      <c r="GH13" s="63" t="n">
        <v>572.4</v>
      </c>
      <c r="GI13" s="63" t="n">
        <v>567.9</v>
      </c>
      <c r="GJ13" s="63" t="n">
        <v>578.8</v>
      </c>
      <c r="GK13" s="63" t="n">
        <v>575.8</v>
      </c>
      <c r="GL13" s="63" t="n">
        <v>581.9</v>
      </c>
      <c r="GM13" s="63" t="n">
        <v>592.6</v>
      </c>
      <c r="GN13" s="63" t="n">
        <v>595</v>
      </c>
      <c r="GO13" s="63" t="n">
        <v>589.5</v>
      </c>
      <c r="GP13" s="63" t="n">
        <v>598.7</v>
      </c>
      <c r="GQ13" s="63" t="n">
        <v>614.4</v>
      </c>
      <c r="GR13" s="63" t="n">
        <v>622.4</v>
      </c>
      <c r="GS13" s="63" t="n">
        <v>620.7</v>
      </c>
      <c r="GT13" s="63" t="n">
        <v>606.6</v>
      </c>
      <c r="GU13" s="63" t="n">
        <v>654.7</v>
      </c>
      <c r="GV13" s="63" t="n">
        <v>690.7</v>
      </c>
      <c r="GW13" s="63" t="n">
        <v>678.3</v>
      </c>
      <c r="GX13" s="63" t="n">
        <v>704.4</v>
      </c>
      <c r="GY13" s="63" t="n">
        <v>744.8</v>
      </c>
      <c r="GZ13" s="63" t="n">
        <v>748.2</v>
      </c>
      <c r="HA13" s="63" t="n">
        <v>745</v>
      </c>
      <c r="HB13" s="63" t="n">
        <v>763.1</v>
      </c>
      <c r="HC13" t="n">
        <v>789.5</v>
      </c>
      <c r="HD13" t="n">
        <v>786.1</v>
      </c>
      <c r="HE13" t="n">
        <v>793.3</v>
      </c>
    </row>
    <row r="14">
      <c r="A14" s="63" t="s">
        <v>2448</v>
      </c>
      <c r="B14" s="63" t="n">
        <v>2.9</v>
      </c>
      <c r="C14" s="63" t="n">
        <v>3.9</v>
      </c>
      <c r="D14" s="63" t="n">
        <v>4.6</v>
      </c>
      <c r="E14" s="63" t="n">
        <v>5.4</v>
      </c>
      <c r="F14" s="63" t="n">
        <v>5.7</v>
      </c>
      <c r="G14" s="63" t="n">
        <v>6.3</v>
      </c>
      <c r="H14" s="63" t="n">
        <v>6.3</v>
      </c>
      <c r="I14" s="63" t="n">
        <v>6.3</v>
      </c>
      <c r="J14" s="63" t="n">
        <v>6.5</v>
      </c>
      <c r="K14" s="63" t="n">
        <v>6.9</v>
      </c>
      <c r="L14" s="63" t="n">
        <v>5.8</v>
      </c>
      <c r="M14" s="63" t="n">
        <v>5</v>
      </c>
      <c r="N14" s="63" t="n">
        <v>4.6</v>
      </c>
      <c r="O14" s="63" t="n">
        <v>4.5</v>
      </c>
      <c r="P14" s="63" t="n">
        <v>4.5</v>
      </c>
      <c r="Q14" s="63" t="n">
        <v>4.7</v>
      </c>
      <c r="R14" s="63" t="n">
        <v>5.8</v>
      </c>
      <c r="S14" s="63" t="n">
        <v>6.7</v>
      </c>
      <c r="T14" s="63" t="n">
        <v>6.9</v>
      </c>
      <c r="U14" s="63" t="n">
        <v>8.6</v>
      </c>
      <c r="V14" s="63" t="n">
        <v>14.2</v>
      </c>
      <c r="W14" s="63" t="n">
        <v>19.4</v>
      </c>
      <c r="X14" s="63" t="n">
        <v>20.2</v>
      </c>
      <c r="Y14" s="63" t="n">
        <v>18.8</v>
      </c>
      <c r="Z14" s="63" t="n">
        <v>17.7</v>
      </c>
      <c r="AA14" s="63" t="n">
        <v>16.3</v>
      </c>
      <c r="AB14" s="63" t="n">
        <v>16.1</v>
      </c>
      <c r="AC14" s="63" t="n">
        <v>15.5</v>
      </c>
      <c r="AD14" s="63" t="n">
        <v>15.5</v>
      </c>
      <c r="AE14" s="63" t="n">
        <v>13.3</v>
      </c>
      <c r="AF14" s="63" t="n">
        <v>11.9</v>
      </c>
      <c r="AG14" s="63" t="n">
        <v>11.8</v>
      </c>
      <c r="AH14" s="63" t="n">
        <v>10.8</v>
      </c>
      <c r="AI14" s="63" t="n">
        <v>9.4</v>
      </c>
      <c r="AJ14" s="63" t="n">
        <v>9</v>
      </c>
      <c r="AK14" s="63" t="n">
        <v>8.5</v>
      </c>
      <c r="AL14" s="63" t="n">
        <v>9.4</v>
      </c>
      <c r="AM14" s="63" t="n">
        <v>9.2</v>
      </c>
      <c r="AN14" s="63" t="n">
        <v>9.6</v>
      </c>
      <c r="AO14" s="63" t="n">
        <v>10.6</v>
      </c>
      <c r="AP14" s="63" t="n">
        <v>12</v>
      </c>
      <c r="AQ14" s="63" t="n">
        <v>15.7</v>
      </c>
      <c r="AR14" s="63" t="n">
        <v>19</v>
      </c>
      <c r="AS14" s="63" t="n">
        <v>17.8</v>
      </c>
      <c r="AT14" s="63" t="n">
        <v>16.4</v>
      </c>
      <c r="AU14" s="63" t="n">
        <v>15.5</v>
      </c>
      <c r="AV14" s="63" t="n">
        <v>15</v>
      </c>
      <c r="AW14" s="63" t="n">
        <v>16.6</v>
      </c>
      <c r="AX14" s="63" t="n">
        <v>19.1</v>
      </c>
      <c r="AY14" s="63" t="n">
        <v>23.9</v>
      </c>
      <c r="AZ14" s="63" t="n">
        <v>26.1</v>
      </c>
      <c r="BA14" s="63" t="n">
        <v>31.8</v>
      </c>
      <c r="BB14" s="63" t="n">
        <v>30.3</v>
      </c>
      <c r="BC14" s="63" t="n">
        <v>32.1</v>
      </c>
      <c r="BD14" s="63" t="n">
        <v>23.3</v>
      </c>
      <c r="BE14" s="63" t="n">
        <v>20</v>
      </c>
      <c r="BF14" s="63" t="n">
        <v>17.3</v>
      </c>
      <c r="BG14" s="63" t="n">
        <v>15.7</v>
      </c>
      <c r="BH14" s="63" t="n">
        <v>15.1</v>
      </c>
      <c r="BI14" s="63" t="n">
        <v>15.9</v>
      </c>
      <c r="BJ14" s="63" t="n">
        <v>16.9</v>
      </c>
      <c r="BK14" s="63" t="n">
        <v>16</v>
      </c>
      <c r="BL14" s="63" t="n">
        <v>15</v>
      </c>
      <c r="BM14" s="63" t="n">
        <v>15.6</v>
      </c>
      <c r="BN14" s="63" t="n">
        <v>15.6</v>
      </c>
      <c r="BO14" s="63" t="n">
        <v>16.4</v>
      </c>
      <c r="BP14" s="63" t="n">
        <v>17</v>
      </c>
      <c r="BQ14" s="63" t="n">
        <v>16.9</v>
      </c>
      <c r="BR14" s="63" t="n">
        <v>15.5</v>
      </c>
      <c r="BS14" s="63" t="n">
        <v>15.1</v>
      </c>
      <c r="BT14" s="63" t="n">
        <v>14.4</v>
      </c>
      <c r="BU14" s="63" t="n">
        <v>13.5</v>
      </c>
      <c r="BV14" s="63" t="n">
        <v>13.9</v>
      </c>
      <c r="BW14" s="63" t="n">
        <v>13.2</v>
      </c>
      <c r="BX14" s="63" t="n">
        <v>13.2</v>
      </c>
      <c r="BY14" s="63" t="n">
        <v>13</v>
      </c>
      <c r="BZ14" s="63" t="n">
        <v>13.6</v>
      </c>
      <c r="CA14" s="63" t="n">
        <v>13.7</v>
      </c>
      <c r="CB14" s="63" t="n">
        <v>14.6</v>
      </c>
      <c r="CC14" s="63" t="n">
        <v>15.8</v>
      </c>
      <c r="CD14" s="63" t="n">
        <v>16.4</v>
      </c>
      <c r="CE14" s="63" t="n">
        <v>17.1</v>
      </c>
      <c r="CF14" s="63" t="n">
        <v>18.2</v>
      </c>
      <c r="CG14" s="63" t="n">
        <v>21</v>
      </c>
      <c r="CH14" s="63" t="n">
        <v>24.3</v>
      </c>
      <c r="CI14" s="63" t="n">
        <v>27.5</v>
      </c>
      <c r="CJ14" s="63" t="n">
        <v>25.9</v>
      </c>
      <c r="CK14" s="63" t="n">
        <v>29.4</v>
      </c>
      <c r="CL14" s="63" t="n">
        <v>39.7</v>
      </c>
      <c r="CM14" s="63" t="n">
        <v>41.2</v>
      </c>
      <c r="CN14" s="63" t="n">
        <v>39.6</v>
      </c>
      <c r="CO14" s="63" t="n">
        <v>38</v>
      </c>
      <c r="CP14" s="63" t="n">
        <v>35.1</v>
      </c>
      <c r="CQ14" s="63" t="n">
        <v>35.5</v>
      </c>
      <c r="CR14" s="63" t="n">
        <v>35.5</v>
      </c>
      <c r="CS14" s="63" t="n">
        <v>33.2</v>
      </c>
      <c r="CT14" s="63" t="n">
        <v>28</v>
      </c>
      <c r="CU14" s="63" t="n">
        <v>24.4</v>
      </c>
      <c r="CV14" s="63" t="n">
        <v>22.1</v>
      </c>
      <c r="CW14" s="63" t="n">
        <v>21.3</v>
      </c>
      <c r="CX14" s="63" t="n">
        <v>20.9</v>
      </c>
      <c r="CY14" s="63" t="n">
        <v>21.6</v>
      </c>
      <c r="CZ14" s="63" t="n">
        <v>22</v>
      </c>
      <c r="DA14" s="63" t="n">
        <v>22.5</v>
      </c>
      <c r="DB14" s="63" t="n">
        <v>23</v>
      </c>
      <c r="DC14" s="63" t="n">
        <v>22.7</v>
      </c>
      <c r="DD14" s="63" t="n">
        <v>21.6</v>
      </c>
      <c r="DE14" s="63" t="n">
        <v>21.7</v>
      </c>
      <c r="DF14" s="63" t="n">
        <v>21</v>
      </c>
      <c r="DG14" s="63" t="n">
        <v>20.4</v>
      </c>
      <c r="DH14" s="63" t="n">
        <v>19.6</v>
      </c>
      <c r="DI14" s="63" t="n">
        <v>19.4</v>
      </c>
      <c r="DJ14" s="63" t="n">
        <v>19.4</v>
      </c>
      <c r="DK14" s="63" t="n">
        <v>19.3</v>
      </c>
      <c r="DL14" s="63" t="n">
        <v>20.3</v>
      </c>
      <c r="DM14" s="63" t="n">
        <v>19.8</v>
      </c>
      <c r="DN14" s="63" t="n">
        <v>20.8</v>
      </c>
      <c r="DO14" s="63" t="n">
        <v>20.9</v>
      </c>
      <c r="DP14" s="63" t="n">
        <v>20.3</v>
      </c>
      <c r="DQ14" s="63" t="n">
        <v>20</v>
      </c>
      <c r="DR14" s="63" t="n">
        <v>20.5</v>
      </c>
      <c r="DS14" s="63" t="n">
        <v>20</v>
      </c>
      <c r="DT14" s="63" t="n">
        <v>20.6</v>
      </c>
      <c r="DU14" s="63" t="n">
        <v>21.9</v>
      </c>
      <c r="DV14" s="63" t="n">
        <v>25.5</v>
      </c>
      <c r="DW14" s="63" t="n">
        <v>28.4</v>
      </c>
      <c r="DX14" s="63" t="n">
        <v>33.1</v>
      </c>
      <c r="DY14" s="63" t="n">
        <v>40.6</v>
      </c>
      <c r="DZ14" s="63" t="n">
        <v>42.8</v>
      </c>
      <c r="EA14" s="63" t="n">
        <v>60.5</v>
      </c>
      <c r="EB14" s="63" t="n">
        <v>56.9</v>
      </c>
      <c r="EC14" s="63" t="n">
        <v>53.7</v>
      </c>
      <c r="ED14" s="63" t="n">
        <v>51.8</v>
      </c>
      <c r="EE14" s="63" t="n">
        <v>55.2</v>
      </c>
      <c r="EF14" s="63" t="n">
        <v>54.2</v>
      </c>
      <c r="EG14" s="63" t="n">
        <v>51.5</v>
      </c>
      <c r="EH14" s="63" t="n">
        <v>42.3</v>
      </c>
      <c r="EI14" s="63" t="n">
        <v>35.9</v>
      </c>
      <c r="EJ14" s="63" t="n">
        <v>34.7</v>
      </c>
      <c r="EK14" s="63" t="n">
        <v>32.9</v>
      </c>
      <c r="EL14" s="63" t="n">
        <v>32.1</v>
      </c>
      <c r="EM14" s="63" t="n">
        <v>30.9</v>
      </c>
      <c r="EN14" s="63" t="n">
        <v>31.6</v>
      </c>
      <c r="EO14" s="63" t="n">
        <v>32.5</v>
      </c>
      <c r="EP14" s="63" t="n">
        <v>30.3</v>
      </c>
      <c r="EQ14" s="63" t="n">
        <v>29.5</v>
      </c>
      <c r="ER14" s="63" t="n">
        <v>30.6</v>
      </c>
      <c r="ES14" s="63" t="n">
        <v>31.1</v>
      </c>
      <c r="ET14" s="63" t="n">
        <v>32.3</v>
      </c>
      <c r="EU14" s="63" t="n">
        <v>31.8</v>
      </c>
      <c r="EV14" s="63" t="n">
        <v>32.8</v>
      </c>
      <c r="EW14" s="63" t="n">
        <v>34</v>
      </c>
      <c r="EX14" s="63" t="n">
        <v>36.3</v>
      </c>
      <c r="EY14" s="63" t="n">
        <v>38.2</v>
      </c>
      <c r="EZ14" s="63" t="n">
        <v>58.2</v>
      </c>
      <c r="FA14" s="63" t="n">
        <v>71.9</v>
      </c>
      <c r="FB14" s="63" t="n">
        <v>101.6</v>
      </c>
      <c r="FC14" s="63" t="n">
        <v>130.3</v>
      </c>
      <c r="FD14" s="63" t="n">
        <v>144.4</v>
      </c>
      <c r="FE14" s="63" t="n">
        <v>148.6</v>
      </c>
      <c r="FF14" s="63" t="n">
        <v>159.3</v>
      </c>
      <c r="FG14" s="63" t="n">
        <v>141.2</v>
      </c>
      <c r="FH14" s="63" t="n">
        <v>131</v>
      </c>
      <c r="FI14" s="63" t="n">
        <v>123.9</v>
      </c>
      <c r="FJ14" s="63" t="n">
        <v>116.7</v>
      </c>
      <c r="FK14" s="63" t="n">
        <v>109.3</v>
      </c>
      <c r="FL14" s="63" t="n">
        <v>102.9</v>
      </c>
      <c r="FM14" s="63" t="n">
        <v>99.8</v>
      </c>
      <c r="FN14" s="63" t="n">
        <v>94.6</v>
      </c>
      <c r="FO14" s="63" t="n">
        <v>86.3</v>
      </c>
      <c r="FP14" s="63" t="n">
        <v>78.4</v>
      </c>
      <c r="FQ14" s="63" t="n">
        <v>75.1</v>
      </c>
      <c r="FR14" s="63" t="n">
        <v>69</v>
      </c>
      <c r="FS14" s="63" t="n">
        <v>64.8</v>
      </c>
      <c r="FT14" s="63" t="n">
        <v>59.1</v>
      </c>
      <c r="FU14" s="63" t="n">
        <v>57.1</v>
      </c>
      <c r="FV14" s="63" t="n">
        <v>39</v>
      </c>
      <c r="FW14" s="63" t="n">
        <v>35.8</v>
      </c>
      <c r="FX14" s="63" t="n">
        <v>34</v>
      </c>
      <c r="FY14" s="63" t="n">
        <v>33</v>
      </c>
      <c r="FZ14" s="63" t="n">
        <v>32.9</v>
      </c>
      <c r="GA14" s="63" t="n">
        <v>32.4</v>
      </c>
      <c r="GB14" s="63" t="n">
        <v>32.5</v>
      </c>
      <c r="GC14" s="63" t="n">
        <v>32.4</v>
      </c>
      <c r="GD14" s="63" t="n">
        <v>32.4</v>
      </c>
      <c r="GE14" s="63" t="n">
        <v>32.3</v>
      </c>
      <c r="GF14" s="63" t="n">
        <v>32.1</v>
      </c>
      <c r="GG14" s="63" t="n">
        <v>31.3</v>
      </c>
      <c r="GH14" s="63" t="n">
        <v>31.3</v>
      </c>
      <c r="GI14" s="63" t="n">
        <v>29.6</v>
      </c>
      <c r="GJ14" s="63" t="n">
        <v>29.6</v>
      </c>
      <c r="GK14" s="63" t="n">
        <v>30.3</v>
      </c>
      <c r="GL14" s="63" t="n">
        <v>29.7</v>
      </c>
      <c r="GM14" s="63" t="n">
        <v>27</v>
      </c>
      <c r="GN14" s="63" t="n">
        <v>26.5</v>
      </c>
      <c r="GO14" s="63" t="n">
        <v>27.8</v>
      </c>
      <c r="GP14" s="63" t="n">
        <v>29.4</v>
      </c>
      <c r="GQ14" s="63" t="n">
        <v>26.9</v>
      </c>
      <c r="GR14" s="63" t="n">
        <v>26.4</v>
      </c>
      <c r="GS14" s="63" t="n">
        <v>27.7</v>
      </c>
      <c r="GT14" s="63" t="n">
        <v>40.7</v>
      </c>
      <c r="GU14" s="63" t="n">
        <v>1007.5</v>
      </c>
      <c r="GV14" s="63" t="n">
        <v>792.9</v>
      </c>
      <c r="GW14" s="63" t="n">
        <v>308.5</v>
      </c>
      <c r="GX14" s="63" t="n">
        <v>556.2</v>
      </c>
      <c r="GY14" s="63" t="n">
        <v>448.6</v>
      </c>
      <c r="GZ14" s="63" t="n">
        <v>245.1</v>
      </c>
      <c r="HA14" s="63" t="n">
        <v>33.8</v>
      </c>
      <c r="HB14" s="63" t="n">
        <v>23.6</v>
      </c>
      <c r="HC14" t="n">
        <v>18.6</v>
      </c>
      <c r="HD14" t="n">
        <v>18.5</v>
      </c>
      <c r="HE14" t="n">
        <v>20.4</v>
      </c>
    </row>
    <row r="15">
      <c r="A15" s="63" t="s">
        <v>2449</v>
      </c>
      <c r="B15" s="63" t="n">
        <v>63</v>
      </c>
      <c r="C15" s="63" t="n">
        <v>73.1</v>
      </c>
      <c r="D15" s="63" t="n">
        <v>73.5</v>
      </c>
      <c r="E15" s="63" t="n">
        <v>77.4</v>
      </c>
      <c r="F15" s="63" t="n">
        <v>79.3</v>
      </c>
      <c r="G15" s="63" t="n">
        <v>86.9</v>
      </c>
      <c r="H15" s="63" t="n">
        <v>86.9</v>
      </c>
      <c r="I15" s="63" t="n">
        <v>88.5</v>
      </c>
      <c r="J15" s="63" t="n">
        <v>91.4</v>
      </c>
      <c r="K15" s="63" t="n">
        <v>91.9</v>
      </c>
      <c r="L15" s="63" t="n">
        <v>92.9</v>
      </c>
      <c r="M15" s="63" t="n">
        <v>103.1</v>
      </c>
      <c r="N15" s="63" t="n">
        <v>105.4</v>
      </c>
      <c r="O15" s="63" t="n">
        <v>107.6</v>
      </c>
      <c r="P15" s="63" t="n">
        <v>109.2</v>
      </c>
      <c r="Q15" s="63" t="n">
        <v>112.3</v>
      </c>
      <c r="R15" s="63" t="n">
        <v>117.5</v>
      </c>
      <c r="S15" s="63" t="n">
        <v>125.4</v>
      </c>
      <c r="T15" s="63" t="n">
        <v>132.2</v>
      </c>
      <c r="U15" s="63" t="n">
        <v>139.1</v>
      </c>
      <c r="V15" s="63" t="n">
        <v>149.8</v>
      </c>
      <c r="W15" s="63" t="n">
        <v>164.6</v>
      </c>
      <c r="X15" s="63" t="n">
        <v>167.7</v>
      </c>
      <c r="Y15" s="63" t="n">
        <v>170.4</v>
      </c>
      <c r="Z15" s="63" t="n">
        <v>174.7</v>
      </c>
      <c r="AA15" s="63" t="n">
        <v>173.1</v>
      </c>
      <c r="AB15" s="63" t="n">
        <v>180.1</v>
      </c>
      <c r="AC15" s="63" t="n">
        <v>182.7</v>
      </c>
      <c r="AD15" s="63" t="n">
        <v>185.5</v>
      </c>
      <c r="AE15" s="63" t="n">
        <v>186.4</v>
      </c>
      <c r="AF15" s="63" t="n">
        <v>191.7</v>
      </c>
      <c r="AG15" s="63" t="n">
        <v>194.3</v>
      </c>
      <c r="AH15" s="63" t="n">
        <v>197.7</v>
      </c>
      <c r="AI15" s="63" t="n">
        <v>199</v>
      </c>
      <c r="AJ15" s="63" t="n">
        <v>207.1</v>
      </c>
      <c r="AK15" s="63" t="n">
        <v>209.9</v>
      </c>
      <c r="AL15" s="63" t="n">
        <v>214.9</v>
      </c>
      <c r="AM15" s="63" t="n">
        <v>219.2</v>
      </c>
      <c r="AN15" s="63" t="n">
        <v>234.6</v>
      </c>
      <c r="AO15" s="63" t="n">
        <v>240.7</v>
      </c>
      <c r="AP15" s="63" t="n">
        <v>251.2</v>
      </c>
      <c r="AQ15" s="63" t="n">
        <v>256.2</v>
      </c>
      <c r="AR15" s="63" t="n">
        <v>287.9</v>
      </c>
      <c r="AS15" s="63" t="n">
        <v>290.7</v>
      </c>
      <c r="AT15" s="63" t="n">
        <v>296.1</v>
      </c>
      <c r="AU15" s="63" t="n">
        <v>299</v>
      </c>
      <c r="AV15" s="63" t="n">
        <v>317</v>
      </c>
      <c r="AW15" s="63" t="n">
        <v>319.2</v>
      </c>
      <c r="AX15" s="63" t="n">
        <v>324.3</v>
      </c>
      <c r="AY15" s="63" t="n">
        <v>333.2</v>
      </c>
      <c r="AZ15" s="63" t="n">
        <v>349.7</v>
      </c>
      <c r="BA15" s="63" t="n">
        <v>365.2</v>
      </c>
      <c r="BB15" s="63" t="n">
        <v>368</v>
      </c>
      <c r="BC15" s="63" t="n">
        <v>373.7</v>
      </c>
      <c r="BD15" s="63" t="n">
        <v>368.5</v>
      </c>
      <c r="BE15" s="63" t="n">
        <v>371.8</v>
      </c>
      <c r="BF15" s="63" t="n">
        <v>376.3</v>
      </c>
      <c r="BG15" s="63" t="n">
        <v>379</v>
      </c>
      <c r="BH15" s="63" t="n">
        <v>380.4</v>
      </c>
      <c r="BI15" s="63" t="n">
        <v>387.9</v>
      </c>
      <c r="BJ15" s="63" t="n">
        <v>398.1</v>
      </c>
      <c r="BK15" s="63" t="n">
        <v>400.5</v>
      </c>
      <c r="BL15" s="63" t="n">
        <v>405.6</v>
      </c>
      <c r="BM15" s="63" t="n">
        <v>408.3</v>
      </c>
      <c r="BN15" s="63" t="n">
        <v>419.9</v>
      </c>
      <c r="BO15" s="63" t="n">
        <v>425.6</v>
      </c>
      <c r="BP15" s="63" t="n">
        <v>433.1</v>
      </c>
      <c r="BQ15" s="63" t="n">
        <v>435.8</v>
      </c>
      <c r="BR15" s="63" t="n">
        <v>441.9</v>
      </c>
      <c r="BS15" s="63" t="n">
        <v>447.5</v>
      </c>
      <c r="BT15" s="63" t="n">
        <v>449.4</v>
      </c>
      <c r="BU15" s="63" t="n">
        <v>452.8</v>
      </c>
      <c r="BV15" s="63" t="n">
        <v>470.3</v>
      </c>
      <c r="BW15" s="63" t="n">
        <v>473.4</v>
      </c>
      <c r="BX15" s="63" t="n">
        <v>478.8</v>
      </c>
      <c r="BY15" s="63" t="n">
        <v>484.9</v>
      </c>
      <c r="BZ15" s="63" t="n">
        <v>508.2</v>
      </c>
      <c r="CA15" s="63" t="n">
        <v>515.7</v>
      </c>
      <c r="CB15" s="63" t="n">
        <v>524.7</v>
      </c>
      <c r="CC15" s="63" t="n">
        <v>535.8</v>
      </c>
      <c r="CD15" s="63" t="n">
        <v>556.2</v>
      </c>
      <c r="CE15" s="63" t="n">
        <v>567.5</v>
      </c>
      <c r="CF15" s="63" t="n">
        <v>578.1</v>
      </c>
      <c r="CG15" s="63" t="n">
        <v>596.8</v>
      </c>
      <c r="CH15" s="63" t="n">
        <v>622.5</v>
      </c>
      <c r="CI15" s="63" t="n">
        <v>643.5</v>
      </c>
      <c r="CJ15" s="63" t="n">
        <v>653.8</v>
      </c>
      <c r="CK15" s="63" t="n">
        <v>682.3</v>
      </c>
      <c r="CL15" s="63" t="n">
        <v>710.5</v>
      </c>
      <c r="CM15" s="63" t="n">
        <v>729.1</v>
      </c>
      <c r="CN15" s="63" t="n">
        <v>741.3</v>
      </c>
      <c r="CO15" s="63" t="n">
        <v>746</v>
      </c>
      <c r="CP15" s="63" t="n">
        <v>766.5</v>
      </c>
      <c r="CQ15" s="63" t="n">
        <v>771.7</v>
      </c>
      <c r="CR15" s="63" t="n">
        <v>786.3</v>
      </c>
      <c r="CS15" s="63" t="n">
        <v>791.3</v>
      </c>
      <c r="CT15" s="63" t="n">
        <v>805.3</v>
      </c>
      <c r="CU15" s="63" t="n">
        <v>810.1</v>
      </c>
      <c r="CV15" s="63" t="n">
        <v>813.6</v>
      </c>
      <c r="CW15" s="63" t="n">
        <v>833.8</v>
      </c>
      <c r="CX15" s="63" t="n">
        <v>857.9</v>
      </c>
      <c r="CY15" s="63" t="n">
        <v>865.6</v>
      </c>
      <c r="CZ15" s="63" t="n">
        <v>870.7</v>
      </c>
      <c r="DA15" s="63" t="n">
        <v>864.6</v>
      </c>
      <c r="DB15" s="63" t="n">
        <v>893.2</v>
      </c>
      <c r="DC15" s="63" t="n">
        <v>912.9</v>
      </c>
      <c r="DD15" s="63" t="n">
        <v>908.5</v>
      </c>
      <c r="DE15" s="63" t="n">
        <v>910.7</v>
      </c>
      <c r="DF15" s="63" t="n">
        <v>930.5</v>
      </c>
      <c r="DG15" s="63" t="n">
        <v>931.3</v>
      </c>
      <c r="DH15" s="63" t="n">
        <v>937.2</v>
      </c>
      <c r="DI15" s="63" t="n">
        <v>942.7</v>
      </c>
      <c r="DJ15" s="63" t="n">
        <v>951.8</v>
      </c>
      <c r="DK15" s="63" t="n">
        <v>956</v>
      </c>
      <c r="DL15" s="63" t="n">
        <v>957.4</v>
      </c>
      <c r="DM15" s="63" t="n">
        <v>966.4</v>
      </c>
      <c r="DN15" s="63" t="n">
        <v>983.4</v>
      </c>
      <c r="DO15" s="63" t="n">
        <v>985</v>
      </c>
      <c r="DP15" s="63" t="n">
        <v>996.1</v>
      </c>
      <c r="DQ15" s="63" t="n">
        <v>1004.3</v>
      </c>
      <c r="DR15" s="63" t="n">
        <v>1016.9</v>
      </c>
      <c r="DS15" s="63" t="n">
        <v>1042.3</v>
      </c>
      <c r="DT15" s="63" t="n">
        <v>1054.7</v>
      </c>
      <c r="DU15" s="63" t="n">
        <v>1065.6</v>
      </c>
      <c r="DV15" s="63" t="n">
        <v>1107.8</v>
      </c>
      <c r="DW15" s="63" t="n">
        <v>1139.1</v>
      </c>
      <c r="DX15" s="63" t="n">
        <v>1145.2</v>
      </c>
      <c r="DY15" s="63" t="n">
        <v>1191.2</v>
      </c>
      <c r="DZ15" s="63" t="n">
        <v>1221</v>
      </c>
      <c r="EA15" s="63" t="n">
        <v>1247.1</v>
      </c>
      <c r="EB15" s="63" t="n">
        <v>1259.9</v>
      </c>
      <c r="EC15" s="63" t="n">
        <v>1276.2</v>
      </c>
      <c r="ED15" s="63" t="n">
        <v>1294.6</v>
      </c>
      <c r="EE15" s="63" t="n">
        <v>1312.6</v>
      </c>
      <c r="EF15" s="63" t="n">
        <v>1335.5</v>
      </c>
      <c r="EG15" s="63" t="n">
        <v>1341.2</v>
      </c>
      <c r="EH15" s="63" t="n">
        <v>1379.6</v>
      </c>
      <c r="EI15" s="63" t="n">
        <v>1400.6</v>
      </c>
      <c r="EJ15" s="63" t="n">
        <v>1409.8</v>
      </c>
      <c r="EK15" s="63" t="n">
        <v>1427.9</v>
      </c>
      <c r="EL15" s="63" t="n">
        <v>1464.4</v>
      </c>
      <c r="EM15" s="63" t="n">
        <v>1486</v>
      </c>
      <c r="EN15" s="63" t="n">
        <v>1501</v>
      </c>
      <c r="EO15" s="63" t="n">
        <v>1512.3</v>
      </c>
      <c r="EP15" s="63" t="n">
        <v>1566.7</v>
      </c>
      <c r="EQ15" s="63" t="n">
        <v>1583.2</v>
      </c>
      <c r="ER15" s="63" t="n">
        <v>1608.5</v>
      </c>
      <c r="ES15" s="63" t="n">
        <v>1613.8</v>
      </c>
      <c r="ET15" s="63" t="n">
        <v>1680.2</v>
      </c>
      <c r="EU15" s="63" t="n">
        <v>1680.4</v>
      </c>
      <c r="EV15" s="63" t="n">
        <v>1700.2</v>
      </c>
      <c r="EW15" s="63" t="n">
        <v>1728.6</v>
      </c>
      <c r="EX15" s="63" t="n">
        <v>1768.2</v>
      </c>
      <c r="EY15" s="63" t="n">
        <v>2113</v>
      </c>
      <c r="EZ15" s="63" t="n">
        <v>1905.3</v>
      </c>
      <c r="FA15" s="63" t="n">
        <v>1890.8</v>
      </c>
      <c r="FB15" s="63" t="n">
        <v>2001.9</v>
      </c>
      <c r="FC15" s="63" t="n">
        <v>2140</v>
      </c>
      <c r="FD15" s="63" t="n">
        <v>2136.9</v>
      </c>
      <c r="FE15" s="63" t="n">
        <v>2152.1</v>
      </c>
      <c r="FF15" s="63" t="n">
        <v>2262.2</v>
      </c>
      <c r="FG15" s="63" t="n">
        <v>2268.7</v>
      </c>
      <c r="FH15" s="63" t="n">
        <v>2292</v>
      </c>
      <c r="FI15" s="63" t="n">
        <v>2302.7</v>
      </c>
      <c r="FJ15" s="63" t="n">
        <v>2313</v>
      </c>
      <c r="FK15" s="63" t="n">
        <v>2312.1</v>
      </c>
      <c r="FL15" s="63" t="n">
        <v>2303.2</v>
      </c>
      <c r="FM15" s="63" t="n">
        <v>2312.2</v>
      </c>
      <c r="FN15" s="63" t="n">
        <v>2296.8</v>
      </c>
      <c r="FO15" s="63" t="n">
        <v>2321.8</v>
      </c>
      <c r="FP15" s="63" t="n">
        <v>2325.6</v>
      </c>
      <c r="FQ15" s="63" t="n">
        <v>2346.1</v>
      </c>
      <c r="FR15" s="63" t="n">
        <v>2365.7</v>
      </c>
      <c r="FS15" s="63" t="n">
        <v>2378.3</v>
      </c>
      <c r="FT15" s="63" t="n">
        <v>2396</v>
      </c>
      <c r="FU15" s="63" t="n">
        <v>2403.7</v>
      </c>
      <c r="FV15" s="63" t="n">
        <v>2433.2</v>
      </c>
      <c r="FW15" s="63" t="n">
        <v>2484.5</v>
      </c>
      <c r="FX15" s="63" t="n">
        <v>2524.6</v>
      </c>
      <c r="FY15" s="63" t="n">
        <v>2552.1</v>
      </c>
      <c r="FZ15" s="63" t="n">
        <v>2597.7</v>
      </c>
      <c r="GA15" s="63" t="n">
        <v>2633.9</v>
      </c>
      <c r="GB15" s="63" t="n">
        <v>2647.8</v>
      </c>
      <c r="GC15" s="63" t="n">
        <v>2661.2</v>
      </c>
      <c r="GD15" s="63" t="n">
        <v>2686.2</v>
      </c>
      <c r="GE15" s="63" t="n">
        <v>2706.5</v>
      </c>
      <c r="GF15" s="63" t="n">
        <v>2726.3</v>
      </c>
      <c r="GG15" s="63" t="n">
        <v>2750.1</v>
      </c>
      <c r="GH15" s="63" t="n">
        <v>2779.1</v>
      </c>
      <c r="GI15" s="63" t="n">
        <v>2789.7</v>
      </c>
      <c r="GJ15" s="63" t="n">
        <v>2823.4</v>
      </c>
      <c r="GK15" s="63" t="n">
        <v>2837.6</v>
      </c>
      <c r="GL15" s="63" t="n">
        <v>2891.7</v>
      </c>
      <c r="GM15" s="63" t="n">
        <v>2916.6</v>
      </c>
      <c r="GN15" s="63" t="n">
        <v>2939.2</v>
      </c>
      <c r="GO15" s="63" t="n">
        <v>2958.7</v>
      </c>
      <c r="GP15" s="63" t="n">
        <v>3048.6</v>
      </c>
      <c r="GQ15" s="63" t="n">
        <v>3082.7</v>
      </c>
      <c r="GR15" s="63" t="n">
        <v>3107.3</v>
      </c>
      <c r="GS15" s="63" t="n">
        <v>3120.1</v>
      </c>
      <c r="GT15" s="63" t="n">
        <v>3169.8</v>
      </c>
      <c r="GU15" s="63" t="n">
        <v>5512</v>
      </c>
      <c r="GV15" s="63" t="n">
        <v>4344.3</v>
      </c>
      <c r="GW15" s="63" t="n">
        <v>3722.2</v>
      </c>
      <c r="GX15" s="63" t="n">
        <v>5962.9</v>
      </c>
      <c r="GY15" s="63" t="n">
        <v>4305.7</v>
      </c>
      <c r="GZ15" s="63" t="n">
        <v>4064.4</v>
      </c>
      <c r="HA15" s="63" t="n">
        <v>3852.5</v>
      </c>
      <c r="HB15" s="63" t="n">
        <v>3797.7</v>
      </c>
      <c r="HC15" t="n">
        <v>3809.1</v>
      </c>
      <c r="HD15" t="n">
        <v>3823</v>
      </c>
      <c r="HE15" t="n">
        <v>3925.9</v>
      </c>
    </row>
    <row r="16">
      <c r="A16" s="63" t="s">
        <v>2450</v>
      </c>
      <c r="B16" s="63" t="n">
        <v>1.2</v>
      </c>
      <c r="C16" s="63" t="n">
        <v>1.3</v>
      </c>
      <c r="D16" s="63" t="n">
        <v>1.3</v>
      </c>
      <c r="E16" s="63" t="n">
        <v>1.3</v>
      </c>
      <c r="F16" s="63" t="n">
        <v>1.4</v>
      </c>
      <c r="G16" s="63" t="n">
        <v>1.4</v>
      </c>
      <c r="H16" s="63" t="n">
        <v>1.5</v>
      </c>
      <c r="I16" s="63" t="n">
        <v>1.5</v>
      </c>
      <c r="J16" s="63" t="n">
        <v>1.7</v>
      </c>
      <c r="K16" s="63" t="n">
        <v>1.8</v>
      </c>
      <c r="L16" s="63" t="n">
        <v>1.8</v>
      </c>
      <c r="M16" s="63" t="n">
        <v>1.9</v>
      </c>
      <c r="N16" s="63" t="n">
        <v>1.8</v>
      </c>
      <c r="O16" s="63" t="n">
        <v>1.8</v>
      </c>
      <c r="P16" s="63" t="n">
        <v>1.8</v>
      </c>
      <c r="Q16" s="63" t="n">
        <v>1.9</v>
      </c>
      <c r="R16" s="63" t="n">
        <v>1.9</v>
      </c>
      <c r="S16" s="63" t="n">
        <v>2</v>
      </c>
      <c r="T16" s="63" t="n">
        <v>2.1</v>
      </c>
      <c r="U16" s="63" t="n">
        <v>2.2</v>
      </c>
      <c r="V16" s="63" t="n">
        <v>2.3</v>
      </c>
      <c r="W16" s="63" t="n">
        <v>2.4</v>
      </c>
      <c r="X16" s="63" t="n">
        <v>2.6</v>
      </c>
      <c r="Y16" s="63" t="n">
        <v>2.7</v>
      </c>
      <c r="Z16" s="63" t="n">
        <v>2.8</v>
      </c>
      <c r="AA16" s="63" t="n">
        <v>3</v>
      </c>
      <c r="AB16" s="63" t="n">
        <v>3.1</v>
      </c>
      <c r="AC16" s="63" t="n">
        <v>3.2</v>
      </c>
      <c r="AD16" s="63" t="n">
        <v>3.3</v>
      </c>
      <c r="AE16" s="63" t="n">
        <v>3.4</v>
      </c>
      <c r="AF16" s="63" t="n">
        <v>3.5</v>
      </c>
      <c r="AG16" s="63" t="n">
        <v>3.6</v>
      </c>
      <c r="AH16" s="63" t="n">
        <v>3.7</v>
      </c>
      <c r="AI16" s="63" t="n">
        <v>3.8</v>
      </c>
      <c r="AJ16" s="63" t="n">
        <v>3.9</v>
      </c>
      <c r="AK16" s="63" t="n">
        <v>4</v>
      </c>
      <c r="AL16" s="63" t="n">
        <v>4.1</v>
      </c>
      <c r="AM16" s="63" t="n">
        <v>4.3</v>
      </c>
      <c r="AN16" s="63" t="n">
        <v>4.4</v>
      </c>
      <c r="AO16" s="63" t="n">
        <v>4.5</v>
      </c>
      <c r="AP16" s="63" t="n">
        <v>4.6</v>
      </c>
      <c r="AQ16" s="63" t="n">
        <v>4.8</v>
      </c>
      <c r="AR16" s="63" t="n">
        <v>5</v>
      </c>
      <c r="AS16" s="63" t="n">
        <v>5.3</v>
      </c>
      <c r="AT16" s="63" t="n">
        <v>5.6</v>
      </c>
      <c r="AU16" s="63" t="n">
        <v>5.9</v>
      </c>
      <c r="AV16" s="63" t="n">
        <v>6.1</v>
      </c>
      <c r="AW16" s="63" t="n">
        <v>6.3</v>
      </c>
      <c r="AX16" s="63" t="n">
        <v>6.7</v>
      </c>
      <c r="AY16" s="63" t="n">
        <v>6.9</v>
      </c>
      <c r="AZ16" s="63" t="n">
        <v>7.2</v>
      </c>
      <c r="BA16" s="63" t="n">
        <v>7.5</v>
      </c>
      <c r="BB16" s="63" t="n">
        <v>7.7</v>
      </c>
      <c r="BC16" s="63" t="n">
        <v>8</v>
      </c>
      <c r="BD16" s="63" t="n">
        <v>8.3</v>
      </c>
      <c r="BE16" s="63" t="n">
        <v>8.5</v>
      </c>
      <c r="BF16" s="63" t="n">
        <v>8.8</v>
      </c>
      <c r="BG16" s="63" t="n">
        <v>9.1</v>
      </c>
      <c r="BH16" s="63" t="n">
        <v>9.3</v>
      </c>
      <c r="BI16" s="63" t="n">
        <v>9.5</v>
      </c>
      <c r="BJ16" s="63" t="n">
        <v>9.9</v>
      </c>
      <c r="BK16" s="63" t="n">
        <v>10.2</v>
      </c>
      <c r="BL16" s="63" t="n">
        <v>10.6</v>
      </c>
      <c r="BM16" s="63" t="n">
        <v>11</v>
      </c>
      <c r="BN16" s="63" t="n">
        <v>11.3</v>
      </c>
      <c r="BO16" s="63" t="n">
        <v>11.7</v>
      </c>
      <c r="BP16" s="63" t="n">
        <v>12.1</v>
      </c>
      <c r="BQ16" s="63" t="n">
        <v>12.7</v>
      </c>
      <c r="BR16" s="63" t="n">
        <v>12.7</v>
      </c>
      <c r="BS16" s="63" t="n">
        <v>12.9</v>
      </c>
      <c r="BT16" s="63" t="n">
        <v>13.5</v>
      </c>
      <c r="BU16" s="63" t="n">
        <v>13.7</v>
      </c>
      <c r="BV16" s="63" t="n">
        <v>14.2</v>
      </c>
      <c r="BW16" s="63" t="n">
        <v>14.8</v>
      </c>
      <c r="BX16" s="63" t="n">
        <v>15.1</v>
      </c>
      <c r="BY16" s="63" t="n">
        <v>15.4</v>
      </c>
      <c r="BZ16" s="63" t="n">
        <v>15.9</v>
      </c>
      <c r="CA16" s="63" t="n">
        <v>16.3</v>
      </c>
      <c r="CB16" s="63" t="n">
        <v>16.7</v>
      </c>
      <c r="CC16" s="63" t="n">
        <v>17.1</v>
      </c>
      <c r="CD16" s="63" t="n">
        <v>17.3</v>
      </c>
      <c r="CE16" s="63" t="n">
        <v>17.9</v>
      </c>
      <c r="CF16" s="63" t="n">
        <v>18.7</v>
      </c>
      <c r="CG16" s="63" t="n">
        <v>19.6</v>
      </c>
      <c r="CH16" s="63" t="n">
        <v>20.9</v>
      </c>
      <c r="CI16" s="63" t="n">
        <v>22.1</v>
      </c>
      <c r="CJ16" s="63" t="n">
        <v>23.1</v>
      </c>
      <c r="CK16" s="63" t="n">
        <v>24.2</v>
      </c>
      <c r="CL16" s="63" t="n">
        <v>25</v>
      </c>
      <c r="CM16" s="63" t="n">
        <v>25.8</v>
      </c>
      <c r="CN16" s="63" t="n">
        <v>26.4</v>
      </c>
      <c r="CO16" s="63" t="n">
        <v>26.8</v>
      </c>
      <c r="CP16" s="63" t="n">
        <v>28</v>
      </c>
      <c r="CQ16" s="63" t="n">
        <v>28.3</v>
      </c>
      <c r="CR16" s="63" t="n">
        <v>28.7</v>
      </c>
      <c r="CS16" s="63" t="n">
        <v>29.2</v>
      </c>
      <c r="CT16" s="63" t="n">
        <v>30.1</v>
      </c>
      <c r="CU16" s="63" t="n">
        <v>30.7</v>
      </c>
      <c r="CV16" s="63" t="n">
        <v>31.2</v>
      </c>
      <c r="CW16" s="63" t="n">
        <v>31.6</v>
      </c>
      <c r="CX16" s="63" t="n">
        <v>31.9</v>
      </c>
      <c r="CY16" s="63" t="n">
        <v>32.3</v>
      </c>
      <c r="CZ16" s="63" t="n">
        <v>32.9</v>
      </c>
      <c r="DA16" s="63" t="n">
        <v>33.5</v>
      </c>
      <c r="DB16" s="63" t="n">
        <v>34</v>
      </c>
      <c r="DC16" s="63" t="n">
        <v>34.6</v>
      </c>
      <c r="DD16" s="63" t="n">
        <v>35.2</v>
      </c>
      <c r="DE16" s="63" t="n">
        <v>35.8</v>
      </c>
      <c r="DF16" s="63" t="n">
        <v>37.2</v>
      </c>
      <c r="DG16" s="63" t="n">
        <v>38</v>
      </c>
      <c r="DH16" s="63" t="n">
        <v>38.6</v>
      </c>
      <c r="DI16" s="63" t="n">
        <v>39</v>
      </c>
      <c r="DJ16" s="63" t="n">
        <v>39.1</v>
      </c>
      <c r="DK16" s="63" t="n">
        <v>39.3</v>
      </c>
      <c r="DL16" s="63" t="n">
        <v>40</v>
      </c>
      <c r="DM16" s="63" t="n">
        <v>41.1</v>
      </c>
      <c r="DN16" s="63" t="n">
        <v>42.3</v>
      </c>
      <c r="DO16" s="63" t="n">
        <v>43.5</v>
      </c>
      <c r="DP16" s="63" t="n">
        <v>44.7</v>
      </c>
      <c r="DQ16" s="63" t="n">
        <v>45.8</v>
      </c>
      <c r="DR16" s="63" t="n">
        <v>46.9</v>
      </c>
      <c r="DS16" s="63" t="n">
        <v>48.1</v>
      </c>
      <c r="DT16" s="63" t="n">
        <v>49.3</v>
      </c>
      <c r="DU16" s="63" t="n">
        <v>50.6</v>
      </c>
      <c r="DV16" s="63" t="n">
        <v>51.5</v>
      </c>
      <c r="DW16" s="63" t="n">
        <v>52.5</v>
      </c>
      <c r="DX16" s="63" t="n">
        <v>53.4</v>
      </c>
      <c r="DY16" s="63" t="n">
        <v>54.3</v>
      </c>
      <c r="DZ16" s="63" t="n">
        <v>55.2</v>
      </c>
      <c r="EA16" s="63" t="n">
        <v>56</v>
      </c>
      <c r="EB16" s="63" t="n">
        <v>56.8</v>
      </c>
      <c r="EC16" s="63" t="n">
        <v>57.6</v>
      </c>
      <c r="ED16" s="63" t="n">
        <v>58.5</v>
      </c>
      <c r="EE16" s="63" t="n">
        <v>59.7</v>
      </c>
      <c r="EF16" s="63" t="n">
        <v>61.1</v>
      </c>
      <c r="EG16" s="63" t="n">
        <v>62.7</v>
      </c>
      <c r="EH16" s="63" t="n">
        <v>64.8</v>
      </c>
      <c r="EI16" s="63" t="n">
        <v>66.4</v>
      </c>
      <c r="EJ16" s="63" t="n">
        <v>67.7</v>
      </c>
      <c r="EK16" s="63" t="n">
        <v>68.7</v>
      </c>
      <c r="EL16" s="63" t="n">
        <v>70.3</v>
      </c>
      <c r="EM16" s="63" t="n">
        <v>71.2</v>
      </c>
      <c r="EN16" s="63" t="n">
        <v>72.1</v>
      </c>
      <c r="EO16" s="63" t="n">
        <v>73</v>
      </c>
      <c r="EP16" s="63" t="n">
        <v>74.4</v>
      </c>
      <c r="EQ16" s="63" t="n">
        <v>74.9</v>
      </c>
      <c r="ER16" s="63" t="n">
        <v>75.5</v>
      </c>
      <c r="ES16" s="63" t="n">
        <v>76.3</v>
      </c>
      <c r="ET16" s="63" t="n">
        <v>78</v>
      </c>
      <c r="EU16" s="63" t="n">
        <v>78.8</v>
      </c>
      <c r="EV16" s="63" t="n">
        <v>79.6</v>
      </c>
      <c r="EW16" s="63" t="n">
        <v>80.3</v>
      </c>
      <c r="EX16" s="63" t="n">
        <v>80.5</v>
      </c>
      <c r="EY16" s="63" t="n">
        <v>81</v>
      </c>
      <c r="EZ16" s="63" t="n">
        <v>81.2</v>
      </c>
      <c r="FA16" s="63" t="n">
        <v>81.2</v>
      </c>
      <c r="FB16" s="63" t="n">
        <v>80.6</v>
      </c>
      <c r="FC16" s="63" t="n">
        <v>80.3</v>
      </c>
      <c r="FD16" s="63" t="n">
        <v>79.9</v>
      </c>
      <c r="FE16" s="63" t="n">
        <v>79.5</v>
      </c>
      <c r="FF16" s="63" t="n">
        <v>79.5</v>
      </c>
      <c r="FG16" s="63" t="n">
        <v>79.3</v>
      </c>
      <c r="FH16" s="63" t="n">
        <v>79.3</v>
      </c>
      <c r="FI16" s="63" t="n">
        <v>79.5</v>
      </c>
      <c r="FJ16" s="63" t="n">
        <v>80.4</v>
      </c>
      <c r="FK16" s="63" t="n">
        <v>81.5</v>
      </c>
      <c r="FL16" s="63" t="n">
        <v>82.7</v>
      </c>
      <c r="FM16" s="63" t="n">
        <v>84.1</v>
      </c>
      <c r="FN16" s="63" t="n">
        <v>85.2</v>
      </c>
      <c r="FO16" s="63" t="n">
        <v>86.3</v>
      </c>
      <c r="FP16" s="63" t="n">
        <v>86.9</v>
      </c>
      <c r="FQ16" s="63" t="n">
        <v>86.8</v>
      </c>
      <c r="FR16" s="63" t="n">
        <v>86.6</v>
      </c>
      <c r="FS16" s="63" t="n">
        <v>86.8</v>
      </c>
      <c r="FT16" s="63" t="n">
        <v>87.5</v>
      </c>
      <c r="FU16" s="63" t="n">
        <v>88.9</v>
      </c>
      <c r="FV16" s="63" t="n">
        <v>90.9</v>
      </c>
      <c r="FW16" s="63" t="n">
        <v>92.6</v>
      </c>
      <c r="FX16" s="63" t="n">
        <v>94.2</v>
      </c>
      <c r="FY16" s="63" t="n">
        <v>95.7</v>
      </c>
      <c r="FZ16" s="63" t="n">
        <v>99.4</v>
      </c>
      <c r="GA16" s="63" t="n">
        <v>100.7</v>
      </c>
      <c r="GB16" s="63" t="n">
        <v>101.6</v>
      </c>
      <c r="GC16" s="63" t="n">
        <v>101.9</v>
      </c>
      <c r="GD16" s="63" t="n">
        <v>103</v>
      </c>
      <c r="GE16" s="63" t="n">
        <v>103.1</v>
      </c>
      <c r="GF16" s="63" t="n">
        <v>103.4</v>
      </c>
      <c r="GG16" s="63" t="n">
        <v>104</v>
      </c>
      <c r="GH16" s="63" t="n">
        <v>105.4</v>
      </c>
      <c r="GI16" s="63" t="n">
        <v>106.1</v>
      </c>
      <c r="GJ16" s="63" t="n">
        <v>107.1</v>
      </c>
      <c r="GK16" s="63" t="n">
        <v>108.5</v>
      </c>
      <c r="GL16" s="63" t="n">
        <v>110.7</v>
      </c>
      <c r="GM16" s="63" t="n">
        <v>112.3</v>
      </c>
      <c r="GN16" s="63" t="n">
        <v>113.9</v>
      </c>
      <c r="GO16" s="63" t="n">
        <v>115.5</v>
      </c>
      <c r="GP16" s="63" t="n">
        <v>116.8</v>
      </c>
      <c r="GQ16" s="63" t="n">
        <v>117.4</v>
      </c>
      <c r="GR16" s="63" t="n">
        <v>117</v>
      </c>
      <c r="GS16" s="63" t="n">
        <v>115.5</v>
      </c>
      <c r="GT16" s="63" t="n">
        <v>110</v>
      </c>
      <c r="GU16" s="63" t="n">
        <v>108</v>
      </c>
      <c r="GV16" s="63" t="n">
        <v>107</v>
      </c>
      <c r="GW16" s="63" t="n">
        <v>107.3</v>
      </c>
      <c r="GX16" s="63" t="n">
        <v>108.3</v>
      </c>
      <c r="GY16" s="63" t="n">
        <v>109.6</v>
      </c>
      <c r="GZ16" s="63" t="n">
        <v>111</v>
      </c>
      <c r="HA16" s="63" t="n">
        <v>112.4</v>
      </c>
      <c r="HB16" s="63" t="n">
        <v>114.1</v>
      </c>
      <c r="HC16" t="n">
        <v>115.4</v>
      </c>
      <c r="HD16" t="n">
        <v>116.4</v>
      </c>
      <c r="HE16" t="n">
        <v>117</v>
      </c>
    </row>
    <row r="17">
      <c r="A17" s="63" t="s">
        <v>2451</v>
      </c>
      <c r="B17" s="63" t="n">
        <v>104.6</v>
      </c>
      <c r="C17" s="63" t="n">
        <v>105.5</v>
      </c>
      <c r="D17" s="63" t="n">
        <v>100.7</v>
      </c>
      <c r="E17" s="63" t="n">
        <v>101.5</v>
      </c>
      <c r="F17" s="63" t="n">
        <v>98.3</v>
      </c>
      <c r="G17" s="63" t="n">
        <v>100.7</v>
      </c>
      <c r="H17" s="63" t="n">
        <v>102.3</v>
      </c>
      <c r="I17" s="63" t="n">
        <v>105.5</v>
      </c>
      <c r="J17" s="63" t="n">
        <v>119.8</v>
      </c>
      <c r="K17" s="63" t="n">
        <v>123.4</v>
      </c>
      <c r="L17" s="63" t="n">
        <v>124.3</v>
      </c>
      <c r="M17" s="63" t="n">
        <v>127.1</v>
      </c>
      <c r="N17" s="63" t="n">
        <v>126.4</v>
      </c>
      <c r="O17" s="63" t="n">
        <v>129.2</v>
      </c>
      <c r="P17" s="63" t="n">
        <v>134.1</v>
      </c>
      <c r="Q17" s="63" t="n">
        <v>140</v>
      </c>
      <c r="R17" s="63" t="n">
        <v>142.8</v>
      </c>
      <c r="S17" s="63" t="n">
        <v>148.9</v>
      </c>
      <c r="T17" s="63" t="n">
        <v>154.9</v>
      </c>
      <c r="U17" s="63" t="n">
        <v>157.6</v>
      </c>
      <c r="V17" s="63" t="n">
        <v>158</v>
      </c>
      <c r="W17" s="63" t="n">
        <v>121.1</v>
      </c>
      <c r="X17" s="63" t="n">
        <v>152.8</v>
      </c>
      <c r="Y17" s="63" t="n">
        <v>158.5</v>
      </c>
      <c r="Z17" s="63" t="n">
        <v>162.5</v>
      </c>
      <c r="AA17" s="63" t="n">
        <v>169.3</v>
      </c>
      <c r="AB17" s="63" t="n">
        <v>176.1</v>
      </c>
      <c r="AC17" s="63" t="n">
        <v>182.7</v>
      </c>
      <c r="AD17" s="63" t="n">
        <v>188.8</v>
      </c>
      <c r="AE17" s="63" t="n">
        <v>195.7</v>
      </c>
      <c r="AF17" s="63" t="n">
        <v>198.6</v>
      </c>
      <c r="AG17" s="63" t="n">
        <v>208.5</v>
      </c>
      <c r="AH17" s="63" t="n">
        <v>212</v>
      </c>
      <c r="AI17" s="63" t="n">
        <v>223.1</v>
      </c>
      <c r="AJ17" s="63" t="n">
        <v>236.3</v>
      </c>
      <c r="AK17" s="63" t="n">
        <v>247.2</v>
      </c>
      <c r="AL17" s="63" t="n">
        <v>253.6</v>
      </c>
      <c r="AM17" s="63" t="n">
        <v>262</v>
      </c>
      <c r="AN17" s="63" t="n">
        <v>274.8</v>
      </c>
      <c r="AO17" s="63" t="n">
        <v>285.2</v>
      </c>
      <c r="AP17" s="63" t="n">
        <v>284.8</v>
      </c>
      <c r="AQ17" s="63" t="n">
        <v>292.2</v>
      </c>
      <c r="AR17" s="63" t="n">
        <v>302.2</v>
      </c>
      <c r="AS17" s="63" t="n">
        <v>318.9</v>
      </c>
      <c r="AT17" s="63" t="n">
        <v>330.9</v>
      </c>
      <c r="AU17" s="63" t="n">
        <v>342.7</v>
      </c>
      <c r="AV17" s="63" t="n">
        <v>356.9</v>
      </c>
      <c r="AW17" s="63" t="n">
        <v>352.7</v>
      </c>
      <c r="AX17" s="63" t="n">
        <v>352.5</v>
      </c>
      <c r="AY17" s="63" t="n">
        <v>359.7</v>
      </c>
      <c r="AZ17" s="63" t="n">
        <v>350.1</v>
      </c>
      <c r="BA17" s="63" t="n">
        <v>356.6</v>
      </c>
      <c r="BB17" s="63" t="n">
        <v>350.9</v>
      </c>
      <c r="BC17" s="63" t="n">
        <v>359.6</v>
      </c>
      <c r="BD17" s="63" t="n">
        <v>345.4</v>
      </c>
      <c r="BE17" s="63" t="n">
        <v>355.7</v>
      </c>
      <c r="BF17" s="63" t="n">
        <v>361.2</v>
      </c>
      <c r="BG17" s="63" t="n">
        <v>370.4</v>
      </c>
      <c r="BH17" s="63" t="n">
        <v>384.1</v>
      </c>
      <c r="BI17" s="63" t="n">
        <v>395.9</v>
      </c>
      <c r="BJ17" s="63" t="n">
        <v>432.3</v>
      </c>
      <c r="BK17" s="63" t="n">
        <v>388.5</v>
      </c>
      <c r="BL17" s="63" t="n">
        <v>421.5</v>
      </c>
      <c r="BM17" s="63" t="n">
        <v>428.9</v>
      </c>
      <c r="BN17" s="63" t="n">
        <v>426.3</v>
      </c>
      <c r="BO17" s="63" t="n">
        <v>429.4</v>
      </c>
      <c r="BP17" s="63" t="n">
        <v>439.5</v>
      </c>
      <c r="BQ17" s="63" t="n">
        <v>456</v>
      </c>
      <c r="BR17" s="63" t="n">
        <v>450.7</v>
      </c>
      <c r="BS17" s="63" t="n">
        <v>511.7</v>
      </c>
      <c r="BT17" s="63" t="n">
        <v>489</v>
      </c>
      <c r="BU17" s="63" t="n">
        <v>507</v>
      </c>
      <c r="BV17" s="63" t="n">
        <v>502.1</v>
      </c>
      <c r="BW17" s="63" t="n">
        <v>497.8</v>
      </c>
      <c r="BX17" s="63" t="n">
        <v>506.7</v>
      </c>
      <c r="BY17" s="63" t="n">
        <v>517.2</v>
      </c>
      <c r="BZ17" s="63" t="n">
        <v>552.9</v>
      </c>
      <c r="CA17" s="63" t="n">
        <v>566.7</v>
      </c>
      <c r="CB17" s="63" t="n">
        <v>571.6</v>
      </c>
      <c r="CC17" s="63" t="n">
        <v>579.8</v>
      </c>
      <c r="CD17" s="63" t="n">
        <v>582.5</v>
      </c>
      <c r="CE17" s="63" t="n">
        <v>594.6</v>
      </c>
      <c r="CF17" s="63" t="n">
        <v>600.7</v>
      </c>
      <c r="CG17" s="63" t="n">
        <v>600.8</v>
      </c>
      <c r="CH17" s="63" t="n">
        <v>580.8</v>
      </c>
      <c r="CI17" s="63" t="n">
        <v>585.9</v>
      </c>
      <c r="CJ17" s="63" t="n">
        <v>590.2</v>
      </c>
      <c r="CK17" s="63" t="n">
        <v>598.7</v>
      </c>
      <c r="CL17" s="63" t="n">
        <v>588.9</v>
      </c>
      <c r="CM17" s="63" t="n">
        <v>607.2</v>
      </c>
      <c r="CN17" s="63" t="n">
        <v>616.2</v>
      </c>
      <c r="CO17" s="63" t="n">
        <v>638.9</v>
      </c>
      <c r="CP17" s="63" t="n">
        <v>617</v>
      </c>
      <c r="CQ17" s="63" t="n">
        <v>643.5</v>
      </c>
      <c r="CR17" s="63" t="n">
        <v>659.2</v>
      </c>
      <c r="CS17" s="63" t="n">
        <v>675.3</v>
      </c>
      <c r="CT17" s="63" t="n">
        <v>673.7</v>
      </c>
      <c r="CU17" s="63" t="n">
        <v>697.8</v>
      </c>
      <c r="CV17" s="63" t="n">
        <v>695.4</v>
      </c>
      <c r="CW17" s="63" t="n">
        <v>705.4</v>
      </c>
      <c r="CX17" s="63" t="n">
        <v>724.6</v>
      </c>
      <c r="CY17" s="63" t="n">
        <v>746.8</v>
      </c>
      <c r="CZ17" s="63" t="n">
        <v>752.2</v>
      </c>
      <c r="DA17" s="63" t="n">
        <v>770</v>
      </c>
      <c r="DB17" s="63" t="n">
        <v>801.7</v>
      </c>
      <c r="DC17" s="63" t="n">
        <v>839.6</v>
      </c>
      <c r="DD17" s="63" t="n">
        <v>843.5</v>
      </c>
      <c r="DE17" s="63" t="n">
        <v>863.5</v>
      </c>
      <c r="DF17" s="63" t="n">
        <v>902.1</v>
      </c>
      <c r="DG17" s="63" t="n">
        <v>916.2</v>
      </c>
      <c r="DH17" s="63" t="n">
        <v>941.1</v>
      </c>
      <c r="DI17" s="63" t="n">
        <v>967.8</v>
      </c>
      <c r="DJ17" s="63" t="n">
        <v>996.1</v>
      </c>
      <c r="DK17" s="63" t="n">
        <v>1022.4</v>
      </c>
      <c r="DL17" s="63" t="n">
        <v>1043.2</v>
      </c>
      <c r="DM17" s="63" t="n">
        <v>1068</v>
      </c>
      <c r="DN17" s="63" t="n">
        <v>1077.9</v>
      </c>
      <c r="DO17" s="63" t="n">
        <v>1095.2</v>
      </c>
      <c r="DP17" s="63" t="n">
        <v>1120.6</v>
      </c>
      <c r="DQ17" s="63" t="n">
        <v>1154</v>
      </c>
      <c r="DR17" s="63" t="n">
        <v>1208.8</v>
      </c>
      <c r="DS17" s="63" t="n">
        <v>1230.2</v>
      </c>
      <c r="DT17" s="63" t="n">
        <v>1247.7</v>
      </c>
      <c r="DU17" s="63" t="n">
        <v>1258.7</v>
      </c>
      <c r="DV17" s="63" t="n">
        <v>1301.9</v>
      </c>
      <c r="DW17" s="63" t="n">
        <v>1308.9</v>
      </c>
      <c r="DX17" s="63" t="n">
        <v>1113.6</v>
      </c>
      <c r="DY17" s="63" t="n">
        <v>1231.8</v>
      </c>
      <c r="DZ17" s="63" t="n">
        <v>1075.2</v>
      </c>
      <c r="EA17" s="63" t="n">
        <v>1051</v>
      </c>
      <c r="EB17" s="63" t="n">
        <v>1044.1</v>
      </c>
      <c r="EC17" s="63" t="n">
        <v>1038.4</v>
      </c>
      <c r="ED17" s="63" t="n">
        <v>1021.3</v>
      </c>
      <c r="EE17" s="63" t="n">
        <v>1020.8</v>
      </c>
      <c r="EF17" s="63" t="n">
        <v>950.7</v>
      </c>
      <c r="EG17" s="63" t="n">
        <v>1021.3</v>
      </c>
      <c r="EH17" s="63" t="n">
        <v>1012.3</v>
      </c>
      <c r="EI17" s="63" t="n">
        <v>1026.8</v>
      </c>
      <c r="EJ17" s="63" t="n">
        <v>1064.4</v>
      </c>
      <c r="EK17" s="63" t="n">
        <v>1091.6</v>
      </c>
      <c r="EL17" s="63" t="n">
        <v>1172.3</v>
      </c>
      <c r="EM17" s="63" t="n">
        <v>1196.3</v>
      </c>
      <c r="EN17" s="63" t="n">
        <v>1225.5</v>
      </c>
      <c r="EO17" s="63" t="n">
        <v>1255.8</v>
      </c>
      <c r="EP17" s="63" t="n">
        <v>1320.5</v>
      </c>
      <c r="EQ17" s="63" t="n">
        <v>1351.3</v>
      </c>
      <c r="ER17" s="63" t="n">
        <v>1358.6</v>
      </c>
      <c r="ES17" s="63" t="n">
        <v>1397.5</v>
      </c>
      <c r="ET17" s="63" t="n">
        <v>1466.5</v>
      </c>
      <c r="EU17" s="63" t="n">
        <v>1495.9</v>
      </c>
      <c r="EV17" s="63" t="n">
        <v>1498.9</v>
      </c>
      <c r="EW17" s="63" t="n">
        <v>1508.6</v>
      </c>
      <c r="EX17" s="63" t="n">
        <v>1535.1</v>
      </c>
      <c r="EY17" s="63" t="n">
        <v>1552.5</v>
      </c>
      <c r="EZ17" s="63" t="n">
        <v>1497.5</v>
      </c>
      <c r="FA17" s="63" t="n">
        <v>1444.9</v>
      </c>
      <c r="FB17" s="63" t="n">
        <v>1202.4</v>
      </c>
      <c r="FC17" s="63" t="n">
        <v>1131.1</v>
      </c>
      <c r="FD17" s="63" t="n">
        <v>1135.3</v>
      </c>
      <c r="FE17" s="63" t="n">
        <v>1140.7</v>
      </c>
      <c r="FF17" s="63" t="n">
        <v>1191.8</v>
      </c>
      <c r="FG17" s="63" t="n">
        <v>1213.2</v>
      </c>
      <c r="FH17" s="63" t="n">
        <v>1256.3</v>
      </c>
      <c r="FI17" s="63" t="n">
        <v>1289.1</v>
      </c>
      <c r="FJ17" s="63" t="n">
        <v>1426.6</v>
      </c>
      <c r="FK17" s="63" t="n">
        <v>1445.9</v>
      </c>
      <c r="FL17" s="63" t="n">
        <v>1471.4</v>
      </c>
      <c r="FM17" s="63" t="n">
        <v>1470.9</v>
      </c>
      <c r="FN17" s="63" t="n">
        <v>1468.3</v>
      </c>
      <c r="FO17" s="63" t="n">
        <v>1487.7</v>
      </c>
      <c r="FP17" s="63" t="n">
        <v>1510</v>
      </c>
      <c r="FQ17" s="63" t="n">
        <v>1572</v>
      </c>
      <c r="FR17" s="63" t="n">
        <v>1650</v>
      </c>
      <c r="FS17" s="63" t="n">
        <v>1682.5</v>
      </c>
      <c r="FT17" s="63" t="n">
        <v>1674.9</v>
      </c>
      <c r="FU17" s="63" t="n">
        <v>1698.1</v>
      </c>
      <c r="FV17" s="63" t="n">
        <v>1744.8</v>
      </c>
      <c r="FW17" s="63" t="n">
        <v>1758.4</v>
      </c>
      <c r="FX17" s="63" t="n">
        <v>1798.6</v>
      </c>
      <c r="FY17" s="63" t="n">
        <v>1836.5</v>
      </c>
      <c r="FZ17" s="63" t="n">
        <v>1904.6</v>
      </c>
      <c r="GA17" s="63" t="n">
        <v>1943</v>
      </c>
      <c r="GB17" s="63" t="n">
        <v>1947.3</v>
      </c>
      <c r="GC17" s="63" t="n">
        <v>1964.9</v>
      </c>
      <c r="GD17" s="63" t="n">
        <v>1924.6</v>
      </c>
      <c r="GE17" s="63" t="n">
        <v>1943.4</v>
      </c>
      <c r="GF17" s="63" t="n">
        <v>1972</v>
      </c>
      <c r="GG17" s="63" t="n">
        <v>1992.9</v>
      </c>
      <c r="GH17" s="63" t="n">
        <v>2004.1</v>
      </c>
      <c r="GI17" s="63" t="n">
        <v>2012</v>
      </c>
      <c r="GJ17" s="63" t="n">
        <v>2054.8</v>
      </c>
      <c r="GK17" s="63" t="n">
        <v>2123.6</v>
      </c>
      <c r="GL17" s="63" t="n">
        <v>2072.8</v>
      </c>
      <c r="GM17" s="63" t="n">
        <v>2057.7</v>
      </c>
      <c r="GN17" s="63" t="n">
        <v>2086</v>
      </c>
      <c r="GO17" s="63" t="n">
        <v>2083.1</v>
      </c>
      <c r="GP17" s="63" t="n">
        <v>2160.2</v>
      </c>
      <c r="GQ17" s="63" t="n">
        <v>2221.6</v>
      </c>
      <c r="GR17" s="63" t="n">
        <v>2195.8</v>
      </c>
      <c r="GS17" s="63" t="n">
        <v>2216</v>
      </c>
      <c r="GT17" s="63" t="n">
        <v>2249.1</v>
      </c>
      <c r="GU17" s="63" t="n">
        <v>2098.2</v>
      </c>
      <c r="GV17" s="63" t="n">
        <v>2237.5</v>
      </c>
      <c r="GW17" s="63" t="n">
        <v>2360.7</v>
      </c>
      <c r="GX17" s="63" t="n">
        <v>2509</v>
      </c>
      <c r="GY17" s="63" t="n">
        <v>2638.5</v>
      </c>
      <c r="GZ17" s="63" t="n">
        <v>2693.2</v>
      </c>
      <c r="HA17" s="63" t="n">
        <v>2806.1</v>
      </c>
      <c r="HB17" s="63" t="n">
        <v>3145.5</v>
      </c>
      <c r="HC17" t="n">
        <v>3188.5</v>
      </c>
      <c r="HD17" t="n">
        <v>3236.5</v>
      </c>
      <c r="HE17" t="n">
        <v>3232.5</v>
      </c>
    </row>
    <row r="18">
      <c r="A18" s="63" t="s">
        <v>2452</v>
      </c>
      <c r="B18" s="63" t="n">
        <v>88.5</v>
      </c>
      <c r="C18" s="63" t="n">
        <v>90.5</v>
      </c>
      <c r="D18" s="63" t="n">
        <v>92.5</v>
      </c>
      <c r="E18" s="63" t="n">
        <v>94.1</v>
      </c>
      <c r="F18" s="63" t="n">
        <v>97.7</v>
      </c>
      <c r="G18" s="63" t="n">
        <v>98.9</v>
      </c>
      <c r="H18" s="63" t="n">
        <v>101.7</v>
      </c>
      <c r="I18" s="63" t="n">
        <v>103.7</v>
      </c>
      <c r="J18" s="63" t="n">
        <v>104.6</v>
      </c>
      <c r="K18" s="63" t="n">
        <v>106.8</v>
      </c>
      <c r="L18" s="63" t="n">
        <v>108.9</v>
      </c>
      <c r="M18" s="63" t="n">
        <v>111.5</v>
      </c>
      <c r="N18" s="63" t="n">
        <v>114.6</v>
      </c>
      <c r="O18" s="63" t="n">
        <v>116.2</v>
      </c>
      <c r="P18" s="63" t="n">
        <v>118.4</v>
      </c>
      <c r="Q18" s="63" t="n">
        <v>119.7</v>
      </c>
      <c r="R18" s="63" t="n">
        <v>120.8</v>
      </c>
      <c r="S18" s="63" t="n">
        <v>124.1</v>
      </c>
      <c r="T18" s="63" t="n">
        <v>127.1</v>
      </c>
      <c r="U18" s="63" t="n">
        <v>127.7</v>
      </c>
      <c r="V18" s="63" t="n">
        <v>128.8</v>
      </c>
      <c r="W18" s="63" t="n">
        <v>133</v>
      </c>
      <c r="X18" s="63" t="n">
        <v>138.2</v>
      </c>
      <c r="Y18" s="63" t="n">
        <v>141.1</v>
      </c>
      <c r="Z18" s="63" t="n">
        <v>141.7</v>
      </c>
      <c r="AA18" s="63" t="n">
        <v>144.9</v>
      </c>
      <c r="AB18" s="63" t="n">
        <v>147.7</v>
      </c>
      <c r="AC18" s="63" t="n">
        <v>151.3</v>
      </c>
      <c r="AD18" s="63" t="n">
        <v>154.8</v>
      </c>
      <c r="AE18" s="63" t="n">
        <v>158</v>
      </c>
      <c r="AF18" s="63" t="n">
        <v>161.5</v>
      </c>
      <c r="AG18" s="63" t="n">
        <v>164.3</v>
      </c>
      <c r="AH18" s="63" t="n">
        <v>166.9</v>
      </c>
      <c r="AI18" s="63" t="n">
        <v>173.1</v>
      </c>
      <c r="AJ18" s="63" t="n">
        <v>169.7</v>
      </c>
      <c r="AK18" s="63" t="n">
        <v>173.9</v>
      </c>
      <c r="AL18" s="63" t="n">
        <v>176.4</v>
      </c>
      <c r="AM18" s="63" t="n">
        <v>178.5</v>
      </c>
      <c r="AN18" s="63" t="n">
        <v>180.9</v>
      </c>
      <c r="AO18" s="63" t="n">
        <v>184.6</v>
      </c>
      <c r="AP18" s="63" t="n">
        <v>189.5</v>
      </c>
      <c r="AQ18" s="63" t="n">
        <v>196.9</v>
      </c>
      <c r="AR18" s="63" t="n">
        <v>204.3</v>
      </c>
      <c r="AS18" s="63" t="n">
        <v>210.6</v>
      </c>
      <c r="AT18" s="63" t="n">
        <v>230.8</v>
      </c>
      <c r="AU18" s="63" t="n">
        <v>235.5</v>
      </c>
      <c r="AV18" s="63" t="n">
        <v>237.5</v>
      </c>
      <c r="AW18" s="63" t="n">
        <v>238.8</v>
      </c>
      <c r="AX18" s="63" t="n">
        <v>237.4</v>
      </c>
      <c r="AY18" s="63" t="n">
        <v>238.3</v>
      </c>
      <c r="AZ18" s="63" t="n">
        <v>241.8</v>
      </c>
      <c r="BA18" s="63" t="n">
        <v>246.3</v>
      </c>
      <c r="BB18" s="63" t="n">
        <v>250.7</v>
      </c>
      <c r="BC18" s="63" t="n">
        <v>261.2</v>
      </c>
      <c r="BD18" s="63" t="n">
        <v>267.5</v>
      </c>
      <c r="BE18" s="63" t="n">
        <v>273.7</v>
      </c>
      <c r="BF18" s="63" t="n">
        <v>281.6</v>
      </c>
      <c r="BG18" s="63" t="n">
        <v>287.7</v>
      </c>
      <c r="BH18" s="63" t="n">
        <v>292.2</v>
      </c>
      <c r="BI18" s="63" t="n">
        <v>297.5</v>
      </c>
      <c r="BJ18" s="63" t="n">
        <v>301</v>
      </c>
      <c r="BK18" s="63" t="n">
        <v>305.7</v>
      </c>
      <c r="BL18" s="63" t="n">
        <v>311.9</v>
      </c>
      <c r="BM18" s="63" t="n">
        <v>313.9</v>
      </c>
      <c r="BN18" s="63" t="n">
        <v>317.5</v>
      </c>
      <c r="BO18" s="63" t="n">
        <v>319.5</v>
      </c>
      <c r="BP18" s="63" t="n">
        <v>326.2</v>
      </c>
      <c r="BQ18" s="63" t="n">
        <v>330.4</v>
      </c>
      <c r="BR18" s="63" t="n">
        <v>336</v>
      </c>
      <c r="BS18" s="63" t="n">
        <v>344.4</v>
      </c>
      <c r="BT18" s="63" t="n">
        <v>352.4</v>
      </c>
      <c r="BU18" s="63" t="n">
        <v>357.4</v>
      </c>
      <c r="BV18" s="63" t="n">
        <v>365.2</v>
      </c>
      <c r="BW18" s="63" t="n">
        <v>372.5</v>
      </c>
      <c r="BX18" s="63" t="n">
        <v>377.5</v>
      </c>
      <c r="BY18" s="63" t="n">
        <v>382.6</v>
      </c>
      <c r="BZ18" s="63" t="n">
        <v>391</v>
      </c>
      <c r="CA18" s="63" t="n">
        <v>397.5</v>
      </c>
      <c r="CB18" s="63" t="n">
        <v>403.9</v>
      </c>
      <c r="CC18" s="63" t="n">
        <v>403</v>
      </c>
      <c r="CD18" s="63" t="n">
        <v>419.5</v>
      </c>
      <c r="CE18" s="63" t="n">
        <v>419.5</v>
      </c>
      <c r="CF18" s="63" t="n">
        <v>426.8</v>
      </c>
      <c r="CG18" s="63" t="n">
        <v>434.2</v>
      </c>
      <c r="CH18" s="63" t="n">
        <v>444</v>
      </c>
      <c r="CI18" s="63" t="n">
        <v>451.6</v>
      </c>
      <c r="CJ18" s="63" t="n">
        <v>461.3</v>
      </c>
      <c r="CK18" s="63" t="n">
        <v>471.5</v>
      </c>
      <c r="CL18" s="63" t="n">
        <v>476.4</v>
      </c>
      <c r="CM18" s="63" t="n">
        <v>481.2</v>
      </c>
      <c r="CN18" s="63" t="n">
        <v>486</v>
      </c>
      <c r="CO18" s="63" t="n">
        <v>489.9</v>
      </c>
      <c r="CP18" s="63" t="n">
        <v>489.7</v>
      </c>
      <c r="CQ18" s="63" t="n">
        <v>497.6</v>
      </c>
      <c r="CR18" s="63" t="n">
        <v>504.9</v>
      </c>
      <c r="CS18" s="63" t="n">
        <v>520.3</v>
      </c>
      <c r="CT18" s="63" t="n">
        <v>531.5</v>
      </c>
      <c r="CU18" s="63" t="n">
        <v>544.4</v>
      </c>
      <c r="CV18" s="63" t="n">
        <v>550.5</v>
      </c>
      <c r="CW18" s="63" t="n">
        <v>554.6</v>
      </c>
      <c r="CX18" s="63" t="n">
        <v>555.3</v>
      </c>
      <c r="CY18" s="63" t="n">
        <v>553.6</v>
      </c>
      <c r="CZ18" s="63" t="n">
        <v>558.9</v>
      </c>
      <c r="DA18" s="63" t="n">
        <v>563.8</v>
      </c>
      <c r="DB18" s="63" t="n">
        <v>570.4</v>
      </c>
      <c r="DC18" s="63" t="n">
        <v>577.7</v>
      </c>
      <c r="DD18" s="63" t="n">
        <v>581.8</v>
      </c>
      <c r="DE18" s="63" t="n">
        <v>593.2</v>
      </c>
      <c r="DF18" s="63" t="n">
        <v>595.7</v>
      </c>
      <c r="DG18" s="63" t="n">
        <v>610.4</v>
      </c>
      <c r="DH18" s="63" t="n">
        <v>616.6</v>
      </c>
      <c r="DI18" s="63" t="n">
        <v>623.8</v>
      </c>
      <c r="DJ18" s="63" t="n">
        <v>629.1</v>
      </c>
      <c r="DK18" s="63" t="n">
        <v>635.5</v>
      </c>
      <c r="DL18" s="63" t="n">
        <v>643</v>
      </c>
      <c r="DM18" s="63" t="n">
        <v>650.3</v>
      </c>
      <c r="DN18" s="63" t="n">
        <v>657.5</v>
      </c>
      <c r="DO18" s="63" t="n">
        <v>667.1</v>
      </c>
      <c r="DP18" s="63" t="n">
        <v>679</v>
      </c>
      <c r="DQ18" s="63" t="n">
        <v>690.7</v>
      </c>
      <c r="DR18" s="63" t="n">
        <v>698.6</v>
      </c>
      <c r="DS18" s="63" t="n">
        <v>707.3</v>
      </c>
      <c r="DT18" s="63" t="n">
        <v>711.3</v>
      </c>
      <c r="DU18" s="63" t="n">
        <v>717.1</v>
      </c>
      <c r="DV18" s="63" t="n">
        <v>724.2</v>
      </c>
      <c r="DW18" s="63" t="n">
        <v>724.1</v>
      </c>
      <c r="DX18" s="63" t="n">
        <v>725.3</v>
      </c>
      <c r="DY18" s="63" t="n">
        <v>737.1</v>
      </c>
      <c r="DZ18" s="63" t="n">
        <v>744</v>
      </c>
      <c r="EA18" s="63" t="n">
        <v>751.3</v>
      </c>
      <c r="EB18" s="63" t="n">
        <v>768.5</v>
      </c>
      <c r="EC18" s="63" t="n">
        <v>776.3</v>
      </c>
      <c r="ED18" s="63" t="n">
        <v>788.6</v>
      </c>
      <c r="EE18" s="63" t="n">
        <v>800</v>
      </c>
      <c r="EF18" s="63" t="n">
        <v>813</v>
      </c>
      <c r="EG18" s="63" t="n">
        <v>820.9</v>
      </c>
      <c r="EH18" s="63" t="n">
        <v>847.3</v>
      </c>
      <c r="EI18" s="63" t="n">
        <v>859.9</v>
      </c>
      <c r="EJ18" s="63" t="n">
        <v>871.3</v>
      </c>
      <c r="EK18" s="63" t="n">
        <v>893.8</v>
      </c>
      <c r="EL18" s="63" t="n">
        <v>915.1</v>
      </c>
      <c r="EM18" s="63" t="n">
        <v>937.3</v>
      </c>
      <c r="EN18" s="63" t="n">
        <v>952.1</v>
      </c>
      <c r="EO18" s="63" t="n">
        <v>965.3</v>
      </c>
      <c r="EP18" s="63" t="n">
        <v>981.8</v>
      </c>
      <c r="EQ18" s="63" t="n">
        <v>991.7</v>
      </c>
      <c r="ER18" s="63" t="n">
        <v>1004.1</v>
      </c>
      <c r="ES18" s="63" t="n">
        <v>1010.5</v>
      </c>
      <c r="ET18" s="63" t="n">
        <v>1025.9</v>
      </c>
      <c r="EU18" s="63" t="n">
        <v>1033.1</v>
      </c>
      <c r="EV18" s="63" t="n">
        <v>1035.8</v>
      </c>
      <c r="EW18" s="63" t="n">
        <v>1052.6</v>
      </c>
      <c r="EX18" s="63" t="n">
        <v>1045.7</v>
      </c>
      <c r="EY18" s="63" t="n">
        <v>1054.7</v>
      </c>
      <c r="EZ18" s="63" t="n">
        <v>1058.5</v>
      </c>
      <c r="FA18" s="63" t="n">
        <v>1040</v>
      </c>
      <c r="FB18" s="63" t="n">
        <v>1015.9</v>
      </c>
      <c r="FC18" s="63" t="n">
        <v>1017.3</v>
      </c>
      <c r="FD18" s="63" t="n">
        <v>1028.8</v>
      </c>
      <c r="FE18" s="63" t="n">
        <v>1045.3</v>
      </c>
      <c r="FF18" s="63" t="n">
        <v>1044.6</v>
      </c>
      <c r="FG18" s="63" t="n">
        <v>1062.1</v>
      </c>
      <c r="FH18" s="63" t="n">
        <v>1069.1</v>
      </c>
      <c r="FI18" s="63" t="n">
        <v>1076.4</v>
      </c>
      <c r="FJ18" s="63" t="n">
        <v>1091.5</v>
      </c>
      <c r="FK18" s="63" t="n">
        <v>1105.5</v>
      </c>
      <c r="FL18" s="63" t="n">
        <v>1103.9</v>
      </c>
      <c r="FM18" s="63" t="n">
        <v>1114</v>
      </c>
      <c r="FN18" s="63" t="n">
        <v>1130.9</v>
      </c>
      <c r="FO18" s="63" t="n">
        <v>1133.9</v>
      </c>
      <c r="FP18" s="63" t="n">
        <v>1131.3</v>
      </c>
      <c r="FQ18" s="63" t="n">
        <v>1148.4</v>
      </c>
      <c r="FR18" s="63" t="n">
        <v>1174.6</v>
      </c>
      <c r="FS18" s="63" t="n">
        <v>1180.8</v>
      </c>
      <c r="FT18" s="63" t="n">
        <v>1195</v>
      </c>
      <c r="FU18" s="63" t="n">
        <v>1204.1</v>
      </c>
      <c r="FV18" s="63" t="n">
        <v>1220.5</v>
      </c>
      <c r="FW18" s="63" t="n">
        <v>1237.5</v>
      </c>
      <c r="FX18" s="63" t="n">
        <v>1248.4</v>
      </c>
      <c r="FY18" s="63" t="n">
        <v>1257</v>
      </c>
      <c r="FZ18" s="63" t="n">
        <v>1262.2</v>
      </c>
      <c r="GA18" s="63" t="n">
        <v>1273.1</v>
      </c>
      <c r="GB18" s="63" t="n">
        <v>1275.5</v>
      </c>
      <c r="GC18" s="63" t="n">
        <v>1289.9</v>
      </c>
      <c r="GD18" s="63" t="n">
        <v>1295.9</v>
      </c>
      <c r="GE18" s="63" t="n">
        <v>1301</v>
      </c>
      <c r="GF18" s="63" t="n">
        <v>1320.8</v>
      </c>
      <c r="GG18" s="63" t="n">
        <v>1328.9</v>
      </c>
      <c r="GH18" s="63" t="n">
        <v>1340</v>
      </c>
      <c r="GI18" s="63" t="n">
        <v>1356.6</v>
      </c>
      <c r="GJ18" s="63" t="n">
        <v>1376.1</v>
      </c>
      <c r="GK18" s="63" t="n">
        <v>1397.1</v>
      </c>
      <c r="GL18" s="63" t="n">
        <v>1427.5</v>
      </c>
      <c r="GM18" s="63" t="n">
        <v>1446.8</v>
      </c>
      <c r="GN18" s="63" t="n">
        <v>1469.3</v>
      </c>
      <c r="GO18" s="63" t="n">
        <v>1502.1</v>
      </c>
      <c r="GP18" s="63" t="n">
        <v>1504.7</v>
      </c>
      <c r="GQ18" s="63" t="n">
        <v>1516.1</v>
      </c>
      <c r="GR18" s="63" t="n">
        <v>1549.7</v>
      </c>
      <c r="GS18" s="63" t="n">
        <v>1549.6</v>
      </c>
      <c r="GT18" s="63" t="n">
        <v>1565.8</v>
      </c>
      <c r="GU18" s="63" t="n">
        <v>1426.5</v>
      </c>
      <c r="GV18" s="63" t="n">
        <v>1546.5</v>
      </c>
      <c r="GW18" s="63" t="n">
        <v>1566.4</v>
      </c>
      <c r="GX18" s="63" t="n">
        <v>1583.7</v>
      </c>
      <c r="GY18" s="63" t="n">
        <v>1676.7</v>
      </c>
      <c r="GZ18" s="63" t="n">
        <v>1680</v>
      </c>
      <c r="HA18" s="63" t="n">
        <v>1713.2</v>
      </c>
      <c r="HB18" s="63" t="n">
        <v>1750.1</v>
      </c>
      <c r="HC18" t="n">
        <v>1775.5</v>
      </c>
      <c r="HD18" t="n">
        <v>1785.1</v>
      </c>
      <c r="HE18" t="n">
        <v>1785.5</v>
      </c>
    </row>
    <row r="19">
      <c r="A19" s="63" t="s">
        <v>2453</v>
      </c>
      <c r="B19" s="63" t="n">
        <v>30.7</v>
      </c>
      <c r="C19" s="63" t="n">
        <v>30.8</v>
      </c>
      <c r="D19" s="63" t="n">
        <v>31.7</v>
      </c>
      <c r="E19" s="63" t="n">
        <v>30.2</v>
      </c>
      <c r="F19" s="63" t="n">
        <v>34</v>
      </c>
      <c r="G19" s="63" t="n">
        <v>34.9</v>
      </c>
      <c r="H19" s="63" t="n">
        <v>34.1</v>
      </c>
      <c r="I19" s="63" t="n">
        <v>34.6</v>
      </c>
      <c r="J19" s="63" t="n">
        <v>36.8</v>
      </c>
      <c r="K19" s="63" t="n">
        <v>37.1</v>
      </c>
      <c r="L19" s="63" t="n">
        <v>38.3</v>
      </c>
      <c r="M19" s="63" t="n">
        <v>42.4</v>
      </c>
      <c r="N19" s="63" t="n">
        <v>45.3</v>
      </c>
      <c r="O19" s="63" t="n">
        <v>45.4</v>
      </c>
      <c r="P19" s="63" t="n">
        <v>43.4</v>
      </c>
      <c r="Q19" s="63" t="n">
        <v>45.6</v>
      </c>
      <c r="R19" s="63" t="n">
        <v>43.7</v>
      </c>
      <c r="S19" s="63" t="n">
        <v>45.9</v>
      </c>
      <c r="T19" s="63" t="n">
        <v>50.8</v>
      </c>
      <c r="U19" s="63" t="n">
        <v>44.6</v>
      </c>
      <c r="V19" s="63" t="n">
        <v>37.6</v>
      </c>
      <c r="W19" s="63" t="n">
        <v>40.8</v>
      </c>
      <c r="X19" s="63" t="n">
        <v>51.4</v>
      </c>
      <c r="Y19" s="63" t="n">
        <v>52.3</v>
      </c>
      <c r="Z19" s="63" t="n">
        <v>59.6</v>
      </c>
      <c r="AA19" s="63" t="n">
        <v>58.6</v>
      </c>
      <c r="AB19" s="63" t="n">
        <v>58.1</v>
      </c>
      <c r="AC19" s="63" t="n">
        <v>57.1</v>
      </c>
      <c r="AD19" s="63" t="n">
        <v>61.5</v>
      </c>
      <c r="AE19" s="63" t="n">
        <v>67.1</v>
      </c>
      <c r="AF19" s="63" t="n">
        <v>69.7</v>
      </c>
      <c r="AG19" s="63" t="n">
        <v>70.1</v>
      </c>
      <c r="AH19" s="63" t="n">
        <v>65</v>
      </c>
      <c r="AI19" s="63" t="n">
        <v>78.6</v>
      </c>
      <c r="AJ19" s="63" t="n">
        <v>79.1</v>
      </c>
      <c r="AK19" s="63" t="n">
        <v>83.3</v>
      </c>
      <c r="AL19" s="63" t="n">
        <v>80.3</v>
      </c>
      <c r="AM19" s="63" t="n">
        <v>80.3</v>
      </c>
      <c r="AN19" s="63" t="n">
        <v>78.9</v>
      </c>
      <c r="AO19" s="63" t="n">
        <v>75.3</v>
      </c>
      <c r="AP19" s="63" t="n">
        <v>83.1</v>
      </c>
      <c r="AQ19" s="63" t="n">
        <v>62.6</v>
      </c>
      <c r="AR19" s="63" t="n">
        <v>69.9</v>
      </c>
      <c r="AS19" s="63" t="n">
        <v>76.8</v>
      </c>
      <c r="AT19" s="63" t="n">
        <v>75.4</v>
      </c>
      <c r="AU19" s="63" t="n">
        <v>65.9</v>
      </c>
      <c r="AV19" s="63" t="n">
        <v>68.4</v>
      </c>
      <c r="AW19" s="63" t="n">
        <v>58.9</v>
      </c>
      <c r="AX19" s="63" t="n">
        <v>47.6</v>
      </c>
      <c r="AY19" s="63" t="n">
        <v>49</v>
      </c>
      <c r="AZ19" s="63" t="n">
        <v>49.8</v>
      </c>
      <c r="BA19" s="63" t="n">
        <v>45.1</v>
      </c>
      <c r="BB19" s="63" t="n">
        <v>47.1</v>
      </c>
      <c r="BC19" s="63" t="n">
        <v>61.9</v>
      </c>
      <c r="BD19" s="63" t="n">
        <v>70.7</v>
      </c>
      <c r="BE19" s="63" t="n">
        <v>72.4</v>
      </c>
      <c r="BF19" s="63" t="n">
        <v>84.9</v>
      </c>
      <c r="BG19" s="63" t="n">
        <v>83.7</v>
      </c>
      <c r="BH19" s="63" t="n">
        <v>71.3</v>
      </c>
      <c r="BI19" s="63" t="n">
        <v>72.1</v>
      </c>
      <c r="BJ19" s="63" t="n">
        <v>77.7</v>
      </c>
      <c r="BK19" s="63" t="n">
        <v>76</v>
      </c>
      <c r="BL19" s="63" t="n">
        <v>81.7</v>
      </c>
      <c r="BM19" s="63" t="n">
        <v>79.5</v>
      </c>
      <c r="BN19" s="63" t="n">
        <v>84.4</v>
      </c>
      <c r="BO19" s="63" t="n">
        <v>85.5</v>
      </c>
      <c r="BP19" s="63" t="n">
        <v>86.9</v>
      </c>
      <c r="BQ19" s="63" t="n">
        <v>97.9</v>
      </c>
      <c r="BR19" s="63" t="n">
        <v>98.7</v>
      </c>
      <c r="BS19" s="63" t="n">
        <v>111.8</v>
      </c>
      <c r="BT19" s="63" t="n">
        <v>116.2</v>
      </c>
      <c r="BU19" s="63" t="n">
        <v>110.7</v>
      </c>
      <c r="BV19" s="63" t="n">
        <v>108</v>
      </c>
      <c r="BW19" s="63" t="n">
        <v>115.3</v>
      </c>
      <c r="BX19" s="63" t="n">
        <v>125.1</v>
      </c>
      <c r="BY19" s="63" t="n">
        <v>130.9</v>
      </c>
      <c r="BZ19" s="63" t="n">
        <v>132.7</v>
      </c>
      <c r="CA19" s="63" t="n">
        <v>118.7</v>
      </c>
      <c r="CB19" s="63" t="n">
        <v>114.4</v>
      </c>
      <c r="CC19" s="63" t="n">
        <v>113.5</v>
      </c>
      <c r="CD19" s="63" t="n">
        <v>112.5</v>
      </c>
      <c r="CE19" s="63" t="n">
        <v>116.8</v>
      </c>
      <c r="CF19" s="63" t="n">
        <v>119.9</v>
      </c>
      <c r="CG19" s="63" t="n">
        <v>118.8</v>
      </c>
      <c r="CH19" s="63" t="n">
        <v>115.3</v>
      </c>
      <c r="CI19" s="63" t="n">
        <v>110.9</v>
      </c>
      <c r="CJ19" s="63" t="n">
        <v>111.9</v>
      </c>
      <c r="CK19" s="63" t="n">
        <v>113.1</v>
      </c>
      <c r="CL19" s="63" t="n">
        <v>125</v>
      </c>
      <c r="CM19" s="63" t="n">
        <v>126.8</v>
      </c>
      <c r="CN19" s="63" t="n">
        <v>122.1</v>
      </c>
      <c r="CO19" s="63" t="n">
        <v>131.6</v>
      </c>
      <c r="CP19" s="63" t="n">
        <v>136.4</v>
      </c>
      <c r="CQ19" s="63" t="n">
        <v>148.7</v>
      </c>
      <c r="CR19" s="63" t="n">
        <v>140.7</v>
      </c>
      <c r="CS19" s="63" t="n">
        <v>171.9</v>
      </c>
      <c r="CT19" s="63" t="n">
        <v>149.5</v>
      </c>
      <c r="CU19" s="63" t="n">
        <v>158</v>
      </c>
      <c r="CV19" s="63" t="n">
        <v>173.8</v>
      </c>
      <c r="CW19" s="63" t="n">
        <v>183.6</v>
      </c>
      <c r="CX19" s="63" t="n">
        <v>187.8</v>
      </c>
      <c r="CY19" s="63" t="n">
        <v>184.4</v>
      </c>
      <c r="CZ19" s="63" t="n">
        <v>191</v>
      </c>
      <c r="DA19" s="63" t="n">
        <v>187.1</v>
      </c>
      <c r="DB19" s="63" t="n">
        <v>194.3</v>
      </c>
      <c r="DC19" s="63" t="n">
        <v>205.5</v>
      </c>
      <c r="DD19" s="63" t="n">
        <v>205.9</v>
      </c>
      <c r="DE19" s="63" t="n">
        <v>208.6</v>
      </c>
      <c r="DF19" s="63" t="n">
        <v>210</v>
      </c>
      <c r="DG19" s="63" t="n">
        <v>214</v>
      </c>
      <c r="DH19" s="63" t="n">
        <v>226</v>
      </c>
      <c r="DI19" s="63" t="n">
        <v>215.9</v>
      </c>
      <c r="DJ19" s="63" t="n">
        <v>213.5</v>
      </c>
      <c r="DK19" s="63" t="n">
        <v>209.9</v>
      </c>
      <c r="DL19" s="63" t="n">
        <v>215.8</v>
      </c>
      <c r="DM19" s="63" t="n">
        <v>211.3</v>
      </c>
      <c r="DN19" s="63" t="n">
        <v>222.3</v>
      </c>
      <c r="DO19" s="63" t="n">
        <v>219.9</v>
      </c>
      <c r="DP19" s="63" t="n">
        <v>223.3</v>
      </c>
      <c r="DQ19" s="63" t="n">
        <v>228</v>
      </c>
      <c r="DR19" s="63" t="n">
        <v>239.4</v>
      </c>
      <c r="DS19" s="63" t="n">
        <v>237.6</v>
      </c>
      <c r="DT19" s="63" t="n">
        <v>219</v>
      </c>
      <c r="DU19" s="63" t="n">
        <v>221.3</v>
      </c>
      <c r="DV19" s="63" t="n">
        <v>185.1</v>
      </c>
      <c r="DW19" s="63" t="n">
        <v>179</v>
      </c>
      <c r="DX19" s="63" t="n">
        <v>159.3</v>
      </c>
      <c r="DY19" s="63" t="n">
        <v>142.4</v>
      </c>
      <c r="DZ19" s="63" t="n">
        <v>143.8</v>
      </c>
      <c r="EA19" s="63" t="n">
        <v>150</v>
      </c>
      <c r="EB19" s="63" t="n">
        <v>158</v>
      </c>
      <c r="EC19" s="63" t="n">
        <v>175.5</v>
      </c>
      <c r="ED19" s="63" t="n">
        <v>196.1</v>
      </c>
      <c r="EE19" s="63" t="n">
        <v>192.6</v>
      </c>
      <c r="EF19" s="63" t="n">
        <v>213.9</v>
      </c>
      <c r="EG19" s="63" t="n">
        <v>236.6</v>
      </c>
      <c r="EH19" s="63" t="n">
        <v>247</v>
      </c>
      <c r="EI19" s="63" t="n">
        <v>266.8</v>
      </c>
      <c r="EJ19" s="63" t="n">
        <v>288.3</v>
      </c>
      <c r="EK19" s="63" t="n">
        <v>293.6</v>
      </c>
      <c r="EL19" s="63" t="n">
        <v>370.6</v>
      </c>
      <c r="EM19" s="63" t="n">
        <v>359</v>
      </c>
      <c r="EN19" s="63" t="n">
        <v>365.2</v>
      </c>
      <c r="EO19" s="63" t="n">
        <v>402.9</v>
      </c>
      <c r="EP19" s="63" t="n">
        <v>416.9</v>
      </c>
      <c r="EQ19" s="63" t="n">
        <v>427.6</v>
      </c>
      <c r="ER19" s="63" t="n">
        <v>446.6</v>
      </c>
      <c r="ES19" s="63" t="n">
        <v>409.8</v>
      </c>
      <c r="ET19" s="63" t="n">
        <v>413.6</v>
      </c>
      <c r="EU19" s="63" t="n">
        <v>407.2</v>
      </c>
      <c r="EV19" s="63" t="n">
        <v>370.9</v>
      </c>
      <c r="EW19" s="63" t="n">
        <v>352.7</v>
      </c>
      <c r="EX19" s="63" t="n">
        <v>291.9</v>
      </c>
      <c r="EY19" s="63" t="n">
        <v>278.7</v>
      </c>
      <c r="EZ19" s="63" t="n">
        <v>264.4</v>
      </c>
      <c r="FA19" s="63" t="n">
        <v>162.6</v>
      </c>
      <c r="FB19" s="63" t="n">
        <v>166.5</v>
      </c>
      <c r="FC19" s="63" t="n">
        <v>188.6</v>
      </c>
      <c r="FD19" s="63" t="n">
        <v>200.7</v>
      </c>
      <c r="FE19" s="63" t="n">
        <v>234.2</v>
      </c>
      <c r="FF19" s="63" t="n">
        <v>249.8</v>
      </c>
      <c r="FG19" s="63" t="n">
        <v>255.6</v>
      </c>
      <c r="FH19" s="63" t="n">
        <v>272.6</v>
      </c>
      <c r="FI19" s="63" t="n">
        <v>284</v>
      </c>
      <c r="FJ19" s="63" t="n">
        <v>277.3</v>
      </c>
      <c r="FK19" s="63" t="n">
        <v>276.9</v>
      </c>
      <c r="FL19" s="63" t="n">
        <v>248.2</v>
      </c>
      <c r="FM19" s="63" t="n">
        <v>287</v>
      </c>
      <c r="FN19" s="63" t="n">
        <v>310.7</v>
      </c>
      <c r="FO19" s="63" t="n">
        <v>325</v>
      </c>
      <c r="FP19" s="63" t="n">
        <v>332.9</v>
      </c>
      <c r="FQ19" s="63" t="n">
        <v>332.8</v>
      </c>
      <c r="FR19" s="63" t="n">
        <v>350.8</v>
      </c>
      <c r="FS19" s="63" t="n">
        <v>347.3</v>
      </c>
      <c r="FT19" s="63" t="n">
        <v>354.3</v>
      </c>
      <c r="FU19" s="63" t="n">
        <v>356.9</v>
      </c>
      <c r="FV19" s="63" t="n">
        <v>392.8</v>
      </c>
      <c r="FW19" s="63" t="n">
        <v>415.1</v>
      </c>
      <c r="FX19" s="63" t="n">
        <v>387.1</v>
      </c>
      <c r="FY19" s="63" t="n">
        <v>389.8</v>
      </c>
      <c r="FZ19" s="63" t="n">
        <v>403.5</v>
      </c>
      <c r="GA19" s="63" t="n">
        <v>408.5</v>
      </c>
      <c r="GB19" s="63" t="n">
        <v>379.6</v>
      </c>
      <c r="GC19" s="63" t="n">
        <v>349.7</v>
      </c>
      <c r="GD19" s="63" t="n">
        <v>364.6</v>
      </c>
      <c r="GE19" s="63" t="n">
        <v>367.7</v>
      </c>
      <c r="GF19" s="63" t="n">
        <v>374.8</v>
      </c>
      <c r="GG19" s="63" t="n">
        <v>353.8</v>
      </c>
      <c r="GH19" s="63" t="n">
        <v>267.4</v>
      </c>
      <c r="GI19" s="63" t="n">
        <v>280</v>
      </c>
      <c r="GJ19" s="63" t="n">
        <v>295.4</v>
      </c>
      <c r="GK19" s="63" t="n">
        <v>297</v>
      </c>
      <c r="GL19" s="63" t="n">
        <v>262.3</v>
      </c>
      <c r="GM19" s="63" t="n">
        <v>288.4</v>
      </c>
      <c r="GN19" s="63" t="n">
        <v>290.3</v>
      </c>
      <c r="GO19" s="63" t="n">
        <v>300.5</v>
      </c>
      <c r="GP19" s="63" t="n">
        <v>276.4</v>
      </c>
      <c r="GQ19" s="63" t="n">
        <v>290.4</v>
      </c>
      <c r="GR19" s="63" t="n">
        <v>270.3</v>
      </c>
      <c r="GS19" s="63" t="n">
        <v>298.3</v>
      </c>
      <c r="GT19" s="63" t="n">
        <v>250.8</v>
      </c>
      <c r="GU19" s="63" t="n">
        <v>242.8</v>
      </c>
      <c r="GV19" s="63" t="n">
        <v>299.3</v>
      </c>
      <c r="GW19" s="63" t="n">
        <v>311.3</v>
      </c>
      <c r="GX19" s="63" t="n">
        <v>337.7</v>
      </c>
      <c r="GY19" s="63" t="n">
        <v>371.7</v>
      </c>
      <c r="GZ19" s="63" t="n">
        <v>372.9</v>
      </c>
      <c r="HA19" s="63" t="n">
        <v>415.3</v>
      </c>
      <c r="HB19" t="n">
        <v>479.7</v>
      </c>
      <c r="HC19" t="n">
        <v>463</v>
      </c>
      <c r="HD19" t="n">
        <v>441.3</v>
      </c>
      <c r="HE19"/>
    </row>
    <row r="20">
      <c r="A20" s="63" t="s">
        <v>2454</v>
      </c>
      <c r="B20" s="63" t="n">
        <v>247.9</v>
      </c>
      <c r="C20" s="63" t="n">
        <v>249.1</v>
      </c>
      <c r="D20" s="63" t="n">
        <v>254.6</v>
      </c>
      <c r="E20" s="63" t="n">
        <v>258.7</v>
      </c>
      <c r="F20" s="63" t="n">
        <v>261.9</v>
      </c>
      <c r="G20" s="63" t="n">
        <v>266.1</v>
      </c>
      <c r="H20" s="63" t="n">
        <v>269.8</v>
      </c>
      <c r="I20" s="63" t="n">
        <v>272.1</v>
      </c>
      <c r="J20" s="63" t="n">
        <v>282.2</v>
      </c>
      <c r="K20" s="63" t="n">
        <v>286.5</v>
      </c>
      <c r="L20" s="63" t="n">
        <v>284.3</v>
      </c>
      <c r="M20" s="63" t="n">
        <v>291.7</v>
      </c>
      <c r="N20" s="63" t="n">
        <v>299.6</v>
      </c>
      <c r="O20" s="63" t="n">
        <v>302.7</v>
      </c>
      <c r="P20" s="63" t="n">
        <v>304.2</v>
      </c>
      <c r="Q20" s="63" t="n">
        <v>312.6</v>
      </c>
      <c r="R20" s="63" t="n">
        <v>324.6</v>
      </c>
      <c r="S20" s="63" t="n">
        <v>335</v>
      </c>
      <c r="T20" s="63" t="n">
        <v>346.7</v>
      </c>
      <c r="U20" s="63" t="n">
        <v>359.2</v>
      </c>
      <c r="V20" s="63" t="n">
        <v>370.1</v>
      </c>
      <c r="W20" s="63" t="n">
        <v>373.4</v>
      </c>
      <c r="X20" s="63" t="n">
        <v>385.4</v>
      </c>
      <c r="Y20" s="63" t="n">
        <v>395.6</v>
      </c>
      <c r="Z20" s="63" t="n">
        <v>401.3</v>
      </c>
      <c r="AA20" s="63" t="n">
        <v>401</v>
      </c>
      <c r="AB20" s="63" t="n">
        <v>403.5</v>
      </c>
      <c r="AC20" s="63" t="n">
        <v>410.8</v>
      </c>
      <c r="AD20" s="63" t="n">
        <v>421.2</v>
      </c>
      <c r="AE20" s="63" t="n">
        <v>431.4</v>
      </c>
      <c r="AF20" s="63" t="n">
        <v>438</v>
      </c>
      <c r="AG20" s="63" t="n">
        <v>446.7</v>
      </c>
      <c r="AH20" s="63" t="n">
        <v>452.6</v>
      </c>
      <c r="AI20" s="63" t="n">
        <v>472.3</v>
      </c>
      <c r="AJ20" s="63" t="n">
        <v>484.2</v>
      </c>
      <c r="AK20" s="63" t="n">
        <v>496.2</v>
      </c>
      <c r="AL20" s="63" t="n">
        <v>501.8</v>
      </c>
      <c r="AM20" s="63" t="n">
        <v>516.5</v>
      </c>
      <c r="AN20" s="63" t="n">
        <v>533.1</v>
      </c>
      <c r="AO20" s="63" t="n">
        <v>547.8</v>
      </c>
      <c r="AP20" s="63" t="n">
        <v>568.8</v>
      </c>
      <c r="AQ20" s="63" t="n">
        <v>588.5</v>
      </c>
      <c r="AR20" s="63" t="n">
        <v>592.2</v>
      </c>
      <c r="AS20" s="63" t="n">
        <v>608.9</v>
      </c>
      <c r="AT20" s="63" t="n">
        <v>633.4</v>
      </c>
      <c r="AU20" s="63" t="n">
        <v>648.7</v>
      </c>
      <c r="AV20" s="63" t="n">
        <v>657.8</v>
      </c>
      <c r="AW20" s="63" t="n">
        <v>677.7</v>
      </c>
      <c r="AX20" s="63" t="n">
        <v>688.1</v>
      </c>
      <c r="AY20" s="63" t="n">
        <v>703.1</v>
      </c>
      <c r="AZ20" s="63" t="n">
        <v>717.3</v>
      </c>
      <c r="BA20" s="63" t="n">
        <v>737.4</v>
      </c>
      <c r="BB20" s="63" t="n">
        <v>747.9</v>
      </c>
      <c r="BC20" s="63" t="n">
        <v>761.1</v>
      </c>
      <c r="BD20" s="63" t="n">
        <v>782.2</v>
      </c>
      <c r="BE20" s="63" t="n">
        <v>775.1</v>
      </c>
      <c r="BF20" s="63" t="n">
        <v>794</v>
      </c>
      <c r="BG20" s="63" t="n">
        <v>819.1</v>
      </c>
      <c r="BH20" s="63" t="n">
        <v>835.7</v>
      </c>
      <c r="BI20" s="63" t="n">
        <v>862.8</v>
      </c>
      <c r="BJ20" s="63" t="n">
        <v>875.6</v>
      </c>
      <c r="BK20" s="63" t="n">
        <v>900.5</v>
      </c>
      <c r="BL20" s="63" t="n">
        <v>927.4</v>
      </c>
      <c r="BM20" s="63" t="n">
        <v>938.6</v>
      </c>
      <c r="BN20" s="63" t="n">
        <v>946.8</v>
      </c>
      <c r="BO20" s="63" t="n">
        <v>967.5</v>
      </c>
      <c r="BP20" s="63" t="n">
        <v>993.6</v>
      </c>
      <c r="BQ20" s="63" t="n">
        <v>996.4</v>
      </c>
      <c r="BR20" s="63" t="n">
        <v>1008.7</v>
      </c>
      <c r="BS20" s="63" t="n">
        <v>1025.2</v>
      </c>
      <c r="BT20" s="63" t="n">
        <v>1036.2</v>
      </c>
      <c r="BU20" s="63" t="n">
        <v>1056</v>
      </c>
      <c r="BV20" s="63" t="n">
        <v>1056.9</v>
      </c>
      <c r="BW20" s="63" t="n">
        <v>1070.4</v>
      </c>
      <c r="BX20" s="63" t="n">
        <v>1078.2</v>
      </c>
      <c r="BY20" s="63" t="n">
        <v>1109.9</v>
      </c>
      <c r="BZ20" s="63" t="n">
        <v>1116.6</v>
      </c>
      <c r="CA20" s="63" t="n">
        <v>1145.8</v>
      </c>
      <c r="CB20" s="63" t="n">
        <v>1164.6</v>
      </c>
      <c r="CC20" s="63" t="n">
        <v>1180.5</v>
      </c>
      <c r="CD20" s="63" t="n">
        <v>1212.5</v>
      </c>
      <c r="CE20" s="63" t="n">
        <v>1230.7</v>
      </c>
      <c r="CF20" s="63" t="n">
        <v>1242.6</v>
      </c>
      <c r="CG20" s="63" t="n">
        <v>1268.5</v>
      </c>
      <c r="CH20" s="63" t="n">
        <v>1284.2</v>
      </c>
      <c r="CI20" s="63" t="n">
        <v>1296.6</v>
      </c>
      <c r="CJ20" s="63" t="n">
        <v>1306.3</v>
      </c>
      <c r="CK20" s="63" t="n">
        <v>1308.8</v>
      </c>
      <c r="CL20" s="63" t="n">
        <v>1326.4</v>
      </c>
      <c r="CM20" s="63" t="n">
        <v>1334.8</v>
      </c>
      <c r="CN20" s="63" t="n">
        <v>1354</v>
      </c>
      <c r="CO20" s="63" t="n">
        <v>1362.8</v>
      </c>
      <c r="CP20" s="63" t="n">
        <v>1351.8</v>
      </c>
      <c r="CQ20" s="63" t="n">
        <v>1359.1</v>
      </c>
      <c r="CR20" s="63" t="n">
        <v>1367.4</v>
      </c>
      <c r="CS20" s="63" t="n">
        <v>1381.4</v>
      </c>
      <c r="CT20" s="63" t="n">
        <v>1373.4</v>
      </c>
      <c r="CU20" s="63" t="n">
        <v>1389.4</v>
      </c>
      <c r="CV20" s="63" t="n">
        <v>1423.4</v>
      </c>
      <c r="CW20" s="63" t="n">
        <v>1422.9</v>
      </c>
      <c r="CX20" s="63" t="n">
        <v>1437.6</v>
      </c>
      <c r="CY20" s="63" t="n">
        <v>1452.9</v>
      </c>
      <c r="CZ20" s="63" t="n">
        <v>1455.7</v>
      </c>
      <c r="DA20" s="63" t="n">
        <v>1451.6</v>
      </c>
      <c r="DB20" s="63" t="n">
        <v>1471.3</v>
      </c>
      <c r="DC20" s="63" t="n">
        <v>1487.7</v>
      </c>
      <c r="DD20" s="63" t="n">
        <v>1496.7</v>
      </c>
      <c r="DE20" s="63" t="n">
        <v>1515.7</v>
      </c>
      <c r="DF20" s="63" t="n">
        <v>1516</v>
      </c>
      <c r="DG20" s="63" t="n">
        <v>1542.5</v>
      </c>
      <c r="DH20" s="63" t="n">
        <v>1555.2</v>
      </c>
      <c r="DI20" s="63" t="n">
        <v>1574.8</v>
      </c>
      <c r="DJ20" s="63" t="n">
        <v>1568</v>
      </c>
      <c r="DK20" s="63" t="n">
        <v>1603.7</v>
      </c>
      <c r="DL20" s="63" t="n">
        <v>1627.3</v>
      </c>
      <c r="DM20" s="63" t="n">
        <v>1647.5</v>
      </c>
      <c r="DN20" s="63" t="n">
        <v>1669.1</v>
      </c>
      <c r="DO20" s="63" t="n">
        <v>1694.8</v>
      </c>
      <c r="DP20" s="63" t="n">
        <v>1734</v>
      </c>
      <c r="DQ20" s="63" t="n">
        <v>1781.7</v>
      </c>
      <c r="DR20" s="63" t="n">
        <v>1789.9</v>
      </c>
      <c r="DS20" s="63" t="n">
        <v>1822.5</v>
      </c>
      <c r="DT20" s="63" t="n">
        <v>1832.1</v>
      </c>
      <c r="DU20" s="63" t="n">
        <v>1861.3</v>
      </c>
      <c r="DV20" s="63" t="n">
        <v>1906.3</v>
      </c>
      <c r="DW20" s="63" t="n">
        <v>1947.7</v>
      </c>
      <c r="DX20" s="63" t="n">
        <v>1953.4</v>
      </c>
      <c r="DY20" s="63" t="n">
        <v>1992.7</v>
      </c>
      <c r="DZ20" s="63" t="n">
        <v>2040</v>
      </c>
      <c r="EA20" s="63" t="n">
        <v>2074.5</v>
      </c>
      <c r="EB20" s="63" t="n">
        <v>2101.3</v>
      </c>
      <c r="EC20" s="63" t="n">
        <v>2142.2</v>
      </c>
      <c r="ED20" s="63" t="n">
        <v>2172</v>
      </c>
      <c r="EE20" s="63" t="n">
        <v>2198.8</v>
      </c>
      <c r="EF20" s="63" t="n">
        <v>2220.4</v>
      </c>
      <c r="EG20" s="63" t="n">
        <v>2251.2</v>
      </c>
      <c r="EH20" s="63" t="n">
        <v>2286.6</v>
      </c>
      <c r="EI20" s="63" t="n">
        <v>2320.7</v>
      </c>
      <c r="EJ20" s="63" t="n">
        <v>2356.4</v>
      </c>
      <c r="EK20" s="63" t="n">
        <v>2388.8</v>
      </c>
      <c r="EL20" s="63" t="n">
        <v>2426.1</v>
      </c>
      <c r="EM20" s="63" t="n">
        <v>2452.2</v>
      </c>
      <c r="EN20" s="63" t="n">
        <v>2494.4</v>
      </c>
      <c r="EO20" s="63" t="n">
        <v>2528.4</v>
      </c>
      <c r="EP20" s="63" t="n">
        <v>2580.1</v>
      </c>
      <c r="EQ20" s="63" t="n">
        <v>2610.6</v>
      </c>
      <c r="ER20" s="63" t="n">
        <v>2630.3</v>
      </c>
      <c r="ES20" s="63" t="n">
        <v>2674.5</v>
      </c>
      <c r="ET20" s="63" t="n">
        <v>2718.5</v>
      </c>
      <c r="EU20" s="63" t="n">
        <v>2770</v>
      </c>
      <c r="EV20" s="63" t="n">
        <v>2808.7</v>
      </c>
      <c r="EW20" s="63" t="n">
        <v>2865.1</v>
      </c>
      <c r="EX20" s="63" t="n">
        <v>2909.6</v>
      </c>
      <c r="EY20" s="63" t="n">
        <v>2971.6</v>
      </c>
      <c r="EZ20" s="63" t="n">
        <v>3029</v>
      </c>
      <c r="FA20" s="63" t="n">
        <v>3021.8</v>
      </c>
      <c r="FB20" s="63" t="n">
        <v>3022</v>
      </c>
      <c r="FC20" s="63" t="n">
        <v>3070.5</v>
      </c>
      <c r="FD20" s="63" t="n">
        <v>3092.1</v>
      </c>
      <c r="FE20" s="63" t="n">
        <v>3120.8</v>
      </c>
      <c r="FF20" s="63" t="n">
        <v>3133.8</v>
      </c>
      <c r="FG20" s="63" t="n">
        <v>3165.8</v>
      </c>
      <c r="FH20" s="63" t="n">
        <v>3158.3</v>
      </c>
      <c r="FI20" s="63" t="n">
        <v>3164.3</v>
      </c>
      <c r="FJ20" s="63" t="n">
        <v>3155.8</v>
      </c>
      <c r="FK20" s="63" t="n">
        <v>3168.3</v>
      </c>
      <c r="FL20" s="63" t="n">
        <v>3136.9</v>
      </c>
      <c r="FM20" s="63" t="n">
        <v>3130.8</v>
      </c>
      <c r="FN20" s="63" t="n">
        <v>3144</v>
      </c>
      <c r="FO20" s="63" t="n">
        <v>3130.5</v>
      </c>
      <c r="FP20" s="63" t="n">
        <v>3139.1</v>
      </c>
      <c r="FQ20" s="63" t="n">
        <v>3132.3</v>
      </c>
      <c r="FR20" s="63" t="n">
        <v>3125.4</v>
      </c>
      <c r="FS20" s="63" t="n">
        <v>3132.6</v>
      </c>
      <c r="FT20" s="63" t="n">
        <v>3134.8</v>
      </c>
      <c r="FU20" s="63" t="n">
        <v>3139.3</v>
      </c>
      <c r="FV20" s="63" t="n">
        <v>3138.2</v>
      </c>
      <c r="FW20" s="63" t="n">
        <v>3154.1</v>
      </c>
      <c r="FX20" s="63" t="n">
        <v>3191.8</v>
      </c>
      <c r="FY20" s="63" t="n">
        <v>3191.2</v>
      </c>
      <c r="FZ20" s="63" t="n">
        <v>3189.3</v>
      </c>
      <c r="GA20" s="63" t="n">
        <v>3232</v>
      </c>
      <c r="GB20" s="63" t="n">
        <v>3250.6</v>
      </c>
      <c r="GC20" s="63" t="n">
        <v>3254.5</v>
      </c>
      <c r="GD20" s="63" t="n">
        <v>3270.2</v>
      </c>
      <c r="GE20" s="63" t="n">
        <v>3287.4</v>
      </c>
      <c r="GF20" s="63" t="n">
        <v>3315.8</v>
      </c>
      <c r="GG20" s="63" t="n">
        <v>3338.8</v>
      </c>
      <c r="GH20" s="63" t="n">
        <v>3355.3</v>
      </c>
      <c r="GI20" s="63" t="n">
        <v>3371.3</v>
      </c>
      <c r="GJ20" s="63" t="n">
        <v>3395.1</v>
      </c>
      <c r="GK20" s="63" t="n">
        <v>3457.7</v>
      </c>
      <c r="GL20" s="63" t="n">
        <v>3503.4</v>
      </c>
      <c r="GM20" s="63" t="n">
        <v>3561.7</v>
      </c>
      <c r="GN20" s="63" t="n">
        <v>3613.6</v>
      </c>
      <c r="GO20" s="63" t="n">
        <v>3636.3</v>
      </c>
      <c r="GP20" s="63" t="n">
        <v>3688.3</v>
      </c>
      <c r="GQ20" s="63" t="n">
        <v>3744.4</v>
      </c>
      <c r="GR20" s="63" t="n">
        <v>3785.1</v>
      </c>
      <c r="GS20" s="63" t="n">
        <v>3821.9</v>
      </c>
      <c r="GT20" s="63" t="n">
        <v>3883</v>
      </c>
      <c r="GU20" s="63" t="n">
        <v>3951.8</v>
      </c>
      <c r="GV20" s="63" t="n">
        <v>3922.9</v>
      </c>
      <c r="GW20" s="63" t="n">
        <v>3957.8</v>
      </c>
      <c r="GX20" s="63" t="n">
        <v>4088.7</v>
      </c>
      <c r="GY20" s="63" t="n">
        <v>4124.4</v>
      </c>
      <c r="GZ20" s="63" t="n">
        <v>4183.1</v>
      </c>
      <c r="HA20" s="63" t="n">
        <v>4246.7</v>
      </c>
      <c r="HB20" s="63" t="n">
        <v>4311.4</v>
      </c>
      <c r="HC20" t="n">
        <v>4412.8</v>
      </c>
      <c r="HD20" t="n">
        <v>4493</v>
      </c>
      <c r="HE20" t="n">
        <v>4572.5</v>
      </c>
    </row>
    <row r="21">
      <c r="A21" s="63" t="s">
        <v>2455</v>
      </c>
      <c r="B21" s="63" t="n">
        <v>46.2</v>
      </c>
      <c r="C21" s="63" t="n">
        <v>46.5</v>
      </c>
      <c r="D21" s="63" t="n">
        <v>46.9</v>
      </c>
      <c r="E21" s="63" t="n">
        <v>46.7</v>
      </c>
      <c r="F21" s="63" t="n">
        <v>50.8</v>
      </c>
      <c r="G21" s="63" t="n">
        <v>51.4</v>
      </c>
      <c r="H21" s="63" t="n">
        <v>51.6</v>
      </c>
      <c r="I21" s="63" t="n">
        <v>52.2</v>
      </c>
      <c r="J21" s="63" t="n">
        <v>58.5</v>
      </c>
      <c r="K21" s="63" t="n">
        <v>59.2</v>
      </c>
      <c r="L21" s="63" t="n">
        <v>59.9</v>
      </c>
      <c r="M21" s="63" t="n">
        <v>60.8</v>
      </c>
      <c r="N21" s="63" t="n">
        <v>74.1</v>
      </c>
      <c r="O21" s="63" t="n">
        <v>75.3</v>
      </c>
      <c r="P21" s="63" t="n">
        <v>76.6</v>
      </c>
      <c r="Q21" s="63" t="n">
        <v>78.1</v>
      </c>
      <c r="R21" s="63" t="n">
        <v>83.7</v>
      </c>
      <c r="S21" s="63" t="n">
        <v>85.3</v>
      </c>
      <c r="T21" s="63" t="n">
        <v>86.9</v>
      </c>
      <c r="U21" s="63" t="n">
        <v>87.1</v>
      </c>
      <c r="V21" s="63" t="n">
        <v>88.2</v>
      </c>
      <c r="W21" s="63" t="n">
        <v>88.6</v>
      </c>
      <c r="X21" s="63" t="n">
        <v>90.3</v>
      </c>
      <c r="Y21" s="63" t="n">
        <v>92.4</v>
      </c>
      <c r="Z21" s="63" t="n">
        <v>99.6</v>
      </c>
      <c r="AA21" s="63" t="n">
        <v>101.1</v>
      </c>
      <c r="AB21" s="63" t="n">
        <v>102.8</v>
      </c>
      <c r="AC21" s="63" t="n">
        <v>104.4</v>
      </c>
      <c r="AD21" s="63" t="n">
        <v>110</v>
      </c>
      <c r="AE21" s="63" t="n">
        <v>112.8</v>
      </c>
      <c r="AF21" s="63" t="n">
        <v>115.1</v>
      </c>
      <c r="AG21" s="63" t="n">
        <v>117.5</v>
      </c>
      <c r="AH21" s="63" t="n">
        <v>124.7</v>
      </c>
      <c r="AI21" s="63" t="n">
        <v>129.9</v>
      </c>
      <c r="AJ21" s="63" t="n">
        <v>134.2</v>
      </c>
      <c r="AK21" s="63" t="n">
        <v>139.6</v>
      </c>
      <c r="AL21" s="63" t="n">
        <v>146.9</v>
      </c>
      <c r="AM21" s="63" t="n">
        <v>151.2</v>
      </c>
      <c r="AN21" s="63" t="n">
        <v>156.3</v>
      </c>
      <c r="AO21" s="63" t="n">
        <v>160.3</v>
      </c>
      <c r="AP21" s="63" t="n">
        <v>162.9</v>
      </c>
      <c r="AQ21" s="63" t="n">
        <v>163.9</v>
      </c>
      <c r="AR21" s="63" t="n">
        <v>168</v>
      </c>
      <c r="AS21" s="63" t="n">
        <v>174</v>
      </c>
      <c r="AT21" s="63" t="n">
        <v>191</v>
      </c>
      <c r="AU21" s="63" t="n">
        <v>194.8</v>
      </c>
      <c r="AV21" s="63" t="n">
        <v>199.5</v>
      </c>
      <c r="AW21" s="63" t="n">
        <v>202.2</v>
      </c>
      <c r="AX21" s="63" t="n">
        <v>207.2</v>
      </c>
      <c r="AY21" s="63" t="n">
        <v>209.2</v>
      </c>
      <c r="AZ21" s="63" t="n">
        <v>211.5</v>
      </c>
      <c r="BA21" s="63" t="n">
        <v>212.4</v>
      </c>
      <c r="BB21" s="63" t="n">
        <v>220.2</v>
      </c>
      <c r="BC21" s="63" t="n">
        <v>224.2</v>
      </c>
      <c r="BD21" s="63" t="n">
        <v>228.9</v>
      </c>
      <c r="BE21" s="63" t="n">
        <v>235.5</v>
      </c>
      <c r="BF21" s="63" t="n">
        <v>250.8</v>
      </c>
      <c r="BG21" s="63" t="n">
        <v>256.8</v>
      </c>
      <c r="BH21" s="63" t="n">
        <v>261.8</v>
      </c>
      <c r="BI21" s="63" t="n">
        <v>265.8</v>
      </c>
      <c r="BJ21" s="63" t="n">
        <v>275.7</v>
      </c>
      <c r="BK21" s="63" t="n">
        <v>279.8</v>
      </c>
      <c r="BL21" s="63" t="n">
        <v>284.6</v>
      </c>
      <c r="BM21" s="63" t="n">
        <v>291.1</v>
      </c>
      <c r="BN21" s="63" t="n">
        <v>298.2</v>
      </c>
      <c r="BO21" s="63" t="n">
        <v>301.9</v>
      </c>
      <c r="BP21" s="63" t="n">
        <v>306.9</v>
      </c>
      <c r="BQ21" s="63" t="n">
        <v>312.6</v>
      </c>
      <c r="BR21" s="63" t="n">
        <v>317.4</v>
      </c>
      <c r="BS21" s="63" t="n">
        <v>321.5</v>
      </c>
      <c r="BT21" s="63" t="n">
        <v>326.3</v>
      </c>
      <c r="BU21" s="63" t="n">
        <v>333.3</v>
      </c>
      <c r="BV21" s="63" t="n">
        <v>352.7</v>
      </c>
      <c r="BW21" s="63" t="n">
        <v>360</v>
      </c>
      <c r="BX21" s="63" t="n">
        <v>366.2</v>
      </c>
      <c r="BY21" s="63" t="n">
        <v>373.7</v>
      </c>
      <c r="BZ21" s="63" t="n">
        <v>379.7</v>
      </c>
      <c r="CA21" s="63" t="n">
        <v>384.3</v>
      </c>
      <c r="CB21" s="63" t="n">
        <v>388.9</v>
      </c>
      <c r="CC21" s="63" t="n">
        <v>394.9</v>
      </c>
      <c r="CD21" s="63" t="n">
        <v>403.5</v>
      </c>
      <c r="CE21" s="63" t="n">
        <v>408.8</v>
      </c>
      <c r="CF21" s="63" t="n">
        <v>416.6</v>
      </c>
      <c r="CG21" s="63" t="n">
        <v>419.4</v>
      </c>
      <c r="CH21" s="63" t="n">
        <v>423</v>
      </c>
      <c r="CI21" s="63" t="n">
        <v>429.7</v>
      </c>
      <c r="CJ21" s="63" t="n">
        <v>435.6</v>
      </c>
      <c r="CK21" s="63" t="n">
        <v>440.6</v>
      </c>
      <c r="CL21" s="63" t="n">
        <v>452.5</v>
      </c>
      <c r="CM21" s="63" t="n">
        <v>458.1</v>
      </c>
      <c r="CN21" s="63" t="n">
        <v>461.2</v>
      </c>
      <c r="CO21" s="63" t="n">
        <v>456.5</v>
      </c>
      <c r="CP21" s="63" t="n">
        <v>475.9</v>
      </c>
      <c r="CQ21" s="63" t="n">
        <v>476.4</v>
      </c>
      <c r="CR21" s="63" t="n">
        <v>481</v>
      </c>
      <c r="CS21" s="63" t="n">
        <v>485.2</v>
      </c>
      <c r="CT21" s="63" t="n">
        <v>500.4</v>
      </c>
      <c r="CU21" s="63" t="n">
        <v>507.6</v>
      </c>
      <c r="CV21" s="63" t="n">
        <v>513.6</v>
      </c>
      <c r="CW21" s="63" t="n">
        <v>521.1</v>
      </c>
      <c r="CX21" s="63" t="n">
        <v>528.2</v>
      </c>
      <c r="CY21" s="63" t="n">
        <v>532.7</v>
      </c>
      <c r="CZ21" s="63" t="n">
        <v>538.1</v>
      </c>
      <c r="DA21" s="63" t="n">
        <v>543.1</v>
      </c>
      <c r="DB21" s="63" t="n">
        <v>545.9</v>
      </c>
      <c r="DC21" s="63" t="n">
        <v>554.4</v>
      </c>
      <c r="DD21" s="63" t="n">
        <v>561.8</v>
      </c>
      <c r="DE21" s="63" t="n">
        <v>569.4</v>
      </c>
      <c r="DF21" s="63" t="n">
        <v>577.3</v>
      </c>
      <c r="DG21" s="63" t="n">
        <v>584.9</v>
      </c>
      <c r="DH21" s="63" t="n">
        <v>593.6</v>
      </c>
      <c r="DI21" s="63" t="n">
        <v>605.3</v>
      </c>
      <c r="DJ21" s="63" t="n">
        <v>613.3</v>
      </c>
      <c r="DK21" s="63" t="n">
        <v>622.8</v>
      </c>
      <c r="DL21" s="63" t="n">
        <v>632.6</v>
      </c>
      <c r="DM21" s="63" t="n">
        <v>642.4</v>
      </c>
      <c r="DN21" s="63" t="n">
        <v>653.3</v>
      </c>
      <c r="DO21" s="63" t="n">
        <v>659</v>
      </c>
      <c r="DP21" s="63" t="n">
        <v>666.4</v>
      </c>
      <c r="DQ21" s="63" t="n">
        <v>679.6</v>
      </c>
      <c r="DR21" s="63" t="n">
        <v>699.5</v>
      </c>
      <c r="DS21" s="63" t="n">
        <v>701.9</v>
      </c>
      <c r="DT21" s="63" t="n">
        <v>715.2</v>
      </c>
      <c r="DU21" s="63" t="n">
        <v>721</v>
      </c>
      <c r="DV21" s="63" t="n">
        <v>736.1</v>
      </c>
      <c r="DW21" s="63" t="n">
        <v>736.9</v>
      </c>
      <c r="DX21" s="63" t="n">
        <v>736.1</v>
      </c>
      <c r="DY21" s="63" t="n">
        <v>738.7</v>
      </c>
      <c r="DZ21" s="63" t="n">
        <v>746.9</v>
      </c>
      <c r="EA21" s="63" t="n">
        <v>755.3</v>
      </c>
      <c r="EB21" s="63" t="n">
        <v>758.1</v>
      </c>
      <c r="EC21" s="63" t="n">
        <v>760.8</v>
      </c>
      <c r="ED21" s="63" t="n">
        <v>767.1</v>
      </c>
      <c r="EE21" s="63" t="n">
        <v>777.8</v>
      </c>
      <c r="EF21" s="63" t="n">
        <v>787.7</v>
      </c>
      <c r="EG21" s="63" t="n">
        <v>800.1</v>
      </c>
      <c r="EH21" s="63" t="n">
        <v>813.4</v>
      </c>
      <c r="EI21" s="63" t="n">
        <v>828</v>
      </c>
      <c r="EJ21" s="63" t="n">
        <v>843.7</v>
      </c>
      <c r="EK21" s="63" t="n">
        <v>849.5</v>
      </c>
      <c r="EL21" s="63" t="n">
        <v>862.7</v>
      </c>
      <c r="EM21" s="63" t="n">
        <v>871</v>
      </c>
      <c r="EN21" s="63" t="n">
        <v>884.2</v>
      </c>
      <c r="EO21" s="63" t="n">
        <v>894.1</v>
      </c>
      <c r="EP21" s="63" t="n">
        <v>917.9</v>
      </c>
      <c r="EQ21" s="63" t="n">
        <v>922.7</v>
      </c>
      <c r="ER21" s="63" t="n">
        <v>927.2</v>
      </c>
      <c r="ES21" s="63" t="n">
        <v>940.8</v>
      </c>
      <c r="ET21" s="63" t="n">
        <v>960.4</v>
      </c>
      <c r="EU21" s="63" t="n">
        <v>962</v>
      </c>
      <c r="EV21" s="63" t="n">
        <v>965.3</v>
      </c>
      <c r="EW21" s="63" t="n">
        <v>976.9</v>
      </c>
      <c r="EX21" s="63" t="n">
        <v>988.8</v>
      </c>
      <c r="EY21" s="63" t="n">
        <v>991</v>
      </c>
      <c r="EZ21" s="63" t="n">
        <v>996.4</v>
      </c>
      <c r="FA21" s="63" t="n">
        <v>996.6</v>
      </c>
      <c r="FB21" s="63" t="n">
        <v>964.7</v>
      </c>
      <c r="FC21" s="63" t="n">
        <v>971.2</v>
      </c>
      <c r="FD21" s="63" t="n">
        <v>968.8</v>
      </c>
      <c r="FE21" s="63" t="n">
        <v>972.2</v>
      </c>
      <c r="FF21" s="63" t="n">
        <v>978.6</v>
      </c>
      <c r="FG21" s="63" t="n">
        <v>989.5</v>
      </c>
      <c r="FH21" s="63" t="n">
        <v>992.3</v>
      </c>
      <c r="FI21" s="63" t="n">
        <v>994.3</v>
      </c>
      <c r="FJ21" s="63" t="n">
        <v>916.2</v>
      </c>
      <c r="FK21" s="63" t="n">
        <v>918.9</v>
      </c>
      <c r="FL21" s="63" t="n">
        <v>927.3</v>
      </c>
      <c r="FM21" s="63" t="n">
        <v>921.9</v>
      </c>
      <c r="FN21" s="63" t="n">
        <v>944.9</v>
      </c>
      <c r="FO21" s="63" t="n">
        <v>949.4</v>
      </c>
      <c r="FP21" s="63" t="n">
        <v>952.3</v>
      </c>
      <c r="FQ21" s="63" t="n">
        <v>974.1</v>
      </c>
      <c r="FR21" s="63" t="n">
        <v>1095.9</v>
      </c>
      <c r="FS21" s="63" t="n">
        <v>1108.2</v>
      </c>
      <c r="FT21" s="63" t="n">
        <v>1111.4</v>
      </c>
      <c r="FU21" s="63" t="n">
        <v>1122.3</v>
      </c>
      <c r="FV21" s="63" t="n">
        <v>1145</v>
      </c>
      <c r="FW21" s="63" t="n">
        <v>1149.7</v>
      </c>
      <c r="FX21" s="63" t="n">
        <v>1161.4</v>
      </c>
      <c r="FY21" s="63" t="n">
        <v>1179.1</v>
      </c>
      <c r="FZ21" s="63" t="n">
        <v>1194.2</v>
      </c>
      <c r="GA21" s="63" t="n">
        <v>1206.1</v>
      </c>
      <c r="GB21" s="63" t="n">
        <v>1216.1</v>
      </c>
      <c r="GC21" s="63" t="n">
        <v>1223.6</v>
      </c>
      <c r="GD21" s="63" t="n">
        <v>1230.8</v>
      </c>
      <c r="GE21" s="63" t="n">
        <v>1237</v>
      </c>
      <c r="GF21" s="63" t="n">
        <v>1248.1</v>
      </c>
      <c r="GG21" s="63" t="n">
        <v>1261.5</v>
      </c>
      <c r="GH21" s="63" t="n">
        <v>1282.6</v>
      </c>
      <c r="GI21" s="63" t="n">
        <v>1294.9</v>
      </c>
      <c r="GJ21" s="63" t="n">
        <v>1310.1</v>
      </c>
      <c r="GK21" s="63" t="n">
        <v>1329.1</v>
      </c>
      <c r="GL21" s="63" t="n">
        <v>1349.1</v>
      </c>
      <c r="GM21" s="63" t="n">
        <v>1358.9</v>
      </c>
      <c r="GN21" s="63" t="n">
        <v>1375.7</v>
      </c>
      <c r="GO21" s="63" t="n">
        <v>1384</v>
      </c>
      <c r="GP21" s="63" t="n">
        <v>1416</v>
      </c>
      <c r="GQ21" s="63" t="n">
        <v>1423.4</v>
      </c>
      <c r="GR21" s="63" t="n">
        <v>1430.7</v>
      </c>
      <c r="GS21" s="63" t="n">
        <v>1449.6</v>
      </c>
      <c r="GT21" s="63" t="n">
        <v>1475.7</v>
      </c>
      <c r="GU21" s="63" t="n">
        <v>1405.1</v>
      </c>
      <c r="GV21" s="63" t="n">
        <v>1452.7</v>
      </c>
      <c r="GW21" s="63" t="n">
        <v>1486.4</v>
      </c>
      <c r="GX21" s="63" t="n">
        <v>1496.8</v>
      </c>
      <c r="GY21" s="63" t="n">
        <v>1527</v>
      </c>
      <c r="GZ21" s="63" t="n">
        <v>1559.5</v>
      </c>
      <c r="HA21" s="63" t="n">
        <v>1601.5</v>
      </c>
      <c r="HB21" s="63" t="n">
        <v>1640.6</v>
      </c>
      <c r="HC21" t="n">
        <v>1660.3</v>
      </c>
      <c r="HD21" t="n">
        <v>1701.6</v>
      </c>
      <c r="HE21" t="n">
        <v>1727.7</v>
      </c>
    </row>
    <row r="22">
      <c r="A22" s="63" t="s">
        <v>2456</v>
      </c>
      <c r="B22" s="63" t="n">
        <v>20.569</v>
      </c>
      <c r="C22" s="63" t="n">
        <v>20.797</v>
      </c>
      <c r="D22" s="63" t="n">
        <v>20.999</v>
      </c>
      <c r="E22" s="63" t="n">
        <v>21.271</v>
      </c>
      <c r="F22" s="63" t="n">
        <v>21.472</v>
      </c>
      <c r="G22" s="63" t="n">
        <v>21.716</v>
      </c>
      <c r="H22" s="63" t="n">
        <v>21.929</v>
      </c>
      <c r="I22" s="63" t="n">
        <v>22.064</v>
      </c>
      <c r="J22" s="63" t="n">
        <v>22.296</v>
      </c>
      <c r="K22" s="63" t="n">
        <v>22.425</v>
      </c>
      <c r="L22" s="63" t="n">
        <v>22.622</v>
      </c>
      <c r="M22" s="63" t="n">
        <v>22.807</v>
      </c>
      <c r="N22" s="63" t="n">
        <v>23.084</v>
      </c>
      <c r="O22" s="63" t="n">
        <v>23.529</v>
      </c>
      <c r="P22" s="63" t="n">
        <v>23.958</v>
      </c>
      <c r="Q22" s="63" t="n">
        <v>24.45</v>
      </c>
      <c r="R22" s="63" t="n">
        <v>25.178</v>
      </c>
      <c r="S22" s="63" t="n">
        <v>25.891</v>
      </c>
      <c r="T22" s="63" t="n">
        <v>26.589</v>
      </c>
      <c r="U22" s="63" t="n">
        <v>27.262</v>
      </c>
      <c r="V22" s="63" t="n">
        <v>27.771</v>
      </c>
      <c r="W22" s="63" t="n">
        <v>28.109</v>
      </c>
      <c r="X22" s="63" t="n">
        <v>28.634</v>
      </c>
      <c r="Y22" s="63" t="n">
        <v>29.115</v>
      </c>
      <c r="Z22" s="63" t="n">
        <v>29.437</v>
      </c>
      <c r="AA22" s="63" t="n">
        <v>29.685</v>
      </c>
      <c r="AB22" s="63" t="n">
        <v>30.137</v>
      </c>
      <c r="AC22" s="63" t="n">
        <v>30.614</v>
      </c>
      <c r="AD22" s="63" t="n">
        <v>31.165</v>
      </c>
      <c r="AE22" s="63" t="n">
        <v>31.698</v>
      </c>
      <c r="AF22" s="63" t="n">
        <v>32.174</v>
      </c>
      <c r="AG22" s="63" t="n">
        <v>32.631</v>
      </c>
      <c r="AH22" s="63" t="n">
        <v>33.165</v>
      </c>
      <c r="AI22" s="63" t="n">
        <v>33.846</v>
      </c>
      <c r="AJ22" s="63" t="n">
        <v>34.441</v>
      </c>
      <c r="AK22" s="63" t="n">
        <v>35.092</v>
      </c>
      <c r="AL22" s="63" t="n">
        <v>35.755</v>
      </c>
      <c r="AM22" s="63" t="n">
        <v>36.733</v>
      </c>
      <c r="AN22" s="63" t="n">
        <v>37.646</v>
      </c>
      <c r="AO22" s="63" t="n">
        <v>38.558</v>
      </c>
      <c r="AP22" s="63" t="n">
        <v>39.716</v>
      </c>
      <c r="AQ22" s="63" t="n">
        <v>40.689</v>
      </c>
      <c r="AR22" s="63" t="n">
        <v>41.641</v>
      </c>
      <c r="AS22" s="63" t="n">
        <v>42.673</v>
      </c>
      <c r="AT22" s="63" t="n">
        <v>43.781</v>
      </c>
      <c r="AU22" s="63" t="n">
        <v>44.515</v>
      </c>
      <c r="AV22" s="63" t="n">
        <v>45.248</v>
      </c>
      <c r="AW22" s="63" t="n">
        <v>45.94</v>
      </c>
      <c r="AX22" s="63" t="n">
        <v>46.521</v>
      </c>
      <c r="AY22" s="63" t="n">
        <v>46.967</v>
      </c>
      <c r="AZ22" s="63" t="n">
        <v>47.707</v>
      </c>
      <c r="BA22" s="63" t="n">
        <v>48.232</v>
      </c>
      <c r="BB22" s="63" t="n">
        <v>48.629</v>
      </c>
      <c r="BC22" s="63" t="n">
        <v>49.073</v>
      </c>
      <c r="BD22" s="63" t="n">
        <v>49.718</v>
      </c>
      <c r="BE22" s="63" t="n">
        <v>50.048</v>
      </c>
      <c r="BF22" s="63" t="n">
        <v>50.592</v>
      </c>
      <c r="BG22" s="63" t="n">
        <v>51.083</v>
      </c>
      <c r="BH22" s="63" t="n">
        <v>51.478</v>
      </c>
      <c r="BI22" s="63" t="n">
        <v>51.796</v>
      </c>
      <c r="BJ22" s="63" t="n">
        <v>52.406</v>
      </c>
      <c r="BK22" s="63" t="n">
        <v>52.831</v>
      </c>
      <c r="BL22" s="63" t="n">
        <v>53.245</v>
      </c>
      <c r="BM22" s="63" t="n">
        <v>53.618</v>
      </c>
      <c r="BN22" s="63" t="n">
        <v>53.999</v>
      </c>
      <c r="BO22" s="63" t="n">
        <v>53.943</v>
      </c>
      <c r="BP22" s="63" t="n">
        <v>54.228</v>
      </c>
      <c r="BQ22" s="63" t="n">
        <v>54.555</v>
      </c>
      <c r="BR22" s="63" t="n">
        <v>55.068</v>
      </c>
      <c r="BS22" s="63" t="n">
        <v>55.598</v>
      </c>
      <c r="BT22" s="63" t="n">
        <v>56.123</v>
      </c>
      <c r="BU22" s="63" t="n">
        <v>56.607</v>
      </c>
      <c r="BV22" s="63" t="n">
        <v>57.054</v>
      </c>
      <c r="BW22" s="63" t="n">
        <v>57.684</v>
      </c>
      <c r="BX22" s="63" t="n">
        <v>58.395</v>
      </c>
      <c r="BY22" s="63" t="n">
        <v>58.987</v>
      </c>
      <c r="BZ22" s="63" t="n">
        <v>59.665</v>
      </c>
      <c r="CA22" s="63" t="n">
        <v>60.47</v>
      </c>
      <c r="CB22" s="63" t="n">
        <v>60.828</v>
      </c>
      <c r="CC22" s="63" t="n">
        <v>61.308</v>
      </c>
      <c r="CD22" s="63" t="n">
        <v>62.198</v>
      </c>
      <c r="CE22" s="63" t="n">
        <v>62.764</v>
      </c>
      <c r="CF22" s="63" t="n">
        <v>63.562</v>
      </c>
      <c r="CG22" s="63" t="n">
        <v>64.402</v>
      </c>
      <c r="CH22" s="63" t="n">
        <v>64.74</v>
      </c>
      <c r="CI22" s="63" t="n">
        <v>65.092</v>
      </c>
      <c r="CJ22" s="63" t="n">
        <v>65.533</v>
      </c>
      <c r="CK22" s="63" t="n">
        <v>66.008</v>
      </c>
      <c r="CL22" s="63" t="n">
        <v>66.421</v>
      </c>
      <c r="CM22" s="63" t="n">
        <v>66.862</v>
      </c>
      <c r="CN22" s="63" t="n">
        <v>67.288</v>
      </c>
      <c r="CO22" s="63" t="n">
        <v>67.757</v>
      </c>
      <c r="CP22" s="63" t="n">
        <v>68.162</v>
      </c>
      <c r="CQ22" s="63" t="n">
        <v>68.62</v>
      </c>
      <c r="CR22" s="63" t="n">
        <v>68.918</v>
      </c>
      <c r="CS22" s="63" t="n">
        <v>69.315</v>
      </c>
      <c r="CT22" s="63" t="n">
        <v>69.564</v>
      </c>
      <c r="CU22" s="63" t="n">
        <v>69.952</v>
      </c>
      <c r="CV22" s="63" t="n">
        <v>70.454</v>
      </c>
      <c r="CW22" s="63" t="n">
        <v>70.785</v>
      </c>
      <c r="CX22" s="63" t="n">
        <v>71.132</v>
      </c>
      <c r="CY22" s="63" t="n">
        <v>71.546</v>
      </c>
      <c r="CZ22" s="63" t="n">
        <v>71.838</v>
      </c>
      <c r="DA22" s="63" t="n">
        <v>72.154</v>
      </c>
      <c r="DB22" s="63" t="n">
        <v>72.555</v>
      </c>
      <c r="DC22" s="63" t="n">
        <v>73.04</v>
      </c>
      <c r="DD22" s="63" t="n">
        <v>73.352</v>
      </c>
      <c r="DE22" s="63" t="n">
        <v>73.852</v>
      </c>
      <c r="DF22" s="63" t="n">
        <v>74.178</v>
      </c>
      <c r="DG22" s="63" t="n">
        <v>74.365</v>
      </c>
      <c r="DH22" s="63" t="n">
        <v>74.561</v>
      </c>
      <c r="DI22" s="63" t="n">
        <v>74.795</v>
      </c>
      <c r="DJ22" s="63" t="n">
        <v>74.801</v>
      </c>
      <c r="DK22" s="63" t="n">
        <v>74.936</v>
      </c>
      <c r="DL22" s="63" t="n">
        <v>75.167</v>
      </c>
      <c r="DM22" s="63" t="n">
        <v>75.364</v>
      </c>
      <c r="DN22" s="63" t="n">
        <v>75.511</v>
      </c>
      <c r="DO22" s="63" t="n">
        <v>75.939</v>
      </c>
      <c r="DP22" s="63" t="n">
        <v>76.357</v>
      </c>
      <c r="DQ22" s="63" t="n">
        <v>76.821</v>
      </c>
      <c r="DR22" s="63" t="n">
        <v>77.446</v>
      </c>
      <c r="DS22" s="63" t="n">
        <v>77.815</v>
      </c>
      <c r="DT22" s="63" t="n">
        <v>78.318</v>
      </c>
      <c r="DU22" s="63" t="n">
        <v>78.762</v>
      </c>
      <c r="DV22" s="63" t="n">
        <v>79.348</v>
      </c>
      <c r="DW22" s="63" t="n">
        <v>79.72</v>
      </c>
      <c r="DX22" s="63" t="n">
        <v>79.76</v>
      </c>
      <c r="DY22" s="63" t="n">
        <v>79.793</v>
      </c>
      <c r="DZ22" s="63" t="n">
        <v>79.952</v>
      </c>
      <c r="EA22" s="63" t="n">
        <v>80.544</v>
      </c>
      <c r="EB22" s="63" t="n">
        <v>80.961</v>
      </c>
      <c r="EC22" s="63" t="n">
        <v>81.338</v>
      </c>
      <c r="ED22" s="63" t="n">
        <v>81.96</v>
      </c>
      <c r="EE22" s="63" t="n">
        <v>82.042</v>
      </c>
      <c r="EF22" s="63" t="n">
        <v>82.582</v>
      </c>
      <c r="EG22" s="63" t="n">
        <v>82.987</v>
      </c>
      <c r="EH22" s="63" t="n">
        <v>83.627</v>
      </c>
      <c r="EI22" s="63" t="n">
        <v>84.189</v>
      </c>
      <c r="EJ22" s="63" t="n">
        <v>84.603</v>
      </c>
      <c r="EK22" s="63" t="n">
        <v>85.326</v>
      </c>
      <c r="EL22" s="63" t="n">
        <v>85.822</v>
      </c>
      <c r="EM22" s="63" t="n">
        <v>86.364</v>
      </c>
      <c r="EN22" s="63" t="n">
        <v>87.297</v>
      </c>
      <c r="EO22" s="63" t="n">
        <v>87.993</v>
      </c>
      <c r="EP22" s="63" t="n">
        <v>88.452</v>
      </c>
      <c r="EQ22" s="63" t="n">
        <v>89.229</v>
      </c>
      <c r="ER22" s="63" t="n">
        <v>89.871</v>
      </c>
      <c r="ES22" s="63" t="n">
        <v>89.723</v>
      </c>
      <c r="ET22" s="63" t="n">
        <v>90.542</v>
      </c>
      <c r="EU22" s="63" t="n">
        <v>91.31</v>
      </c>
      <c r="EV22" s="63" t="n">
        <v>91.827</v>
      </c>
      <c r="EW22" s="63" t="n">
        <v>92.762</v>
      </c>
      <c r="EX22" s="63" t="n">
        <v>93.518</v>
      </c>
      <c r="EY22" s="63" t="n">
        <v>94.43</v>
      </c>
      <c r="EZ22" s="63" t="n">
        <v>95.438</v>
      </c>
      <c r="FA22" s="63" t="n">
        <v>93.915</v>
      </c>
      <c r="FB22" s="63" t="n">
        <v>93.28</v>
      </c>
      <c r="FC22" s="63" t="n">
        <v>93.65</v>
      </c>
      <c r="FD22" s="63" t="n">
        <v>94.295</v>
      </c>
      <c r="FE22" s="63" t="n">
        <v>95.022</v>
      </c>
      <c r="FF22" s="63" t="n">
        <v>95.389</v>
      </c>
      <c r="FG22" s="63" t="n">
        <v>95.536</v>
      </c>
      <c r="FH22" s="63" t="n">
        <v>95.72</v>
      </c>
      <c r="FI22" s="63" t="n">
        <v>96.333</v>
      </c>
      <c r="FJ22" s="63" t="n">
        <v>97.143</v>
      </c>
      <c r="FK22" s="63" t="n">
        <v>98.099</v>
      </c>
      <c r="FL22" s="63" t="n">
        <v>98.553</v>
      </c>
      <c r="FM22" s="63" t="n">
        <v>98.878</v>
      </c>
      <c r="FN22" s="63" t="n">
        <v>99.533</v>
      </c>
      <c r="FO22" s="63" t="n">
        <v>99.774</v>
      </c>
      <c r="FP22" s="63" t="n">
        <v>100.064</v>
      </c>
      <c r="FQ22" s="63" t="n">
        <v>100.625</v>
      </c>
      <c r="FR22" s="63" t="n">
        <v>100.987</v>
      </c>
      <c r="FS22" s="63" t="n">
        <v>101.059</v>
      </c>
      <c r="FT22" s="63" t="n">
        <v>101.469</v>
      </c>
      <c r="FU22" s="63" t="n">
        <v>101.894</v>
      </c>
      <c r="FV22" s="63" t="n">
        <v>102.384</v>
      </c>
      <c r="FW22" s="63" t="n">
        <v>102.896</v>
      </c>
      <c r="FX22" s="63" t="n">
        <v>103.187</v>
      </c>
      <c r="FY22" s="63" t="n">
        <v>103.069</v>
      </c>
      <c r="FZ22" s="63" t="n">
        <v>102.641</v>
      </c>
      <c r="GA22" s="63" t="n">
        <v>103.139</v>
      </c>
      <c r="GB22" s="63" t="n">
        <v>103.389</v>
      </c>
      <c r="GC22" s="63" t="n">
        <v>103.286</v>
      </c>
      <c r="GD22" s="63" t="n">
        <v>103.34</v>
      </c>
      <c r="GE22" s="63" t="n">
        <v>103.989</v>
      </c>
      <c r="GF22" s="63" t="n">
        <v>104.379</v>
      </c>
      <c r="GG22" s="63" t="n">
        <v>104.872</v>
      </c>
      <c r="GH22" s="63" t="n">
        <v>105.493</v>
      </c>
      <c r="GI22" s="63" t="n">
        <v>105.754</v>
      </c>
      <c r="GJ22" s="63" t="n">
        <v>106.138</v>
      </c>
      <c r="GK22" s="63" t="n">
        <v>106.814</v>
      </c>
      <c r="GL22" s="63" t="n">
        <v>107.584</v>
      </c>
      <c r="GM22" s="63" t="n">
        <v>108.162</v>
      </c>
      <c r="GN22" s="63" t="n">
        <v>108.549</v>
      </c>
      <c r="GO22" s="63" t="n">
        <v>108.959</v>
      </c>
      <c r="GP22" s="63" t="n">
        <v>109.186</v>
      </c>
      <c r="GQ22" s="63" t="n">
        <v>109.854</v>
      </c>
      <c r="GR22" s="63" t="n">
        <v>110.14</v>
      </c>
      <c r="GS22" s="63" t="n">
        <v>110.536</v>
      </c>
      <c r="GT22" s="63" t="n">
        <v>110.935</v>
      </c>
      <c r="GU22" s="63" t="n">
        <v>110.431</v>
      </c>
      <c r="GV22" s="63" t="n">
        <v>111.347</v>
      </c>
      <c r="GW22" s="63" t="n">
        <v>111.799</v>
      </c>
      <c r="GX22" s="63" t="n">
        <v>113.033</v>
      </c>
      <c r="GY22" s="63" t="n">
        <v>114.81</v>
      </c>
      <c r="GZ22" s="63" t="n">
        <v>116.382</v>
      </c>
      <c r="HA22" s="63" t="n">
        <v>118.142</v>
      </c>
      <c r="HB22" s="63" t="n">
        <v>120.29</v>
      </c>
      <c r="HC22" t="n">
        <v>122.426</v>
      </c>
      <c r="HD22" t="n">
        <v>123.727</v>
      </c>
      <c r="HE22" t="n">
        <v>124.854</v>
      </c>
    </row>
    <row r="23">
      <c r="A23" s="63" t="s">
        <v>2457</v>
      </c>
      <c r="B23" s="63" t="n">
        <v>133.6</v>
      </c>
      <c r="C23" s="63" t="n">
        <v>131.8</v>
      </c>
      <c r="D23" s="63" t="n">
        <v>132.4</v>
      </c>
      <c r="E23" s="63" t="n">
        <v>133.5</v>
      </c>
      <c r="F23" s="63" t="n">
        <v>133.3</v>
      </c>
      <c r="G23" s="63" t="n">
        <v>134.3</v>
      </c>
      <c r="H23" s="63" t="n">
        <v>135.6</v>
      </c>
      <c r="I23" s="63" t="n">
        <v>134.7</v>
      </c>
      <c r="J23" s="63" t="n">
        <v>141.4</v>
      </c>
      <c r="K23" s="63" t="n">
        <v>144.2</v>
      </c>
      <c r="L23" s="63" t="n">
        <v>138.8</v>
      </c>
      <c r="M23" s="63" t="n">
        <v>142.2</v>
      </c>
      <c r="N23" s="63" t="n">
        <v>146.4</v>
      </c>
      <c r="O23" s="63" t="n">
        <v>146.5</v>
      </c>
      <c r="P23" s="63" t="n">
        <v>144.2</v>
      </c>
      <c r="Q23" s="63" t="n">
        <v>147.6</v>
      </c>
      <c r="R23" s="63" t="n">
        <v>152.7</v>
      </c>
      <c r="S23" s="63" t="n">
        <v>154.9</v>
      </c>
      <c r="T23" s="63" t="n">
        <v>160.4</v>
      </c>
      <c r="U23" s="63" t="n">
        <v>167.4</v>
      </c>
      <c r="V23" s="63" t="n">
        <v>168.6</v>
      </c>
      <c r="W23" s="63" t="n">
        <v>169.4</v>
      </c>
      <c r="X23" s="63" t="n">
        <v>176.1</v>
      </c>
      <c r="Y23" s="63" t="n">
        <v>180.8</v>
      </c>
      <c r="Z23" s="63" t="n">
        <v>181.6</v>
      </c>
      <c r="AA23" s="63" t="n">
        <v>182.5</v>
      </c>
      <c r="AB23" s="63" t="n">
        <v>184.9</v>
      </c>
      <c r="AC23" s="63" t="n">
        <v>190.2</v>
      </c>
      <c r="AD23" s="63" t="n">
        <v>194.2</v>
      </c>
      <c r="AE23" s="63" t="n">
        <v>198.9</v>
      </c>
      <c r="AF23" s="63" t="n">
        <v>201.9</v>
      </c>
      <c r="AG23" s="63" t="n">
        <v>206.3</v>
      </c>
      <c r="AH23" s="63" t="n">
        <v>208.8</v>
      </c>
      <c r="AI23" s="63" t="n">
        <v>217</v>
      </c>
      <c r="AJ23" s="63" t="n">
        <v>222.1</v>
      </c>
      <c r="AK23" s="63" t="n">
        <v>227.8</v>
      </c>
      <c r="AL23" s="63" t="n">
        <v>231.7</v>
      </c>
      <c r="AM23" s="63" t="n">
        <v>237.6</v>
      </c>
      <c r="AN23" s="63" t="n">
        <v>243.7</v>
      </c>
      <c r="AO23" s="63" t="n">
        <v>249.3</v>
      </c>
      <c r="AP23" s="63" t="n">
        <v>261.1</v>
      </c>
      <c r="AQ23" s="63" t="n">
        <v>276.5</v>
      </c>
      <c r="AR23" s="63" t="n">
        <v>276.1</v>
      </c>
      <c r="AS23" s="63" t="n">
        <v>285.8</v>
      </c>
      <c r="AT23" s="63" t="n">
        <v>297.2</v>
      </c>
      <c r="AU23" s="63" t="n">
        <v>311.9</v>
      </c>
      <c r="AV23" s="63" t="n">
        <v>317.4</v>
      </c>
      <c r="AW23" s="63" t="n">
        <v>329.3</v>
      </c>
      <c r="AX23" s="63" t="n">
        <v>334.9</v>
      </c>
      <c r="AY23" s="63" t="n">
        <v>342.9</v>
      </c>
      <c r="AZ23" s="63" t="n">
        <v>351.5</v>
      </c>
      <c r="BA23" s="63" t="n">
        <v>364.1</v>
      </c>
      <c r="BB23" s="63" t="n">
        <v>370.5</v>
      </c>
      <c r="BC23" s="63" t="n">
        <v>380.3</v>
      </c>
      <c r="BD23" s="63" t="n">
        <v>394.4</v>
      </c>
      <c r="BE23" s="63" t="n">
        <v>384.2</v>
      </c>
      <c r="BF23" s="63" t="n">
        <v>392.4</v>
      </c>
      <c r="BG23" s="63" t="n">
        <v>408.3</v>
      </c>
      <c r="BH23" s="63" t="n">
        <v>414</v>
      </c>
      <c r="BI23" s="63" t="n">
        <v>432.5</v>
      </c>
      <c r="BJ23" s="63" t="n">
        <v>434.8</v>
      </c>
      <c r="BK23" s="63" t="n">
        <v>447.3</v>
      </c>
      <c r="BL23" s="63" t="n">
        <v>463.1</v>
      </c>
      <c r="BM23" s="63" t="n">
        <v>466.4</v>
      </c>
      <c r="BN23" s="63" t="n">
        <v>464</v>
      </c>
      <c r="BO23" s="63" t="n">
        <v>477.8</v>
      </c>
      <c r="BP23" s="63" t="n">
        <v>495.1</v>
      </c>
      <c r="BQ23" s="63" t="n">
        <v>489.8</v>
      </c>
      <c r="BR23" s="63" t="n">
        <v>492.1</v>
      </c>
      <c r="BS23" s="63" t="n">
        <v>501.2</v>
      </c>
      <c r="BT23" s="63" t="n">
        <v>504.1</v>
      </c>
      <c r="BU23" s="63" t="n">
        <v>513.7</v>
      </c>
      <c r="BV23" s="63" t="n">
        <v>505.8</v>
      </c>
      <c r="BW23" s="63" t="n">
        <v>506.9</v>
      </c>
      <c r="BX23" s="63" t="n">
        <v>507.4</v>
      </c>
      <c r="BY23" s="63" t="n">
        <v>525.6</v>
      </c>
      <c r="BZ23" s="63" t="n">
        <v>519.9</v>
      </c>
      <c r="CA23" s="63" t="n">
        <v>534.3</v>
      </c>
      <c r="CB23" s="63" t="n">
        <v>541.4</v>
      </c>
      <c r="CC23" s="63" t="n">
        <v>540.8</v>
      </c>
      <c r="CD23" s="63" t="n">
        <v>553.7</v>
      </c>
      <c r="CE23" s="63" t="n">
        <v>563.9</v>
      </c>
      <c r="CF23" s="63" t="n">
        <v>562.2</v>
      </c>
      <c r="CG23" s="63" t="n">
        <v>569.7</v>
      </c>
      <c r="CH23" s="63" t="n">
        <v>581.4</v>
      </c>
      <c r="CI23" s="63" t="n">
        <v>586.6</v>
      </c>
      <c r="CJ23" s="63" t="n">
        <v>586.3</v>
      </c>
      <c r="CK23" s="63" t="n">
        <v>577.4</v>
      </c>
      <c r="CL23" s="63" t="n">
        <v>580.3</v>
      </c>
      <c r="CM23" s="63" t="n">
        <v>580.9</v>
      </c>
      <c r="CN23" s="63" t="n">
        <v>594.2</v>
      </c>
      <c r="CO23" s="63" t="n">
        <v>598.4</v>
      </c>
      <c r="CP23" s="63" t="n">
        <v>580.3</v>
      </c>
      <c r="CQ23" s="63" t="n">
        <v>576.7</v>
      </c>
      <c r="CR23" s="63" t="n">
        <v>578.7</v>
      </c>
      <c r="CS23" s="63" t="n">
        <v>584.9</v>
      </c>
      <c r="CT23" s="63" t="n">
        <v>567</v>
      </c>
      <c r="CU23" s="63" t="n">
        <v>569.4</v>
      </c>
      <c r="CV23" s="63" t="n">
        <v>586.5</v>
      </c>
      <c r="CW23" s="63" t="n">
        <v>575.8</v>
      </c>
      <c r="CX23" s="63" t="n">
        <v>579.1</v>
      </c>
      <c r="CY23" s="63" t="n">
        <v>581</v>
      </c>
      <c r="CZ23" s="63" t="n">
        <v>579.3</v>
      </c>
      <c r="DA23" s="63" t="n">
        <v>567.3</v>
      </c>
      <c r="DB23" s="63" t="n">
        <v>579.8</v>
      </c>
      <c r="DC23" s="63" t="n">
        <v>582.1</v>
      </c>
      <c r="DD23" s="63" t="n">
        <v>577.8</v>
      </c>
      <c r="DE23" s="63" t="n">
        <v>576.9</v>
      </c>
      <c r="DF23" s="63" t="n">
        <v>570.7</v>
      </c>
      <c r="DG23" s="63" t="n">
        <v>587.2</v>
      </c>
      <c r="DH23" s="63" t="n">
        <v>586</v>
      </c>
      <c r="DI23" s="63" t="n">
        <v>589.2</v>
      </c>
      <c r="DJ23" s="63" t="n">
        <v>572.2</v>
      </c>
      <c r="DK23" s="63" t="n">
        <v>587.1</v>
      </c>
      <c r="DL23" s="63" t="n">
        <v>588.6</v>
      </c>
      <c r="DM23" s="63" t="n">
        <v>594.2</v>
      </c>
      <c r="DN23" s="63" t="n">
        <v>595.1</v>
      </c>
      <c r="DO23" s="63" t="n">
        <v>599.2</v>
      </c>
      <c r="DP23" s="63" t="n">
        <v>614.2</v>
      </c>
      <c r="DQ23" s="63" t="n">
        <v>634.3</v>
      </c>
      <c r="DR23" s="63" t="n">
        <v>619.4</v>
      </c>
      <c r="DS23" s="63" t="n">
        <v>641.2</v>
      </c>
      <c r="DT23" s="63" t="n">
        <v>633.6</v>
      </c>
      <c r="DU23" s="63" t="n">
        <v>638.2</v>
      </c>
      <c r="DV23" s="63" t="n">
        <v>653.3</v>
      </c>
      <c r="DW23" s="63" t="n">
        <v>666.2</v>
      </c>
      <c r="DX23" s="63" t="n">
        <v>674.4</v>
      </c>
      <c r="DY23" s="63" t="n">
        <v>686.9</v>
      </c>
      <c r="DZ23" s="63" t="n">
        <v>714</v>
      </c>
      <c r="EA23" s="63" t="n">
        <v>734.8</v>
      </c>
      <c r="EB23" s="63" t="n">
        <v>748.4</v>
      </c>
      <c r="EC23" s="63" t="n">
        <v>775.2</v>
      </c>
      <c r="ED23" s="63" t="n">
        <v>792.7</v>
      </c>
      <c r="EE23" s="63" t="n">
        <v>826</v>
      </c>
      <c r="EF23" s="63" t="n">
        <v>833.3</v>
      </c>
      <c r="EG23" s="63" t="n">
        <v>855.1</v>
      </c>
      <c r="EH23" s="63" t="n">
        <v>871.8</v>
      </c>
      <c r="EI23" s="63" t="n">
        <v>884.6</v>
      </c>
      <c r="EJ23" s="63" t="n">
        <v>902.5</v>
      </c>
      <c r="EK23" s="63" t="n">
        <v>909.6</v>
      </c>
      <c r="EL23" s="63" t="n">
        <v>931.8</v>
      </c>
      <c r="EM23" s="63" t="n">
        <v>939.3</v>
      </c>
      <c r="EN23" s="63" t="n">
        <v>956.4</v>
      </c>
      <c r="EO23" s="63" t="n">
        <v>963.7</v>
      </c>
      <c r="EP23" s="63" t="n">
        <v>997.1</v>
      </c>
      <c r="EQ23" s="63" t="n">
        <v>997.2</v>
      </c>
      <c r="ER23" s="63" t="n">
        <v>995.4</v>
      </c>
      <c r="ES23" s="63" t="n">
        <v>1015.1</v>
      </c>
      <c r="ET23" s="63" t="n">
        <v>1017.5</v>
      </c>
      <c r="EU23" s="63" t="n">
        <v>1042.5</v>
      </c>
      <c r="EV23" s="63" t="n">
        <v>1058.8</v>
      </c>
      <c r="EW23" s="63" t="n">
        <v>1085.3</v>
      </c>
      <c r="EX23" s="63" t="n">
        <v>1111.2</v>
      </c>
      <c r="EY23" s="63" t="n">
        <v>1146.6</v>
      </c>
      <c r="EZ23" s="63" t="n">
        <v>1170.2</v>
      </c>
      <c r="FA23" s="63" t="n">
        <v>1179.8</v>
      </c>
      <c r="FB23" s="63" t="n">
        <v>1185.2</v>
      </c>
      <c r="FC23" s="63" t="n">
        <v>1213.5</v>
      </c>
      <c r="FD23" s="63" t="n">
        <v>1228.3</v>
      </c>
      <c r="FE23" s="63" t="n">
        <v>1256.2</v>
      </c>
      <c r="FF23" s="63" t="n">
        <v>1278.4</v>
      </c>
      <c r="FG23" s="63" t="n">
        <v>1305.1</v>
      </c>
      <c r="FH23" s="63" t="n">
        <v>1304.3</v>
      </c>
      <c r="FI23" s="63" t="n">
        <v>1312.9</v>
      </c>
      <c r="FJ23" s="63" t="n">
        <v>1306</v>
      </c>
      <c r="FK23" s="63" t="n">
        <v>1312.7</v>
      </c>
      <c r="FL23" s="63" t="n">
        <v>1288.7</v>
      </c>
      <c r="FM23" s="63" t="n">
        <v>1291.7</v>
      </c>
      <c r="FN23" s="63" t="n">
        <v>1296.1</v>
      </c>
      <c r="FO23" s="63" t="n">
        <v>1288.6</v>
      </c>
      <c r="FP23" s="63" t="n">
        <v>1293.8</v>
      </c>
      <c r="FQ23" s="63" t="n">
        <v>1269.5</v>
      </c>
      <c r="FR23" s="63" t="n">
        <v>1240.5</v>
      </c>
      <c r="FS23" s="63" t="n">
        <v>1232.9</v>
      </c>
      <c r="FT23" s="63" t="n">
        <v>1219</v>
      </c>
      <c r="FU23" s="63" t="n">
        <v>1216.3</v>
      </c>
      <c r="FV23" s="63" t="n">
        <v>1211.8</v>
      </c>
      <c r="FW23" s="63" t="n">
        <v>1210</v>
      </c>
      <c r="FX23" s="63" t="n">
        <v>1229.3</v>
      </c>
      <c r="FY23" s="63" t="n">
        <v>1212.9</v>
      </c>
      <c r="FZ23" s="63" t="n">
        <v>1216</v>
      </c>
      <c r="GA23" s="63" t="n">
        <v>1220.6</v>
      </c>
      <c r="GB23" s="63" t="n">
        <v>1221.2</v>
      </c>
      <c r="GC23" s="63" t="n">
        <v>1229.3</v>
      </c>
      <c r="GD23" s="63" t="n">
        <v>1229.3</v>
      </c>
      <c r="GE23" s="63" t="n">
        <v>1225.8</v>
      </c>
      <c r="GF23" s="63" t="n">
        <v>1238.1</v>
      </c>
      <c r="GG23" s="63" t="n">
        <v>1244.8</v>
      </c>
      <c r="GH23" s="63" t="n">
        <v>1246.3</v>
      </c>
      <c r="GI23" s="63" t="n">
        <v>1257.1</v>
      </c>
      <c r="GJ23" s="63" t="n">
        <v>1260.6</v>
      </c>
      <c r="GK23" s="63" t="n">
        <v>1285.6</v>
      </c>
      <c r="GL23" s="63" t="n">
        <v>1306</v>
      </c>
      <c r="GM23" s="63" t="n">
        <v>1326.3</v>
      </c>
      <c r="GN23" s="63" t="n">
        <v>1351.2</v>
      </c>
      <c r="GO23" s="63" t="n">
        <v>1368.3</v>
      </c>
      <c r="GP23" s="63" t="n">
        <v>1393</v>
      </c>
      <c r="GQ23" s="63" t="n">
        <v>1405.2</v>
      </c>
      <c r="GR23" s="63" t="n">
        <v>1425.7</v>
      </c>
      <c r="GS23" s="63" t="n">
        <v>1437.7</v>
      </c>
      <c r="GT23" s="63" t="n">
        <v>1455.6</v>
      </c>
      <c r="GU23" s="63" t="n">
        <v>1560</v>
      </c>
      <c r="GV23" s="63" t="n">
        <v>1525.3</v>
      </c>
      <c r="GW23" s="63" t="n">
        <v>1541.3</v>
      </c>
      <c r="GX23" s="63" t="n">
        <v>1620.3</v>
      </c>
      <c r="GY23" s="63" t="n">
        <v>1608</v>
      </c>
      <c r="GZ23" s="63" t="n">
        <v>1595.5</v>
      </c>
      <c r="HA23" s="63" t="n">
        <v>1612.8</v>
      </c>
      <c r="HB23" s="63" t="n">
        <v>1613.1</v>
      </c>
      <c r="HC23" t="n">
        <v>1622.7</v>
      </c>
      <c r="HD23" t="n">
        <v>1657.1</v>
      </c>
      <c r="HE23" t="n">
        <v>1693.8</v>
      </c>
    </row>
    <row r="24">
      <c r="A24" s="63" t="s">
        <v>2458</v>
      </c>
      <c r="B24" s="63" t="n">
        <v>114.3</v>
      </c>
      <c r="C24" s="63" t="n">
        <v>117.4</v>
      </c>
      <c r="D24" s="63" t="n">
        <v>122.2</v>
      </c>
      <c r="E24" s="63" t="n">
        <v>125.2</v>
      </c>
      <c r="F24" s="63" t="n">
        <v>128.6</v>
      </c>
      <c r="G24" s="63" t="n">
        <v>131.9</v>
      </c>
      <c r="H24" s="63" t="n">
        <v>134.2</v>
      </c>
      <c r="I24" s="63" t="n">
        <v>137.4</v>
      </c>
      <c r="J24" s="63" t="n">
        <v>140.8</v>
      </c>
      <c r="K24" s="63" t="n">
        <v>142.2</v>
      </c>
      <c r="L24" s="63" t="n">
        <v>145.6</v>
      </c>
      <c r="M24" s="63" t="n">
        <v>149.6</v>
      </c>
      <c r="N24" s="63" t="n">
        <v>153.2</v>
      </c>
      <c r="O24" s="63" t="n">
        <v>156.2</v>
      </c>
      <c r="P24" s="63" t="n">
        <v>159.9</v>
      </c>
      <c r="Q24" s="63" t="n">
        <v>165</v>
      </c>
      <c r="R24" s="63" t="n">
        <v>171.9</v>
      </c>
      <c r="S24" s="63" t="n">
        <v>180.1</v>
      </c>
      <c r="T24" s="63" t="n">
        <v>186.3</v>
      </c>
      <c r="U24" s="63" t="n">
        <v>191.9</v>
      </c>
      <c r="V24" s="63" t="n">
        <v>201.5</v>
      </c>
      <c r="W24" s="63" t="n">
        <v>204</v>
      </c>
      <c r="X24" s="63" t="n">
        <v>209.3</v>
      </c>
      <c r="Y24" s="63" t="n">
        <v>214.8</v>
      </c>
      <c r="Z24" s="63" t="n">
        <v>219.7</v>
      </c>
      <c r="AA24" s="63" t="n">
        <v>218.5</v>
      </c>
      <c r="AB24" s="63" t="n">
        <v>218.6</v>
      </c>
      <c r="AC24" s="63" t="n">
        <v>220.6</v>
      </c>
      <c r="AD24" s="63" t="n">
        <v>227</v>
      </c>
      <c r="AE24" s="63" t="n">
        <v>232.4</v>
      </c>
      <c r="AF24" s="63" t="n">
        <v>236.1</v>
      </c>
      <c r="AG24" s="63" t="n">
        <v>240.5</v>
      </c>
      <c r="AH24" s="63" t="n">
        <v>243.8</v>
      </c>
      <c r="AI24" s="63" t="n">
        <v>255.3</v>
      </c>
      <c r="AJ24" s="63" t="n">
        <v>262.2</v>
      </c>
      <c r="AK24" s="63" t="n">
        <v>268.4</v>
      </c>
      <c r="AL24" s="63" t="n">
        <v>270.1</v>
      </c>
      <c r="AM24" s="63" t="n">
        <v>278.9</v>
      </c>
      <c r="AN24" s="63" t="n">
        <v>289.4</v>
      </c>
      <c r="AO24" s="63" t="n">
        <v>298.4</v>
      </c>
      <c r="AP24" s="63" t="n">
        <v>307.7</v>
      </c>
      <c r="AQ24" s="63" t="n">
        <v>312</v>
      </c>
      <c r="AR24" s="63" t="n">
        <v>316.1</v>
      </c>
      <c r="AS24" s="63" t="n">
        <v>323.1</v>
      </c>
      <c r="AT24" s="63" t="n">
        <v>336.1</v>
      </c>
      <c r="AU24" s="63" t="n">
        <v>336.8</v>
      </c>
      <c r="AV24" s="63" t="n">
        <v>340.3</v>
      </c>
      <c r="AW24" s="63" t="n">
        <v>348.4</v>
      </c>
      <c r="AX24" s="63" t="n">
        <v>353.2</v>
      </c>
      <c r="AY24" s="63" t="n">
        <v>360.2</v>
      </c>
      <c r="AZ24" s="63" t="n">
        <v>365.8</v>
      </c>
      <c r="BA24" s="63" t="n">
        <v>373.3</v>
      </c>
      <c r="BB24" s="63" t="n">
        <v>377.4</v>
      </c>
      <c r="BC24" s="63" t="n">
        <v>380.7</v>
      </c>
      <c r="BD24" s="63" t="n">
        <v>387.8</v>
      </c>
      <c r="BE24" s="63" t="n">
        <v>390.9</v>
      </c>
      <c r="BF24" s="63" t="n">
        <v>401.6</v>
      </c>
      <c r="BG24" s="63" t="n">
        <v>410.8</v>
      </c>
      <c r="BH24" s="63" t="n">
        <v>421.7</v>
      </c>
      <c r="BI24" s="63" t="n">
        <v>430.2</v>
      </c>
      <c r="BJ24" s="63" t="n">
        <v>440.8</v>
      </c>
      <c r="BK24" s="63" t="n">
        <v>453.2</v>
      </c>
      <c r="BL24" s="63" t="n">
        <v>464.3</v>
      </c>
      <c r="BM24" s="63" t="n">
        <v>472.1</v>
      </c>
      <c r="BN24" s="63" t="n">
        <v>482.8</v>
      </c>
      <c r="BO24" s="63" t="n">
        <v>489.7</v>
      </c>
      <c r="BP24" s="63" t="n">
        <v>498.5</v>
      </c>
      <c r="BQ24" s="63" t="n">
        <v>506.6</v>
      </c>
      <c r="BR24" s="63" t="n">
        <v>516.5</v>
      </c>
      <c r="BS24" s="63" t="n">
        <v>524</v>
      </c>
      <c r="BT24" s="63" t="n">
        <v>532.1</v>
      </c>
      <c r="BU24" s="63" t="n">
        <v>542.3</v>
      </c>
      <c r="BV24" s="63" t="n">
        <v>551.1</v>
      </c>
      <c r="BW24" s="63" t="n">
        <v>563.5</v>
      </c>
      <c r="BX24" s="63" t="n">
        <v>570.8</v>
      </c>
      <c r="BY24" s="63" t="n">
        <v>584.3</v>
      </c>
      <c r="BZ24" s="63" t="n">
        <v>596.7</v>
      </c>
      <c r="CA24" s="63" t="n">
        <v>611.5</v>
      </c>
      <c r="CB24" s="63" t="n">
        <v>623.2</v>
      </c>
      <c r="CC24" s="63" t="n">
        <v>639.7</v>
      </c>
      <c r="CD24" s="63" t="n">
        <v>658.8</v>
      </c>
      <c r="CE24" s="63" t="n">
        <v>666.8</v>
      </c>
      <c r="CF24" s="63" t="n">
        <v>680.3</v>
      </c>
      <c r="CG24" s="63" t="n">
        <v>698.8</v>
      </c>
      <c r="CH24" s="63" t="n">
        <v>702.8</v>
      </c>
      <c r="CI24" s="63" t="n">
        <v>709.9</v>
      </c>
      <c r="CJ24" s="63" t="n">
        <v>719.9</v>
      </c>
      <c r="CK24" s="63" t="n">
        <v>731.4</v>
      </c>
      <c r="CL24" s="63" t="n">
        <v>746.1</v>
      </c>
      <c r="CM24" s="63" t="n">
        <v>753.9</v>
      </c>
      <c r="CN24" s="63" t="n">
        <v>759.8</v>
      </c>
      <c r="CO24" s="63" t="n">
        <v>764.4</v>
      </c>
      <c r="CP24" s="63" t="n">
        <v>771.5</v>
      </c>
      <c r="CQ24" s="63" t="n">
        <v>782.3</v>
      </c>
      <c r="CR24" s="63" t="n">
        <v>788.7</v>
      </c>
      <c r="CS24" s="63" t="n">
        <v>796.5</v>
      </c>
      <c r="CT24" s="63" t="n">
        <v>806.3</v>
      </c>
      <c r="CU24" s="63" t="n">
        <v>820</v>
      </c>
      <c r="CV24" s="63" t="n">
        <v>836.9</v>
      </c>
      <c r="CW24" s="63" t="n">
        <v>847.1</v>
      </c>
      <c r="CX24" s="63" t="n">
        <v>858.5</v>
      </c>
      <c r="CY24" s="63" t="n">
        <v>871.9</v>
      </c>
      <c r="CZ24" s="63" t="n">
        <v>876.3</v>
      </c>
      <c r="DA24" s="63" t="n">
        <v>884.3</v>
      </c>
      <c r="DB24" s="63" t="n">
        <v>891.5</v>
      </c>
      <c r="DC24" s="63" t="n">
        <v>905.5</v>
      </c>
      <c r="DD24" s="63" t="n">
        <v>919</v>
      </c>
      <c r="DE24" s="63" t="n">
        <v>938.8</v>
      </c>
      <c r="DF24" s="63" t="n">
        <v>945.3</v>
      </c>
      <c r="DG24" s="63" t="n">
        <v>955.4</v>
      </c>
      <c r="DH24" s="63" t="n">
        <v>969.2</v>
      </c>
      <c r="DI24" s="63" t="n">
        <v>985.6</v>
      </c>
      <c r="DJ24" s="63" t="n">
        <v>995.9</v>
      </c>
      <c r="DK24" s="63" t="n">
        <v>1016.6</v>
      </c>
      <c r="DL24" s="63" t="n">
        <v>1038.6</v>
      </c>
      <c r="DM24" s="63" t="n">
        <v>1053.2</v>
      </c>
      <c r="DN24" s="63" t="n">
        <v>1074</v>
      </c>
      <c r="DO24" s="63" t="n">
        <v>1095.5</v>
      </c>
      <c r="DP24" s="63" t="n">
        <v>1119.8</v>
      </c>
      <c r="DQ24" s="63" t="n">
        <v>1147.4</v>
      </c>
      <c r="DR24" s="63" t="n">
        <v>1170.5</v>
      </c>
      <c r="DS24" s="63" t="n">
        <v>1181.3</v>
      </c>
      <c r="DT24" s="63" t="n">
        <v>1198.5</v>
      </c>
      <c r="DU24" s="63" t="n">
        <v>1223.1</v>
      </c>
      <c r="DV24" s="63" t="n">
        <v>1253</v>
      </c>
      <c r="DW24" s="63" t="n">
        <v>1281.5</v>
      </c>
      <c r="DX24" s="63" t="n">
        <v>1279</v>
      </c>
      <c r="DY24" s="63" t="n">
        <v>1305.9</v>
      </c>
      <c r="DZ24" s="63" t="n">
        <v>1326</v>
      </c>
      <c r="EA24" s="63" t="n">
        <v>1339.7</v>
      </c>
      <c r="EB24" s="63" t="n">
        <v>1352.9</v>
      </c>
      <c r="EC24" s="63" t="n">
        <v>1367</v>
      </c>
      <c r="ED24" s="63" t="n">
        <v>1379.3</v>
      </c>
      <c r="EE24" s="63" t="n">
        <v>1372.8</v>
      </c>
      <c r="EF24" s="63" t="n">
        <v>1387.2</v>
      </c>
      <c r="EG24" s="63" t="n">
        <v>1396</v>
      </c>
      <c r="EH24" s="63" t="n">
        <v>1414.8</v>
      </c>
      <c r="EI24" s="63" t="n">
        <v>1436.1</v>
      </c>
      <c r="EJ24" s="63" t="n">
        <v>1453.9</v>
      </c>
      <c r="EK24" s="63" t="n">
        <v>1479.2</v>
      </c>
      <c r="EL24" s="63" t="n">
        <v>1494.3</v>
      </c>
      <c r="EM24" s="63" t="n">
        <v>1513</v>
      </c>
      <c r="EN24" s="63" t="n">
        <v>1538</v>
      </c>
      <c r="EO24" s="63" t="n">
        <v>1564.8</v>
      </c>
      <c r="EP24" s="63" t="n">
        <v>1583</v>
      </c>
      <c r="EQ24" s="63" t="n">
        <v>1613.4</v>
      </c>
      <c r="ER24" s="63" t="n">
        <v>1634.8</v>
      </c>
      <c r="ES24" s="63" t="n">
        <v>1659.4</v>
      </c>
      <c r="ET24" s="63" t="n">
        <v>1700.9</v>
      </c>
      <c r="EU24" s="63" t="n">
        <v>1727.5</v>
      </c>
      <c r="EV24" s="63" t="n">
        <v>1749.9</v>
      </c>
      <c r="EW24" s="63" t="n">
        <v>1779.8</v>
      </c>
      <c r="EX24" s="63" t="n">
        <v>1798.5</v>
      </c>
      <c r="EY24" s="63" t="n">
        <v>1825</v>
      </c>
      <c r="EZ24" s="63" t="n">
        <v>1858.8</v>
      </c>
      <c r="FA24" s="63" t="n">
        <v>1842</v>
      </c>
      <c r="FB24" s="63" t="n">
        <v>1836.8</v>
      </c>
      <c r="FC24" s="63" t="n">
        <v>1857</v>
      </c>
      <c r="FD24" s="63" t="n">
        <v>1863.8</v>
      </c>
      <c r="FE24" s="63" t="n">
        <v>1864.6</v>
      </c>
      <c r="FF24" s="63" t="n">
        <v>1855.5</v>
      </c>
      <c r="FG24" s="63" t="n">
        <v>1860.7</v>
      </c>
      <c r="FH24" s="63" t="n">
        <v>1854</v>
      </c>
      <c r="FI24" s="63" t="n">
        <v>1851.4</v>
      </c>
      <c r="FJ24" s="63" t="n">
        <v>1849.8</v>
      </c>
      <c r="FK24" s="63" t="n">
        <v>1855.5</v>
      </c>
      <c r="FL24" s="63" t="n">
        <v>1848.3</v>
      </c>
      <c r="FM24" s="63" t="n">
        <v>1839.1</v>
      </c>
      <c r="FN24" s="63" t="n">
        <v>1847.9</v>
      </c>
      <c r="FO24" s="63" t="n">
        <v>1841.8</v>
      </c>
      <c r="FP24" s="63" t="n">
        <v>1845.3</v>
      </c>
      <c r="FQ24" s="63" t="n">
        <v>1862.7</v>
      </c>
      <c r="FR24" s="63" t="n">
        <v>1884.9</v>
      </c>
      <c r="FS24" s="63" t="n">
        <v>1899.8</v>
      </c>
      <c r="FT24" s="63" t="n">
        <v>1915.8</v>
      </c>
      <c r="FU24" s="63" t="n">
        <v>1923</v>
      </c>
      <c r="FV24" s="63" t="n">
        <v>1926.4</v>
      </c>
      <c r="FW24" s="63" t="n">
        <v>1944.1</v>
      </c>
      <c r="FX24" s="63" t="n">
        <v>1962.5</v>
      </c>
      <c r="FY24" s="63" t="n">
        <v>1978.3</v>
      </c>
      <c r="FZ24" s="63" t="n">
        <v>1973.3</v>
      </c>
      <c r="GA24" s="63" t="n">
        <v>2011.4</v>
      </c>
      <c r="GB24" s="63" t="n">
        <v>2029.4</v>
      </c>
      <c r="GC24" s="63" t="n">
        <v>2025.2</v>
      </c>
      <c r="GD24" s="63" t="n">
        <v>2040.9</v>
      </c>
      <c r="GE24" s="63" t="n">
        <v>2061.6</v>
      </c>
      <c r="GF24" s="63" t="n">
        <v>2077.7</v>
      </c>
      <c r="GG24" s="63" t="n">
        <v>2094</v>
      </c>
      <c r="GH24" s="63" t="n">
        <v>2109</v>
      </c>
      <c r="GI24" s="63" t="n">
        <v>2114.2</v>
      </c>
      <c r="GJ24" s="63" t="n">
        <v>2134.5</v>
      </c>
      <c r="GK24" s="63" t="n">
        <v>2172.1</v>
      </c>
      <c r="GL24" s="63" t="n">
        <v>2197.4</v>
      </c>
      <c r="GM24" s="63" t="n">
        <v>2235.4</v>
      </c>
      <c r="GN24" s="63" t="n">
        <v>2262.4</v>
      </c>
      <c r="GO24" s="63" t="n">
        <v>2268</v>
      </c>
      <c r="GP24" s="63" t="n">
        <v>2295.3</v>
      </c>
      <c r="GQ24" s="63" t="n">
        <v>2339.2</v>
      </c>
      <c r="GR24" s="63" t="n">
        <v>2359.4</v>
      </c>
      <c r="GS24" s="63" t="n">
        <v>2384.2</v>
      </c>
      <c r="GT24" s="63" t="n">
        <v>2427.4</v>
      </c>
      <c r="GU24" s="63" t="n">
        <v>2391.8</v>
      </c>
      <c r="GV24" s="63" t="n">
        <v>2397.6</v>
      </c>
      <c r="GW24" s="63" t="n">
        <v>2416.5</v>
      </c>
      <c r="GX24" s="63" t="n">
        <v>2468.4</v>
      </c>
      <c r="GY24" s="63" t="n">
        <v>2516.4</v>
      </c>
      <c r="GZ24" s="63" t="n">
        <v>2587.6</v>
      </c>
      <c r="HA24" s="63" t="n">
        <v>2633.9</v>
      </c>
      <c r="HB24" s="63" t="n">
        <v>2698.2</v>
      </c>
      <c r="HC24" t="n">
        <v>2790</v>
      </c>
      <c r="HD24" t="n">
        <v>2836</v>
      </c>
      <c r="HE24" t="n">
        <v>2878.7</v>
      </c>
    </row>
    <row r="25">
      <c r="A25" s="63" t="s">
        <v>2459</v>
      </c>
      <c r="B25" s="63" t="n">
        <v>714</v>
      </c>
      <c r="C25" s="63" t="n">
        <v>695.2</v>
      </c>
      <c r="D25" s="63" t="n">
        <v>686.7</v>
      </c>
      <c r="E25" s="63" t="n">
        <v>684.1</v>
      </c>
      <c r="F25" s="63" t="n">
        <v>662.1</v>
      </c>
      <c r="G25" s="63" t="n">
        <v>654.4</v>
      </c>
      <c r="H25" s="63" t="n">
        <v>651.5</v>
      </c>
      <c r="I25" s="63" t="n">
        <v>634.4</v>
      </c>
      <c r="J25" s="63" t="n">
        <v>639.7</v>
      </c>
      <c r="K25" s="63" t="n">
        <v>645.9</v>
      </c>
      <c r="L25" s="63" t="n">
        <v>616.3</v>
      </c>
      <c r="M25" s="63" t="n">
        <v>617.9</v>
      </c>
      <c r="N25" s="63" t="n">
        <v>625.9</v>
      </c>
      <c r="O25" s="63" t="n">
        <v>615.8</v>
      </c>
      <c r="P25" s="63" t="n">
        <v>594</v>
      </c>
      <c r="Q25" s="63" t="n">
        <v>595.4</v>
      </c>
      <c r="R25" s="63" t="n">
        <v>609.7</v>
      </c>
      <c r="S25" s="63" t="n">
        <v>607.6</v>
      </c>
      <c r="T25" s="63" t="n">
        <v>611.5</v>
      </c>
      <c r="U25" s="63" t="n">
        <v>617.6</v>
      </c>
      <c r="V25" s="63" t="n">
        <v>611.1</v>
      </c>
      <c r="W25" s="63" t="n">
        <v>605</v>
      </c>
      <c r="X25" s="63" t="n">
        <v>620.6</v>
      </c>
      <c r="Y25" s="63" t="n">
        <v>622.7</v>
      </c>
      <c r="Z25" s="63" t="n">
        <v>616.5</v>
      </c>
      <c r="AA25" s="63" t="n">
        <v>614.4</v>
      </c>
      <c r="AB25" s="63" t="n">
        <v>615.3</v>
      </c>
      <c r="AC25" s="63" t="n">
        <v>616.7</v>
      </c>
      <c r="AD25" s="63" t="n">
        <v>620.9</v>
      </c>
      <c r="AE25" s="63" t="n">
        <v>628.8</v>
      </c>
      <c r="AF25" s="63" t="n">
        <v>635.1</v>
      </c>
      <c r="AG25" s="63" t="n">
        <v>630.7</v>
      </c>
      <c r="AH25" s="63" t="n">
        <v>631.1</v>
      </c>
      <c r="AI25" s="63" t="n">
        <v>643.3</v>
      </c>
      <c r="AJ25" s="63" t="n">
        <v>647.5</v>
      </c>
      <c r="AK25" s="63" t="n">
        <v>653</v>
      </c>
      <c r="AL25" s="63" t="n">
        <v>652</v>
      </c>
      <c r="AM25" s="63" t="n">
        <v>658.6</v>
      </c>
      <c r="AN25" s="63" t="n">
        <v>660.2</v>
      </c>
      <c r="AO25" s="63" t="n">
        <v>660.9</v>
      </c>
      <c r="AP25" s="63" t="n">
        <v>678.5</v>
      </c>
      <c r="AQ25" s="63" t="n">
        <v>691.9</v>
      </c>
      <c r="AR25" s="63" t="n">
        <v>684</v>
      </c>
      <c r="AS25" s="63" t="n">
        <v>687.4</v>
      </c>
      <c r="AT25" s="63" t="n">
        <v>700.9</v>
      </c>
      <c r="AU25" s="63" t="n">
        <v>718.9</v>
      </c>
      <c r="AV25" s="63" t="n">
        <v>715.9</v>
      </c>
      <c r="AW25" s="63" t="n">
        <v>728.8</v>
      </c>
      <c r="AX25" s="63" t="n">
        <v>729.3</v>
      </c>
      <c r="AY25" s="63" t="n">
        <v>732.3</v>
      </c>
      <c r="AZ25" s="63" t="n">
        <v>744.3</v>
      </c>
      <c r="BA25" s="63" t="n">
        <v>761.9</v>
      </c>
      <c r="BB25" s="63" t="n">
        <v>773.9</v>
      </c>
      <c r="BC25" s="63" t="n">
        <v>788.3</v>
      </c>
      <c r="BD25" s="63" t="n">
        <v>808.7</v>
      </c>
      <c r="BE25" s="63" t="n">
        <v>782.5</v>
      </c>
      <c r="BF25" s="63" t="n">
        <v>789.2</v>
      </c>
      <c r="BG25" s="63" t="n">
        <v>813.1</v>
      </c>
      <c r="BH25" s="63" t="n">
        <v>812.3</v>
      </c>
      <c r="BI25" s="63" t="n">
        <v>838.4</v>
      </c>
      <c r="BJ25" s="63" t="n">
        <v>846</v>
      </c>
      <c r="BK25" s="63" t="n">
        <v>868.3</v>
      </c>
      <c r="BL25" s="63" t="n">
        <v>894.2</v>
      </c>
      <c r="BM25" s="63" t="n">
        <v>894.7</v>
      </c>
      <c r="BN25" s="63" t="n">
        <v>892.2</v>
      </c>
      <c r="BO25" s="63" t="n">
        <v>921.1</v>
      </c>
      <c r="BP25" s="63" t="n">
        <v>953</v>
      </c>
      <c r="BQ25" s="63" t="n">
        <v>941.8</v>
      </c>
      <c r="BR25" s="63" t="n">
        <v>947.9</v>
      </c>
      <c r="BS25" s="63" t="n">
        <v>960.8</v>
      </c>
      <c r="BT25" s="63" t="n">
        <v>959.5</v>
      </c>
      <c r="BU25" s="63" t="n">
        <v>975.7</v>
      </c>
      <c r="BV25" s="63" t="n">
        <v>947.7</v>
      </c>
      <c r="BW25" s="63" t="n">
        <v>940.6</v>
      </c>
      <c r="BX25" s="63" t="n">
        <v>936.1</v>
      </c>
      <c r="BY25" s="63" t="n">
        <v>962.1</v>
      </c>
      <c r="BZ25" s="63" t="n">
        <v>944.5</v>
      </c>
      <c r="CA25" s="63" t="n">
        <v>963.7</v>
      </c>
      <c r="CB25" s="63" t="n">
        <v>971.6</v>
      </c>
      <c r="CC25" s="63" t="n">
        <v>967.1</v>
      </c>
      <c r="CD25" s="63" t="n">
        <v>983.2</v>
      </c>
      <c r="CE25" s="63" t="n">
        <v>984.5</v>
      </c>
      <c r="CF25" s="63" t="n">
        <v>980.1</v>
      </c>
      <c r="CG25" s="63" t="n">
        <v>981.3</v>
      </c>
      <c r="CH25" s="63" t="n">
        <v>992.5</v>
      </c>
      <c r="CI25" s="63" t="n">
        <v>996.6</v>
      </c>
      <c r="CJ25" s="63" t="n">
        <v>983.4</v>
      </c>
      <c r="CK25" s="63" t="n">
        <v>958.8</v>
      </c>
      <c r="CL25" s="63" t="n">
        <v>962.4</v>
      </c>
      <c r="CM25" s="63" t="n">
        <v>959.9</v>
      </c>
      <c r="CN25" s="63" t="n">
        <v>973.4</v>
      </c>
      <c r="CO25" s="63" t="n">
        <v>974.1</v>
      </c>
      <c r="CP25" s="63" t="n">
        <v>942.2</v>
      </c>
      <c r="CQ25" s="63" t="n">
        <v>932.3</v>
      </c>
      <c r="CR25" s="63" t="n">
        <v>928.8</v>
      </c>
      <c r="CS25" s="63" t="n">
        <v>930.4</v>
      </c>
      <c r="CT25" s="63" t="n">
        <v>897.9</v>
      </c>
      <c r="CU25" s="63" t="n">
        <v>894.1</v>
      </c>
      <c r="CV25" s="63" t="n">
        <v>915.8</v>
      </c>
      <c r="CW25" s="63" t="n">
        <v>891.7</v>
      </c>
      <c r="CX25" s="63" t="n">
        <v>889.2</v>
      </c>
      <c r="CY25" s="63" t="n">
        <v>886.2</v>
      </c>
      <c r="CZ25" s="63" t="n">
        <v>879.1</v>
      </c>
      <c r="DA25" s="63" t="n">
        <v>849.1</v>
      </c>
      <c r="DB25" s="63" t="n">
        <v>865.9</v>
      </c>
      <c r="DC25" s="63" t="n">
        <v>874.1</v>
      </c>
      <c r="DD25" s="63" t="n">
        <v>862.5</v>
      </c>
      <c r="DE25" s="63" t="n">
        <v>858.3</v>
      </c>
      <c r="DF25" s="63" t="n">
        <v>846.2</v>
      </c>
      <c r="DG25" s="63" t="n">
        <v>865</v>
      </c>
      <c r="DH25" s="63" t="n">
        <v>861.3</v>
      </c>
      <c r="DI25" s="63" t="n">
        <v>859.9</v>
      </c>
      <c r="DJ25" s="63" t="n">
        <v>838.5</v>
      </c>
      <c r="DK25" s="63" t="n">
        <v>854.9</v>
      </c>
      <c r="DL25" s="63" t="n">
        <v>851.6</v>
      </c>
      <c r="DM25" s="63" t="n">
        <v>857</v>
      </c>
      <c r="DN25" s="63" t="n">
        <v>856.3</v>
      </c>
      <c r="DO25" s="63" t="n">
        <v>855.4</v>
      </c>
      <c r="DP25" s="63" t="n">
        <v>869</v>
      </c>
      <c r="DQ25" s="63" t="n">
        <v>886.8</v>
      </c>
      <c r="DR25" s="63" t="n">
        <v>857.6</v>
      </c>
      <c r="DS25" s="63" t="n">
        <v>884.1</v>
      </c>
      <c r="DT25" s="63" t="n">
        <v>867</v>
      </c>
      <c r="DU25" s="63" t="n">
        <v>868.9</v>
      </c>
      <c r="DV25" s="63" t="n">
        <v>887.5</v>
      </c>
      <c r="DW25" s="63" t="n">
        <v>900.4</v>
      </c>
      <c r="DX25" s="63" t="n">
        <v>905.8</v>
      </c>
      <c r="DY25" s="63" t="n">
        <v>916.6</v>
      </c>
      <c r="DZ25" s="63" t="n">
        <v>946.8</v>
      </c>
      <c r="EA25" s="63" t="n">
        <v>965.2</v>
      </c>
      <c r="EB25" s="63" t="n">
        <v>974.7</v>
      </c>
      <c r="EC25" s="63" t="n">
        <v>991.3</v>
      </c>
      <c r="ED25" s="63" t="n">
        <v>1002.5</v>
      </c>
      <c r="EE25" s="63" t="n">
        <v>1037.1</v>
      </c>
      <c r="EF25" s="63" t="n">
        <v>1036.8</v>
      </c>
      <c r="EG25" s="63" t="n">
        <v>1056.1</v>
      </c>
      <c r="EH25" s="63" t="n">
        <v>1067.6</v>
      </c>
      <c r="EI25" s="63" t="n">
        <v>1073.9</v>
      </c>
      <c r="EJ25" s="63" t="n">
        <v>1085.7</v>
      </c>
      <c r="EK25" s="63" t="n">
        <v>1083.7</v>
      </c>
      <c r="EL25" s="63" t="n">
        <v>1095.8</v>
      </c>
      <c r="EM25" s="63" t="n">
        <v>1094.6</v>
      </c>
      <c r="EN25" s="63" t="n">
        <v>1103.1</v>
      </c>
      <c r="EO25" s="63" t="n">
        <v>1103.5</v>
      </c>
      <c r="EP25" s="63" t="n">
        <v>1132.2</v>
      </c>
      <c r="EQ25" s="63" t="n">
        <v>1124.4</v>
      </c>
      <c r="ER25" s="63" t="n">
        <v>1114.3</v>
      </c>
      <c r="ES25" s="63" t="n">
        <v>1130.4</v>
      </c>
      <c r="ET25" s="63" t="n">
        <v>1123.7</v>
      </c>
      <c r="EU25" s="63" t="n">
        <v>1142.1</v>
      </c>
      <c r="EV25" s="63" t="n">
        <v>1152.1</v>
      </c>
      <c r="EW25" s="63" t="n">
        <v>1171.3</v>
      </c>
      <c r="EX25" s="63" t="n">
        <v>1189.1</v>
      </c>
      <c r="EY25" s="63" t="n">
        <v>1214.5</v>
      </c>
      <c r="EZ25" s="63" t="n">
        <v>1230.3</v>
      </c>
      <c r="FA25" s="63" t="n">
        <v>1246.3</v>
      </c>
      <c r="FB25" s="63" t="n">
        <v>1262.8</v>
      </c>
      <c r="FC25" s="63" t="n">
        <v>1292.8</v>
      </c>
      <c r="FD25" s="63" t="n">
        <v>1304.6</v>
      </c>
      <c r="FE25" s="63" t="n">
        <v>1324</v>
      </c>
      <c r="FF25" s="63" t="n">
        <v>1338.8</v>
      </c>
      <c r="FG25" s="63" t="n">
        <v>1356.4</v>
      </c>
      <c r="FH25" s="63" t="n">
        <v>1350.2</v>
      </c>
      <c r="FI25" s="63" t="n">
        <v>1348</v>
      </c>
      <c r="FJ25" s="63" t="n">
        <v>1329</v>
      </c>
      <c r="FK25" s="63" t="n">
        <v>1323.9</v>
      </c>
      <c r="FL25" s="63" t="n">
        <v>1295.1</v>
      </c>
      <c r="FM25" s="63" t="n">
        <v>1299.9</v>
      </c>
      <c r="FN25" s="63" t="n">
        <v>1299.9</v>
      </c>
      <c r="FO25" s="63" t="n">
        <v>1289.5</v>
      </c>
      <c r="FP25" s="63" t="n">
        <v>1292.2</v>
      </c>
      <c r="FQ25" s="63" t="n">
        <v>1266.4</v>
      </c>
      <c r="FR25" s="63" t="n">
        <v>1237.4</v>
      </c>
      <c r="FS25" s="63" t="n">
        <v>1227.4</v>
      </c>
      <c r="FT25" s="63" t="n">
        <v>1209.6</v>
      </c>
      <c r="FU25" s="63" t="n">
        <v>1188.9</v>
      </c>
      <c r="FV25" s="63" t="n">
        <v>1187.7</v>
      </c>
      <c r="FW25" s="63" t="n">
        <v>1180.7</v>
      </c>
      <c r="FX25" s="63" t="n">
        <v>1193.9</v>
      </c>
      <c r="FY25" s="63" t="n">
        <v>1176.5</v>
      </c>
      <c r="FZ25" s="63" t="n">
        <v>1181.3</v>
      </c>
      <c r="GA25" s="63" t="n">
        <v>1183.5</v>
      </c>
      <c r="GB25" s="63" t="n">
        <v>1182.3</v>
      </c>
      <c r="GC25" s="63" t="n">
        <v>1191.1</v>
      </c>
      <c r="GD25" s="63" t="n">
        <v>1194</v>
      </c>
      <c r="GE25" s="63" t="n">
        <v>1184.3</v>
      </c>
      <c r="GF25" s="63" t="n">
        <v>1191.5</v>
      </c>
      <c r="GG25" s="63" t="n">
        <v>1192.3</v>
      </c>
      <c r="GH25" s="63" t="n">
        <v>1188</v>
      </c>
      <c r="GI25" s="63" t="n">
        <v>1194.4</v>
      </c>
      <c r="GJ25" s="63" t="n">
        <v>1192.4</v>
      </c>
      <c r="GK25" s="63" t="n">
        <v>1207.4</v>
      </c>
      <c r="GL25" s="63" t="n">
        <v>1214.4</v>
      </c>
      <c r="GM25" s="63" t="n">
        <v>1224.2</v>
      </c>
      <c r="GN25" s="63" t="n">
        <v>1240.1</v>
      </c>
      <c r="GO25" s="63" t="n">
        <v>1246.5</v>
      </c>
      <c r="GP25" s="63" t="n">
        <v>1255.6</v>
      </c>
      <c r="GQ25" s="63" t="n">
        <v>1275</v>
      </c>
      <c r="GR25" s="63" t="n">
        <v>1290.4</v>
      </c>
      <c r="GS25" s="63" t="n">
        <v>1296.1</v>
      </c>
      <c r="GT25" s="63" t="n">
        <v>1307.9</v>
      </c>
      <c r="GU25" s="63" t="n">
        <v>1400.5</v>
      </c>
      <c r="GV25" s="63" t="n">
        <v>1360.6</v>
      </c>
      <c r="GW25" s="63" t="n">
        <v>1366.6</v>
      </c>
      <c r="GX25" s="63" t="n">
        <v>1422.1</v>
      </c>
      <c r="GY25" s="63" t="n">
        <v>1397.1</v>
      </c>
      <c r="GZ25" s="63" t="n">
        <v>1371.4</v>
      </c>
      <c r="HA25" s="63" t="n">
        <v>1371.5</v>
      </c>
      <c r="HB25" s="63" t="n">
        <v>1353</v>
      </c>
      <c r="HC25" t="n">
        <v>1341.3</v>
      </c>
      <c r="HD25" t="n">
        <v>1353.7</v>
      </c>
      <c r="HE25" t="n">
        <v>1373.2</v>
      </c>
    </row>
    <row r="26">
      <c r="A26" s="63" t="s">
        <v>2460</v>
      </c>
      <c r="B26" s="63" t="n">
        <v>834.4</v>
      </c>
      <c r="C26" s="63" t="n">
        <v>838.9</v>
      </c>
      <c r="D26" s="63" t="n">
        <v>858.1</v>
      </c>
      <c r="E26" s="63" t="n">
        <v>862.4</v>
      </c>
      <c r="F26" s="63" t="n">
        <v>866</v>
      </c>
      <c r="G26" s="63" t="n">
        <v>872.4</v>
      </c>
      <c r="H26" s="63" t="n">
        <v>875.4</v>
      </c>
      <c r="I26" s="63" t="n">
        <v>886.4</v>
      </c>
      <c r="J26" s="63" t="n">
        <v>888.8</v>
      </c>
      <c r="K26" s="63" t="n">
        <v>887.3</v>
      </c>
      <c r="L26" s="63" t="n">
        <v>894.4</v>
      </c>
      <c r="M26" s="63" t="n">
        <v>906.7</v>
      </c>
      <c r="N26" s="63" t="n">
        <v>910.9</v>
      </c>
      <c r="O26" s="63" t="n">
        <v>912.4</v>
      </c>
      <c r="P26" s="63" t="n">
        <v>921.9</v>
      </c>
      <c r="Q26" s="63" t="n">
        <v>933.1</v>
      </c>
      <c r="R26" s="63" t="n">
        <v>944.9</v>
      </c>
      <c r="S26" s="63" t="n">
        <v>956.6</v>
      </c>
      <c r="T26" s="63" t="n">
        <v>954.8</v>
      </c>
      <c r="U26" s="63" t="n">
        <v>955.2</v>
      </c>
      <c r="V26" s="63" t="n">
        <v>983.4</v>
      </c>
      <c r="W26" s="63" t="n">
        <v>976.4</v>
      </c>
      <c r="X26" s="63" t="n">
        <v>988.9</v>
      </c>
      <c r="Y26" s="63" t="n">
        <v>1002.1</v>
      </c>
      <c r="Z26" s="63" t="n">
        <v>1013.3</v>
      </c>
      <c r="AA26" s="63" t="n">
        <v>995.6</v>
      </c>
      <c r="AB26" s="63" t="n">
        <v>989</v>
      </c>
      <c r="AC26" s="63" t="n">
        <v>986</v>
      </c>
      <c r="AD26" s="63" t="n">
        <v>995.8</v>
      </c>
      <c r="AE26" s="63" t="n">
        <v>1001.9</v>
      </c>
      <c r="AF26" s="63" t="n">
        <v>1000.8</v>
      </c>
      <c r="AG26" s="63" t="n">
        <v>1002.4</v>
      </c>
      <c r="AH26" s="63" t="n">
        <v>1002.2</v>
      </c>
      <c r="AI26" s="63" t="n">
        <v>1032.3</v>
      </c>
      <c r="AJ26" s="63" t="n">
        <v>1044.2</v>
      </c>
      <c r="AK26" s="63" t="n">
        <v>1054.1</v>
      </c>
      <c r="AL26" s="63" t="n">
        <v>1036.2</v>
      </c>
      <c r="AM26" s="63" t="n">
        <v>1046</v>
      </c>
      <c r="AN26" s="63" t="n">
        <v>1049.6</v>
      </c>
      <c r="AO26" s="63" t="n">
        <v>1061.4</v>
      </c>
      <c r="AP26" s="63" t="n">
        <v>1066.3</v>
      </c>
      <c r="AQ26" s="63" t="n">
        <v>1052.2</v>
      </c>
      <c r="AR26" s="63" t="n">
        <v>1035.9</v>
      </c>
      <c r="AS26" s="63" t="n">
        <v>1030.8</v>
      </c>
      <c r="AT26" s="63" t="n">
        <v>1038.9</v>
      </c>
      <c r="AU26" s="63" t="n">
        <v>1019</v>
      </c>
      <c r="AV26" s="63" t="n">
        <v>1016.1</v>
      </c>
      <c r="AW26" s="63" t="n">
        <v>1024</v>
      </c>
      <c r="AX26" s="63" t="n">
        <v>1021.2</v>
      </c>
      <c r="AY26" s="63" t="n">
        <v>1024.8</v>
      </c>
      <c r="AZ26" s="63" t="n">
        <v>1024.8</v>
      </c>
      <c r="BA26" s="63" t="n">
        <v>1032.5</v>
      </c>
      <c r="BB26" s="63" t="n">
        <v>1036.3</v>
      </c>
      <c r="BC26" s="63" t="n">
        <v>1034.2</v>
      </c>
      <c r="BD26" s="63" t="n">
        <v>1043.2</v>
      </c>
      <c r="BE26" s="63" t="n">
        <v>1043.9</v>
      </c>
      <c r="BF26" s="63" t="n">
        <v>1057.1</v>
      </c>
      <c r="BG26" s="63" t="n">
        <v>1071.2</v>
      </c>
      <c r="BH26" s="63" t="n">
        <v>1089.5</v>
      </c>
      <c r="BI26" s="63" t="n">
        <v>1100.5</v>
      </c>
      <c r="BJ26" s="63" t="n">
        <v>1114.4</v>
      </c>
      <c r="BK26" s="63" t="n">
        <v>1134.6</v>
      </c>
      <c r="BL26" s="63" t="n">
        <v>1152.7</v>
      </c>
      <c r="BM26" s="63" t="n">
        <v>1161.5</v>
      </c>
      <c r="BN26" s="63" t="n">
        <v>1182.9</v>
      </c>
      <c r="BO26" s="63" t="n">
        <v>1194.4</v>
      </c>
      <c r="BP26" s="63" t="n">
        <v>1205.5</v>
      </c>
      <c r="BQ26" s="63" t="n">
        <v>1209.5</v>
      </c>
      <c r="BR26" s="63" t="n">
        <v>1215.9</v>
      </c>
      <c r="BS26" s="63" t="n">
        <v>1218.6</v>
      </c>
      <c r="BT26" s="63" t="n">
        <v>1222.8</v>
      </c>
      <c r="BU26" s="63" t="n">
        <v>1238.9</v>
      </c>
      <c r="BV26" s="63" t="n">
        <v>1252.6</v>
      </c>
      <c r="BW26" s="63" t="n">
        <v>1268.4</v>
      </c>
      <c r="BX26" s="63" t="n">
        <v>1274.1</v>
      </c>
      <c r="BY26" s="63" t="n">
        <v>1289.4</v>
      </c>
      <c r="BZ26" s="63" t="n">
        <v>1299.8</v>
      </c>
      <c r="CA26" s="63" t="n">
        <v>1314.2</v>
      </c>
      <c r="CB26" s="63" t="n">
        <v>1326.9</v>
      </c>
      <c r="CC26" s="63" t="n">
        <v>1344.6</v>
      </c>
      <c r="CD26" s="63" t="n">
        <v>1365.4</v>
      </c>
      <c r="CE26" s="63" t="n">
        <v>1367.9</v>
      </c>
      <c r="CF26" s="63" t="n">
        <v>1377</v>
      </c>
      <c r="CG26" s="63" t="n">
        <v>1392.4</v>
      </c>
      <c r="CH26" s="63" t="n">
        <v>1394.5</v>
      </c>
      <c r="CI26" s="63" t="n">
        <v>1400.1</v>
      </c>
      <c r="CJ26" s="63" t="n">
        <v>1408.3</v>
      </c>
      <c r="CK26" s="63" t="n">
        <v>1418.2</v>
      </c>
      <c r="CL26" s="63" t="n">
        <v>1436.5</v>
      </c>
      <c r="CM26" s="63" t="n">
        <v>1434.4</v>
      </c>
      <c r="CN26" s="63" t="n">
        <v>1435</v>
      </c>
      <c r="CO26" s="63" t="n">
        <v>1433.9</v>
      </c>
      <c r="CP26" s="63" t="n">
        <v>1438.9</v>
      </c>
      <c r="CQ26" s="63" t="n">
        <v>1450.6</v>
      </c>
      <c r="CR26" s="63" t="n">
        <v>1458.2</v>
      </c>
      <c r="CS26" s="63" t="n">
        <v>1465.3</v>
      </c>
      <c r="CT26" s="63" t="n">
        <v>1471.3</v>
      </c>
      <c r="CU26" s="63" t="n">
        <v>1488.1</v>
      </c>
      <c r="CV26" s="63" t="n">
        <v>1505.6</v>
      </c>
      <c r="CW26" s="63" t="n">
        <v>1511.1</v>
      </c>
      <c r="CX26" s="63" t="n">
        <v>1522.9</v>
      </c>
      <c r="CY26" s="63" t="n">
        <v>1534.9</v>
      </c>
      <c r="CZ26" s="63" t="n">
        <v>1536.4</v>
      </c>
      <c r="DA26" s="63" t="n">
        <v>1544.4</v>
      </c>
      <c r="DB26" s="63" t="n">
        <v>1541.6</v>
      </c>
      <c r="DC26" s="63" t="n">
        <v>1563.8</v>
      </c>
      <c r="DD26" s="63" t="n">
        <v>1577.1</v>
      </c>
      <c r="DE26" s="63" t="n">
        <v>1599.6</v>
      </c>
      <c r="DF26" s="63" t="n">
        <v>1600.1</v>
      </c>
      <c r="DG26" s="63" t="n">
        <v>1611.9</v>
      </c>
      <c r="DH26" s="63" t="n">
        <v>1628.1</v>
      </c>
      <c r="DI26" s="63" t="n">
        <v>1642.8</v>
      </c>
      <c r="DJ26" s="63" t="n">
        <v>1657.8</v>
      </c>
      <c r="DK26" s="63" t="n">
        <v>1684.9</v>
      </c>
      <c r="DL26" s="63" t="n">
        <v>1708.6</v>
      </c>
      <c r="DM26" s="63" t="n">
        <v>1718.3</v>
      </c>
      <c r="DN26" s="63" t="n">
        <v>1737.3</v>
      </c>
      <c r="DO26" s="63" t="n">
        <v>1748.4</v>
      </c>
      <c r="DP26" s="63" t="n">
        <v>1766</v>
      </c>
      <c r="DQ26" s="63" t="n">
        <v>1788.9</v>
      </c>
      <c r="DR26" s="63" t="n">
        <v>1801.7</v>
      </c>
      <c r="DS26" s="63" t="n">
        <v>1799.2</v>
      </c>
      <c r="DT26" s="63" t="n">
        <v>1806.2</v>
      </c>
      <c r="DU26" s="63" t="n">
        <v>1820.6</v>
      </c>
      <c r="DV26" s="63" t="n">
        <v>1842.9</v>
      </c>
      <c r="DW26" s="63" t="n">
        <v>1877.7</v>
      </c>
      <c r="DX26" s="63" t="n">
        <v>1869</v>
      </c>
      <c r="DY26" s="63" t="n">
        <v>1904.3</v>
      </c>
      <c r="DZ26" s="63" t="n">
        <v>1923.7</v>
      </c>
      <c r="EA26" s="63" t="n">
        <v>1926.3</v>
      </c>
      <c r="EB26" s="63" t="n">
        <v>1931.3</v>
      </c>
      <c r="EC26" s="63" t="n">
        <v>1935.3</v>
      </c>
      <c r="ED26" s="63" t="n">
        <v>1925.3</v>
      </c>
      <c r="EE26" s="63" t="n">
        <v>1914.9</v>
      </c>
      <c r="EF26" s="63" t="n">
        <v>1921.9</v>
      </c>
      <c r="EG26" s="63" t="n">
        <v>1919.2</v>
      </c>
      <c r="EH26" s="63" t="n">
        <v>1920.6</v>
      </c>
      <c r="EI26" s="63" t="n">
        <v>1922.1</v>
      </c>
      <c r="EJ26" s="63" t="n">
        <v>1914.9</v>
      </c>
      <c r="EK26" s="63" t="n">
        <v>1915.3</v>
      </c>
      <c r="EL26" s="63" t="n">
        <v>1917.6</v>
      </c>
      <c r="EM26" s="63" t="n">
        <v>1917</v>
      </c>
      <c r="EN26" s="63" t="n">
        <v>1918.2</v>
      </c>
      <c r="EO26" s="63" t="n">
        <v>1920.2</v>
      </c>
      <c r="EP26" s="63" t="n">
        <v>1928.9</v>
      </c>
      <c r="EQ26" s="63" t="n">
        <v>1936.2</v>
      </c>
      <c r="ER26" s="63" t="n">
        <v>1942.4</v>
      </c>
      <c r="ES26" s="63" t="n">
        <v>1951</v>
      </c>
      <c r="ET26" s="63" t="n">
        <v>1962.4</v>
      </c>
      <c r="EU26" s="63" t="n">
        <v>1971.8</v>
      </c>
      <c r="EV26" s="63" t="n">
        <v>1975.8</v>
      </c>
      <c r="EW26" s="63" t="n">
        <v>1980.8</v>
      </c>
      <c r="EX26" s="63" t="n">
        <v>1970</v>
      </c>
      <c r="EY26" s="63" t="n">
        <v>1971.6</v>
      </c>
      <c r="EZ26" s="63" t="n">
        <v>1981.5</v>
      </c>
      <c r="FA26" s="63" t="n">
        <v>1987.3</v>
      </c>
      <c r="FB26" s="63" t="n">
        <v>2007.7</v>
      </c>
      <c r="FC26" s="63" t="n">
        <v>2025.2</v>
      </c>
      <c r="FD26" s="63" t="n">
        <v>2022.3</v>
      </c>
      <c r="FE26" s="63" t="n">
        <v>2008.4</v>
      </c>
      <c r="FF26" s="63" t="n">
        <v>1978.9</v>
      </c>
      <c r="FG26" s="63" t="n">
        <v>1971.3</v>
      </c>
      <c r="FH26" s="63" t="n">
        <v>1953.9</v>
      </c>
      <c r="FI26" s="63" t="n">
        <v>1934.9</v>
      </c>
      <c r="FJ26" s="63" t="n">
        <v>1913.8</v>
      </c>
      <c r="FK26" s="63" t="n">
        <v>1896.9</v>
      </c>
      <c r="FL26" s="63" t="n">
        <v>1879.8</v>
      </c>
      <c r="FM26" s="63" t="n">
        <v>1872.6</v>
      </c>
      <c r="FN26" s="63" t="n">
        <v>1859</v>
      </c>
      <c r="FO26" s="63" t="n">
        <v>1852.9</v>
      </c>
      <c r="FP26" s="63" t="n">
        <v>1845.5</v>
      </c>
      <c r="FQ26" s="63" t="n">
        <v>1840.5</v>
      </c>
      <c r="FR26" s="63" t="n">
        <v>1841.3</v>
      </c>
      <c r="FS26" s="63" t="n">
        <v>1846</v>
      </c>
      <c r="FT26" s="63" t="n">
        <v>1847</v>
      </c>
      <c r="FU26" s="63" t="n">
        <v>1843.4</v>
      </c>
      <c r="FV26" s="63" t="n">
        <v>1832.2</v>
      </c>
      <c r="FW26" s="63" t="n">
        <v>1842.7</v>
      </c>
      <c r="FX26" s="63" t="n">
        <v>1849.9</v>
      </c>
      <c r="FY26" s="63" t="n">
        <v>1865.4</v>
      </c>
      <c r="FZ26" s="63" t="n">
        <v>1876.3</v>
      </c>
      <c r="GA26" s="63" t="n">
        <v>1900</v>
      </c>
      <c r="GB26" s="63" t="n">
        <v>1915.1</v>
      </c>
      <c r="GC26" s="63" t="n">
        <v>1917.5</v>
      </c>
      <c r="GD26" s="63" t="n">
        <v>1946.9</v>
      </c>
      <c r="GE26" s="63" t="n">
        <v>1951.6</v>
      </c>
      <c r="GF26" s="63" t="n">
        <v>1960.4</v>
      </c>
      <c r="GG26" s="63" t="n">
        <v>1966.2</v>
      </c>
      <c r="GH26" s="63" t="n">
        <v>1962.2</v>
      </c>
      <c r="GI26" s="63" t="n">
        <v>1961.5</v>
      </c>
      <c r="GJ26" s="63" t="n">
        <v>1962.6</v>
      </c>
      <c r="GK26" s="63" t="n">
        <v>1972.7</v>
      </c>
      <c r="GL26" s="63" t="n">
        <v>1971.6</v>
      </c>
      <c r="GM26" s="63" t="n">
        <v>1984.1</v>
      </c>
      <c r="GN26" s="63" t="n">
        <v>1989.8</v>
      </c>
      <c r="GO26" s="63" t="n">
        <v>1984.6</v>
      </c>
      <c r="GP26" s="63" t="n">
        <v>2014</v>
      </c>
      <c r="GQ26" s="63" t="n">
        <v>2037.5</v>
      </c>
      <c r="GR26" s="63" t="n">
        <v>2049.7</v>
      </c>
      <c r="GS26" s="63" t="n">
        <v>2063.4</v>
      </c>
      <c r="GT26" s="63" t="n">
        <v>2078.7</v>
      </c>
      <c r="GU26" s="63" t="n">
        <v>2049.3</v>
      </c>
      <c r="GV26" s="63" t="n">
        <v>2036.2</v>
      </c>
      <c r="GW26" s="63" t="n">
        <v>2029.6</v>
      </c>
      <c r="GX26" s="63" t="n">
        <v>2030.2</v>
      </c>
      <c r="GY26" s="63" t="n">
        <v>2028</v>
      </c>
      <c r="GZ26" s="63" t="n">
        <v>2050.7</v>
      </c>
      <c r="HA26" s="63" t="n">
        <v>2042.7</v>
      </c>
      <c r="HB26" s="63" t="n">
        <v>2040.7</v>
      </c>
      <c r="HC26" t="n">
        <v>2037.8</v>
      </c>
      <c r="HD26" t="n">
        <v>2056.5</v>
      </c>
      <c r="HE26" t="n">
        <v>2068.3</v>
      </c>
    </row>
    <row r="27">
      <c r="A27" s="63" t="s">
        <v>2461</v>
      </c>
      <c r="B27" s="63" t="n">
        <v>90.6</v>
      </c>
      <c r="C27" s="63" t="n">
        <v>91.4</v>
      </c>
      <c r="D27" s="63" t="n">
        <v>86.3</v>
      </c>
      <c r="E27" s="63" t="n">
        <v>87.2</v>
      </c>
      <c r="F27" s="63" t="n">
        <v>83.6</v>
      </c>
      <c r="G27" s="63" t="n">
        <v>85.1</v>
      </c>
      <c r="H27" s="63" t="n">
        <v>86.3</v>
      </c>
      <c r="I27" s="63" t="n">
        <v>88.2</v>
      </c>
      <c r="J27" s="63" t="n">
        <v>100.3</v>
      </c>
      <c r="K27" s="63" t="n">
        <v>102.4</v>
      </c>
      <c r="L27" s="63" t="n">
        <v>103.1</v>
      </c>
      <c r="M27" s="63" t="n">
        <v>105.3</v>
      </c>
      <c r="N27" s="63" t="n">
        <v>104.5</v>
      </c>
      <c r="O27" s="63" t="n">
        <v>106.9</v>
      </c>
      <c r="P27" s="63" t="n">
        <v>111</v>
      </c>
      <c r="Q27" s="63" t="n">
        <v>116</v>
      </c>
      <c r="R27" s="63" t="n">
        <v>119.5</v>
      </c>
      <c r="S27" s="63" t="n">
        <v>124.8</v>
      </c>
      <c r="T27" s="63" t="n">
        <v>129.7</v>
      </c>
      <c r="U27" s="63" t="n">
        <v>132</v>
      </c>
      <c r="V27" s="63" t="n">
        <v>132.3</v>
      </c>
      <c r="W27" s="63" t="n">
        <v>94.6</v>
      </c>
      <c r="X27" s="63" t="n">
        <v>125.7</v>
      </c>
      <c r="Y27" s="63" t="n">
        <v>130.4</v>
      </c>
      <c r="Z27" s="63" t="n">
        <v>133</v>
      </c>
      <c r="AA27" s="63" t="n">
        <v>138.7</v>
      </c>
      <c r="AB27" s="63" t="n">
        <v>144.5</v>
      </c>
      <c r="AC27" s="63" t="n">
        <v>150.1</v>
      </c>
      <c r="AD27" s="63" t="n">
        <v>155.3</v>
      </c>
      <c r="AE27" s="63" t="n">
        <v>161</v>
      </c>
      <c r="AF27" s="63" t="n">
        <v>162.6</v>
      </c>
      <c r="AG27" s="63" t="n">
        <v>171.2</v>
      </c>
      <c r="AH27" s="63" t="n">
        <v>173.4</v>
      </c>
      <c r="AI27" s="63" t="n">
        <v>182.9</v>
      </c>
      <c r="AJ27" s="63" t="n">
        <v>195.4</v>
      </c>
      <c r="AK27" s="63" t="n">
        <v>205.1</v>
      </c>
      <c r="AL27" s="63" t="n">
        <v>211.6</v>
      </c>
      <c r="AM27" s="63" t="n">
        <v>219.9</v>
      </c>
      <c r="AN27" s="63" t="n">
        <v>229.4</v>
      </c>
      <c r="AO27" s="63" t="n">
        <v>238.6</v>
      </c>
      <c r="AP27" s="63" t="n">
        <v>238.3</v>
      </c>
      <c r="AQ27" s="63" t="n">
        <v>244.2</v>
      </c>
      <c r="AR27" s="63" t="n">
        <v>252.8</v>
      </c>
      <c r="AS27" s="63" t="n">
        <v>267.2</v>
      </c>
      <c r="AT27" s="63" t="n">
        <v>278.4</v>
      </c>
      <c r="AU27" s="63" t="n">
        <v>289</v>
      </c>
      <c r="AV27" s="63" t="n">
        <v>301.4</v>
      </c>
      <c r="AW27" s="63" t="n">
        <v>295.9</v>
      </c>
      <c r="AX27" s="63" t="n">
        <v>295.2</v>
      </c>
      <c r="AY27" s="63" t="n">
        <v>301.7</v>
      </c>
      <c r="AZ27" s="63" t="n">
        <v>289.7</v>
      </c>
      <c r="BA27" s="63" t="n">
        <v>295.8</v>
      </c>
      <c r="BB27" s="63" t="n">
        <v>289.5</v>
      </c>
      <c r="BC27" s="63" t="n">
        <v>295.3</v>
      </c>
      <c r="BD27" s="63" t="n">
        <v>277.3</v>
      </c>
      <c r="BE27" s="63" t="n">
        <v>284.9</v>
      </c>
      <c r="BF27" s="63" t="n">
        <v>287.9</v>
      </c>
      <c r="BG27" s="63" t="n">
        <v>294.6</v>
      </c>
      <c r="BH27" s="63" t="n">
        <v>307.3</v>
      </c>
      <c r="BI27" s="63" t="n">
        <v>317.7</v>
      </c>
      <c r="BJ27" s="63" t="n">
        <v>353</v>
      </c>
      <c r="BK27" s="63" t="n">
        <v>307.6</v>
      </c>
      <c r="BL27" s="63" t="n">
        <v>340</v>
      </c>
      <c r="BM27" s="63" t="n">
        <v>345.2</v>
      </c>
      <c r="BN27" s="63" t="n">
        <v>341.8</v>
      </c>
      <c r="BO27" s="63" t="n">
        <v>344.4</v>
      </c>
      <c r="BP27" s="63" t="n">
        <v>352</v>
      </c>
      <c r="BQ27" s="63" t="n">
        <v>364.2</v>
      </c>
      <c r="BR27" s="63" t="n">
        <v>358.3</v>
      </c>
      <c r="BS27" s="63" t="n">
        <v>410.2</v>
      </c>
      <c r="BT27" s="63" t="n">
        <v>394.9</v>
      </c>
      <c r="BU27" s="63" t="n">
        <v>408.5</v>
      </c>
      <c r="BV27" s="63" t="n">
        <v>402.6</v>
      </c>
      <c r="BW27" s="63" t="n">
        <v>400.6</v>
      </c>
      <c r="BX27" s="63" t="n">
        <v>402.5</v>
      </c>
      <c r="BY27" s="63" t="n">
        <v>409.6</v>
      </c>
      <c r="BZ27" s="63" t="n">
        <v>439.5</v>
      </c>
      <c r="CA27" s="63" t="n">
        <v>448.4</v>
      </c>
      <c r="CB27" s="63" t="n">
        <v>457.1</v>
      </c>
      <c r="CC27" s="63" t="n">
        <v>467.4</v>
      </c>
      <c r="CD27" s="63" t="n">
        <v>463.2</v>
      </c>
      <c r="CE27" s="63" t="n">
        <v>472</v>
      </c>
      <c r="CF27" s="63" t="n">
        <v>477</v>
      </c>
      <c r="CG27" s="63" t="n">
        <v>476.2</v>
      </c>
      <c r="CH27" s="63" t="n">
        <v>459.6</v>
      </c>
      <c r="CI27" s="63" t="n">
        <v>461.4</v>
      </c>
      <c r="CJ27" s="63" t="n">
        <v>464.1</v>
      </c>
      <c r="CK27" s="63" t="n">
        <v>469.2</v>
      </c>
      <c r="CL27" s="63" t="n">
        <v>461.3</v>
      </c>
      <c r="CM27" s="63" t="n">
        <v>470.2</v>
      </c>
      <c r="CN27" s="63" t="n">
        <v>479.4</v>
      </c>
      <c r="CO27" s="63" t="n">
        <v>499</v>
      </c>
      <c r="CP27" s="63" t="n">
        <v>480.3</v>
      </c>
      <c r="CQ27" s="63" t="n">
        <v>505.3</v>
      </c>
      <c r="CR27" s="63" t="n">
        <v>515.6</v>
      </c>
      <c r="CS27" s="63" t="n">
        <v>529.5</v>
      </c>
      <c r="CT27" s="63" t="n">
        <v>526.7</v>
      </c>
      <c r="CU27" s="63" t="n">
        <v>555.9</v>
      </c>
      <c r="CV27" s="63" t="n">
        <v>544.2</v>
      </c>
      <c r="CW27" s="63" t="n">
        <v>553.4</v>
      </c>
      <c r="CX27" s="63" t="n">
        <v>567.7</v>
      </c>
      <c r="CY27" s="63" t="n">
        <v>594.4</v>
      </c>
      <c r="CZ27" s="63" t="n">
        <v>591.5</v>
      </c>
      <c r="DA27" s="63" t="n">
        <v>607.6</v>
      </c>
      <c r="DB27" s="63" t="n">
        <v>636.4</v>
      </c>
      <c r="DC27" s="63" t="n">
        <v>673.6</v>
      </c>
      <c r="DD27" s="63" t="n">
        <v>674.2</v>
      </c>
      <c r="DE27" s="63" t="n">
        <v>689.4</v>
      </c>
      <c r="DF27" s="63" t="n">
        <v>724.3</v>
      </c>
      <c r="DG27" s="63" t="n">
        <v>739.3</v>
      </c>
      <c r="DH27" s="63" t="n">
        <v>757</v>
      </c>
      <c r="DI27" s="63" t="n">
        <v>778.6</v>
      </c>
      <c r="DJ27" s="63" t="n">
        <v>800.6</v>
      </c>
      <c r="DK27" s="63" t="n">
        <v>820.9</v>
      </c>
      <c r="DL27" s="63" t="n">
        <v>841.6</v>
      </c>
      <c r="DM27" s="63" t="n">
        <v>861.7</v>
      </c>
      <c r="DN27" s="63" t="n">
        <v>869.8</v>
      </c>
      <c r="DO27" s="63" t="n">
        <v>885.8</v>
      </c>
      <c r="DP27" s="63" t="n">
        <v>904.2</v>
      </c>
      <c r="DQ27" s="63" t="n">
        <v>930</v>
      </c>
      <c r="DR27" s="63" t="n">
        <v>976.6</v>
      </c>
      <c r="DS27" s="63" t="n">
        <v>986.9</v>
      </c>
      <c r="DT27" s="63" t="n">
        <v>1011.1</v>
      </c>
      <c r="DU27" s="63" t="n">
        <v>1023.9</v>
      </c>
      <c r="DV27" s="63" t="n">
        <v>1051</v>
      </c>
      <c r="DW27" s="63" t="n">
        <v>1049</v>
      </c>
      <c r="DX27" s="63" t="n">
        <v>881.7</v>
      </c>
      <c r="DY27" s="63" t="n">
        <v>1002.4</v>
      </c>
      <c r="DZ27" s="63" t="n">
        <v>847.8</v>
      </c>
      <c r="EA27" s="63" t="n">
        <v>836.7</v>
      </c>
      <c r="EB27" s="63" t="n">
        <v>825.3</v>
      </c>
      <c r="EC27" s="63" t="n">
        <v>819.6</v>
      </c>
      <c r="ED27" s="63" t="n">
        <v>803.5</v>
      </c>
      <c r="EE27" s="63" t="n">
        <v>812.9</v>
      </c>
      <c r="EF27" s="63" t="n">
        <v>716.5</v>
      </c>
      <c r="EG27" s="63" t="n">
        <v>781.6</v>
      </c>
      <c r="EH27" s="63" t="n">
        <v>773.2</v>
      </c>
      <c r="EI27" s="63" t="n">
        <v>792.4</v>
      </c>
      <c r="EJ27" s="63" t="n">
        <v>816.7</v>
      </c>
      <c r="EK27" s="63" t="n">
        <v>829.8</v>
      </c>
      <c r="EL27" s="63" t="n">
        <v>902.9</v>
      </c>
      <c r="EM27" s="63" t="n">
        <v>925.8</v>
      </c>
      <c r="EN27" s="63" t="n">
        <v>949.5</v>
      </c>
      <c r="EO27" s="63" t="n">
        <v>970.6</v>
      </c>
      <c r="EP27" s="63" t="n">
        <v>1025.5</v>
      </c>
      <c r="EQ27" s="63" t="n">
        <v>1041.2</v>
      </c>
      <c r="ER27" s="63" t="n">
        <v>1060.9</v>
      </c>
      <c r="ES27" s="63" t="n">
        <v>1095.8</v>
      </c>
      <c r="ET27" s="63" t="n">
        <v>1146</v>
      </c>
      <c r="EU27" s="63" t="n">
        <v>1163.9</v>
      </c>
      <c r="EV27" s="63" t="n">
        <v>1179.3</v>
      </c>
      <c r="EW27" s="63" t="n">
        <v>1194.4</v>
      </c>
      <c r="EX27" s="63" t="n">
        <v>1201.7</v>
      </c>
      <c r="EY27" s="63" t="n">
        <v>1191.3</v>
      </c>
      <c r="EZ27" s="63" t="n">
        <v>1173.7</v>
      </c>
      <c r="FA27" s="63" t="n">
        <v>1139.8</v>
      </c>
      <c r="FB27" s="63" t="n">
        <v>921.2</v>
      </c>
      <c r="FC27" s="63" t="n">
        <v>855.5</v>
      </c>
      <c r="FD27" s="63" t="n">
        <v>842</v>
      </c>
      <c r="FE27" s="63" t="n">
        <v>847.5</v>
      </c>
      <c r="FF27" s="63" t="n">
        <v>903.4</v>
      </c>
      <c r="FG27" s="63" t="n">
        <v>935.2</v>
      </c>
      <c r="FH27" s="63" t="n">
        <v>958.5</v>
      </c>
      <c r="FI27" s="63" t="n">
        <v>977.2</v>
      </c>
      <c r="FJ27" s="63" t="n">
        <v>1111.4</v>
      </c>
      <c r="FK27" s="63" t="n">
        <v>1126.5</v>
      </c>
      <c r="FL27" s="63" t="n">
        <v>1144.2</v>
      </c>
      <c r="FM27" s="63" t="n">
        <v>1141</v>
      </c>
      <c r="FN27" s="63" t="n">
        <v>1138.3</v>
      </c>
      <c r="FO27" s="63" t="n">
        <v>1150.6</v>
      </c>
      <c r="FP27" s="63" t="n">
        <v>1163.8</v>
      </c>
      <c r="FQ27" s="63" t="n">
        <v>1212.9</v>
      </c>
      <c r="FR27" s="63" t="n">
        <v>1273.5</v>
      </c>
      <c r="FS27" s="63" t="n">
        <v>1296.4</v>
      </c>
      <c r="FT27" s="63" t="n">
        <v>1308.3</v>
      </c>
      <c r="FU27" s="63" t="n">
        <v>1333.2</v>
      </c>
      <c r="FV27" s="63" t="n">
        <v>1369.1</v>
      </c>
      <c r="FW27" s="63" t="n">
        <v>1389</v>
      </c>
      <c r="FX27" s="63" t="n">
        <v>1413.3</v>
      </c>
      <c r="FY27" s="63" t="n">
        <v>1443.5</v>
      </c>
      <c r="FZ27" s="63" t="n">
        <v>1509.1</v>
      </c>
      <c r="GA27" s="63" t="n">
        <v>1527.7</v>
      </c>
      <c r="GB27" s="63" t="n">
        <v>1540.9</v>
      </c>
      <c r="GC27" s="63" t="n">
        <v>1552.6</v>
      </c>
      <c r="GD27" s="63" t="n">
        <v>1526.8</v>
      </c>
      <c r="GE27" s="63" t="n">
        <v>1536.7</v>
      </c>
      <c r="GF27" s="63" t="n">
        <v>1553.8</v>
      </c>
      <c r="GG27" s="63" t="n">
        <v>1574.5</v>
      </c>
      <c r="GH27" s="63" t="n">
        <v>1580</v>
      </c>
      <c r="GI27" s="63" t="n">
        <v>1600.1</v>
      </c>
      <c r="GJ27" s="63" t="n">
        <v>1623.2</v>
      </c>
      <c r="GK27" s="63" t="n">
        <v>1649.1</v>
      </c>
      <c r="GL27" s="63" t="n">
        <v>1597.1</v>
      </c>
      <c r="GM27" s="63" t="n">
        <v>1607</v>
      </c>
      <c r="GN27" s="63" t="n">
        <v>1625.5</v>
      </c>
      <c r="GO27" s="63" t="n">
        <v>1630.1</v>
      </c>
      <c r="GP27" s="63" t="n">
        <v>1687.7</v>
      </c>
      <c r="GQ27" s="63" t="n">
        <v>1692.6</v>
      </c>
      <c r="GR27" s="63" t="n">
        <v>1700.6</v>
      </c>
      <c r="GS27" s="63" t="n">
        <v>1726.4</v>
      </c>
      <c r="GT27" s="63" t="n">
        <v>1751.6</v>
      </c>
      <c r="GU27" s="63" t="n">
        <v>1610.2</v>
      </c>
      <c r="GV27" s="63" t="n">
        <v>1722.1</v>
      </c>
      <c r="GW27" s="63" t="n">
        <v>1837.8</v>
      </c>
      <c r="GX27" s="63" t="n">
        <v>1965.4</v>
      </c>
      <c r="GY27" s="63" t="n">
        <v>2071.9</v>
      </c>
      <c r="GZ27" s="63" t="n">
        <v>2158.8</v>
      </c>
      <c r="HA27" s="63" t="n">
        <v>2235.2</v>
      </c>
      <c r="HB27" s="63" t="n">
        <v>2564.1</v>
      </c>
      <c r="HC27" t="n">
        <v>2598.6</v>
      </c>
      <c r="HD27" t="n">
        <v>2641.7</v>
      </c>
      <c r="HE27" t="n">
        <v>2650.4</v>
      </c>
    </row>
    <row r="28">
      <c r="A28" s="63" t="s">
        <v>2462</v>
      </c>
      <c r="B28" s="63" t="n">
        <v>17.9</v>
      </c>
      <c r="C28" s="63" t="n">
        <v>18.1</v>
      </c>
      <c r="D28" s="63" t="n">
        <v>18.2</v>
      </c>
      <c r="E28" s="63" t="n">
        <v>18.2</v>
      </c>
      <c r="F28" s="63" t="n">
        <v>19.4</v>
      </c>
      <c r="G28" s="63" t="n">
        <v>18.7</v>
      </c>
      <c r="H28" s="63" t="n">
        <v>18.9</v>
      </c>
      <c r="I28" s="63" t="n">
        <v>19</v>
      </c>
      <c r="J28" s="63" t="n">
        <v>18.2</v>
      </c>
      <c r="K28" s="63" t="n">
        <v>18.3</v>
      </c>
      <c r="L28" s="63" t="n">
        <v>18.5</v>
      </c>
      <c r="M28" s="63" t="n">
        <v>19</v>
      </c>
      <c r="N28" s="63" t="n">
        <v>19.5</v>
      </c>
      <c r="O28" s="63" t="n">
        <v>19.9</v>
      </c>
      <c r="P28" s="63" t="n">
        <v>19.7</v>
      </c>
      <c r="Q28" s="63" t="n">
        <v>20.1</v>
      </c>
      <c r="R28" s="63" t="n">
        <v>19.8</v>
      </c>
      <c r="S28" s="63" t="n">
        <v>20.1</v>
      </c>
      <c r="T28" s="63" t="n">
        <v>20.2</v>
      </c>
      <c r="U28" s="63" t="n">
        <v>20.2</v>
      </c>
      <c r="V28" s="63" t="n">
        <v>19.8</v>
      </c>
      <c r="W28" s="63" t="n">
        <v>21.3</v>
      </c>
      <c r="X28" s="63" t="n">
        <v>23.3</v>
      </c>
      <c r="Y28" s="63" t="n">
        <v>23.9</v>
      </c>
      <c r="Z28" s="63" t="n">
        <v>20.8</v>
      </c>
      <c r="AA28" s="63" t="n">
        <v>21.3</v>
      </c>
      <c r="AB28" s="63" t="n">
        <v>21.7</v>
      </c>
      <c r="AC28" s="63" t="n">
        <v>21.7</v>
      </c>
      <c r="AD28" s="63" t="n">
        <v>22</v>
      </c>
      <c r="AE28" s="63" t="n">
        <v>22.5</v>
      </c>
      <c r="AF28" s="63" t="n">
        <v>23.2</v>
      </c>
      <c r="AG28" s="63" t="n">
        <v>23.2</v>
      </c>
      <c r="AH28" s="63" t="n">
        <v>24</v>
      </c>
      <c r="AI28" s="63" t="n">
        <v>25.4</v>
      </c>
      <c r="AJ28" s="63" t="n">
        <v>25.5</v>
      </c>
      <c r="AK28" s="63" t="n">
        <v>26.3</v>
      </c>
      <c r="AL28" s="63" t="n">
        <v>25.9</v>
      </c>
      <c r="AM28" s="63" t="n">
        <v>25.9</v>
      </c>
      <c r="AN28" s="63" t="n">
        <v>25.3</v>
      </c>
      <c r="AO28" s="63" t="n">
        <v>25.6</v>
      </c>
      <c r="AP28" s="63" t="n">
        <v>27.6</v>
      </c>
      <c r="AQ28" s="63" t="n">
        <v>33.6</v>
      </c>
      <c r="AR28" s="63" t="n">
        <v>36.1</v>
      </c>
      <c r="AS28" s="63" t="n">
        <v>37.3</v>
      </c>
      <c r="AT28" s="63" t="n">
        <v>50.7</v>
      </c>
      <c r="AU28" s="63" t="n">
        <v>51.8</v>
      </c>
      <c r="AV28" s="63" t="n">
        <v>49.1</v>
      </c>
      <c r="AW28" s="63" t="n">
        <v>48.1</v>
      </c>
      <c r="AX28" s="63" t="n">
        <v>43.5</v>
      </c>
      <c r="AY28" s="63" t="n">
        <v>40</v>
      </c>
      <c r="AZ28" s="63" t="n">
        <v>40.1</v>
      </c>
      <c r="BA28" s="63" t="n">
        <v>40.3</v>
      </c>
      <c r="BB28" s="63" t="n">
        <v>41.1</v>
      </c>
      <c r="BC28" s="63" t="n">
        <v>45.3</v>
      </c>
      <c r="BD28" s="63" t="n">
        <v>45.5</v>
      </c>
      <c r="BE28" s="63" t="n">
        <v>45.8</v>
      </c>
      <c r="BF28" s="63" t="n">
        <v>47</v>
      </c>
      <c r="BG28" s="63" t="n">
        <v>47.5</v>
      </c>
      <c r="BH28" s="63" t="n">
        <v>47.4</v>
      </c>
      <c r="BI28" s="63" t="n">
        <v>47.3</v>
      </c>
      <c r="BJ28" s="63" t="n">
        <v>46.4</v>
      </c>
      <c r="BK28" s="63" t="n">
        <v>45.7</v>
      </c>
      <c r="BL28" s="63" t="n">
        <v>46.8</v>
      </c>
      <c r="BM28" s="63" t="n">
        <v>45.4</v>
      </c>
      <c r="BN28" s="63" t="n">
        <v>44.5</v>
      </c>
      <c r="BO28" s="63" t="n">
        <v>42.9</v>
      </c>
      <c r="BP28" s="63" t="n">
        <v>43.8</v>
      </c>
      <c r="BQ28" s="63" t="n">
        <v>43.6</v>
      </c>
      <c r="BR28" s="63" t="n">
        <v>44.1</v>
      </c>
      <c r="BS28" s="63" t="n">
        <v>45.8</v>
      </c>
      <c r="BT28" s="63" t="n">
        <v>46.4</v>
      </c>
      <c r="BU28" s="63" t="n">
        <v>47.4</v>
      </c>
      <c r="BV28" s="63" t="n">
        <v>49.6</v>
      </c>
      <c r="BW28" s="63" t="n">
        <v>49.3</v>
      </c>
      <c r="BX28" s="63" t="n">
        <v>50.2</v>
      </c>
      <c r="BY28" s="63" t="n">
        <v>50.2</v>
      </c>
      <c r="BZ28" s="63" t="n">
        <v>50.8</v>
      </c>
      <c r="CA28" s="63" t="n">
        <v>49.2</v>
      </c>
      <c r="CB28" s="63" t="n">
        <v>50</v>
      </c>
      <c r="CC28" s="63" t="n">
        <v>48.9</v>
      </c>
      <c r="CD28" s="63" t="n">
        <v>50.3</v>
      </c>
      <c r="CE28" s="63" t="n">
        <v>50.8</v>
      </c>
      <c r="CF28" s="63" t="n">
        <v>51.1</v>
      </c>
      <c r="CG28" s="63" t="n">
        <v>51.5</v>
      </c>
      <c r="CH28" s="63" t="n">
        <v>59.7</v>
      </c>
      <c r="CI28" s="63" t="n">
        <v>61.3</v>
      </c>
      <c r="CJ28" s="63" t="n">
        <v>61.8</v>
      </c>
      <c r="CK28" s="63" t="n">
        <v>64.2</v>
      </c>
      <c r="CL28" s="63" t="n">
        <v>63.6</v>
      </c>
      <c r="CM28" s="63" t="n">
        <v>63.1</v>
      </c>
      <c r="CN28" s="63" t="n">
        <v>61.9</v>
      </c>
      <c r="CO28" s="63" t="n">
        <v>64.6</v>
      </c>
      <c r="CP28" s="63" t="n">
        <v>62.2</v>
      </c>
      <c r="CQ28" s="63" t="n">
        <v>64.8</v>
      </c>
      <c r="CR28" s="63" t="n">
        <v>65.4</v>
      </c>
      <c r="CS28" s="63" t="n">
        <v>73.1</v>
      </c>
      <c r="CT28" s="63" t="n">
        <v>75.5</v>
      </c>
      <c r="CU28" s="63" t="n">
        <v>78.6</v>
      </c>
      <c r="CV28" s="63" t="n">
        <v>80.5</v>
      </c>
      <c r="CW28" s="63" t="n">
        <v>81.4</v>
      </c>
      <c r="CX28" s="63" t="n">
        <v>76.6</v>
      </c>
      <c r="CY28" s="63" t="n">
        <v>75.7</v>
      </c>
      <c r="CZ28" s="63" t="n">
        <v>75.4</v>
      </c>
      <c r="DA28" s="63" t="n">
        <v>74.5</v>
      </c>
      <c r="DB28" s="63" t="n">
        <v>72.6</v>
      </c>
      <c r="DC28" s="63" t="n">
        <v>71.2</v>
      </c>
      <c r="DD28" s="63" t="n">
        <v>71.7</v>
      </c>
      <c r="DE28" s="63" t="n">
        <v>75.9</v>
      </c>
      <c r="DF28" s="63" t="n">
        <v>72</v>
      </c>
      <c r="DG28" s="63" t="n">
        <v>79.7</v>
      </c>
      <c r="DH28" s="63" t="n">
        <v>79.9</v>
      </c>
      <c r="DI28" s="63" t="n">
        <v>79.7</v>
      </c>
      <c r="DJ28" s="63" t="n">
        <v>79.5</v>
      </c>
      <c r="DK28" s="63" t="n">
        <v>80.1</v>
      </c>
      <c r="DL28" s="63" t="n">
        <v>81.5</v>
      </c>
      <c r="DM28" s="63" t="n">
        <v>81.7</v>
      </c>
      <c r="DN28" s="63" t="n">
        <v>81.3</v>
      </c>
      <c r="DO28" s="63" t="n">
        <v>81.6</v>
      </c>
      <c r="DP28" s="63" t="n">
        <v>83.8</v>
      </c>
      <c r="DQ28" s="63" t="n">
        <v>87</v>
      </c>
      <c r="DR28" s="63" t="n">
        <v>86.1</v>
      </c>
      <c r="DS28" s="63" t="n">
        <v>88.4</v>
      </c>
      <c r="DT28" s="63" t="n">
        <v>87.5</v>
      </c>
      <c r="DU28" s="63" t="n">
        <v>87</v>
      </c>
      <c r="DV28" s="63" t="n">
        <v>87.1</v>
      </c>
      <c r="DW28" s="63" t="n">
        <v>86.3</v>
      </c>
      <c r="DX28" s="63" t="n">
        <v>83.6</v>
      </c>
      <c r="DY28" s="63" t="n">
        <v>84.1</v>
      </c>
      <c r="DZ28" s="63" t="n">
        <v>84.7</v>
      </c>
      <c r="EA28" s="63" t="n">
        <v>87.3</v>
      </c>
      <c r="EB28" s="63" t="n">
        <v>88</v>
      </c>
      <c r="EC28" s="63" t="n">
        <v>87.3</v>
      </c>
      <c r="ED28" s="63" t="n">
        <v>90.1</v>
      </c>
      <c r="EE28" s="63" t="n">
        <v>90</v>
      </c>
      <c r="EF28" s="63" t="n">
        <v>89.6</v>
      </c>
      <c r="EG28" s="63" t="n">
        <v>91.1</v>
      </c>
      <c r="EH28" s="63" t="n">
        <v>94.1</v>
      </c>
      <c r="EI28" s="63" t="n">
        <v>94.8</v>
      </c>
      <c r="EJ28" s="63" t="n">
        <v>95.9</v>
      </c>
      <c r="EK28" s="63" t="n">
        <v>96.2</v>
      </c>
      <c r="EL28" s="63" t="n">
        <v>97.2</v>
      </c>
      <c r="EM28" s="63" t="n">
        <v>101.4</v>
      </c>
      <c r="EN28" s="63" t="n">
        <v>100.3</v>
      </c>
      <c r="EO28" s="63" t="n">
        <v>98.7</v>
      </c>
      <c r="EP28" s="63" t="n">
        <v>99.1</v>
      </c>
      <c r="EQ28" s="63" t="n">
        <v>99.5</v>
      </c>
      <c r="ER28" s="63" t="n">
        <v>100.2</v>
      </c>
      <c r="ES28" s="63" t="n">
        <v>98.1</v>
      </c>
      <c r="ET28" s="63" t="n">
        <v>93.9</v>
      </c>
      <c r="EU28" s="63" t="n">
        <v>93.7</v>
      </c>
      <c r="EV28" s="63" t="n">
        <v>95.4</v>
      </c>
      <c r="EW28" s="63" t="n">
        <v>95.5</v>
      </c>
      <c r="EX28" s="63" t="n">
        <v>93.2</v>
      </c>
      <c r="EY28" s="63" t="n">
        <v>95.3</v>
      </c>
      <c r="EZ28" s="63" t="n">
        <v>93.7</v>
      </c>
      <c r="FA28" s="63" t="n">
        <v>93.7</v>
      </c>
      <c r="FB28" s="63" t="n">
        <v>86.7</v>
      </c>
      <c r="FC28" s="63" t="n">
        <v>94.3</v>
      </c>
      <c r="FD28" s="63" t="n">
        <v>91.4</v>
      </c>
      <c r="FE28" s="63" t="n">
        <v>93.2</v>
      </c>
      <c r="FF28" s="63" t="n">
        <v>93.1</v>
      </c>
      <c r="FG28" s="63" t="n">
        <v>96.4</v>
      </c>
      <c r="FH28" s="63" t="n">
        <v>98.9</v>
      </c>
      <c r="FI28" s="63" t="n">
        <v>98.7</v>
      </c>
      <c r="FJ28" s="63" t="n">
        <v>104.7</v>
      </c>
      <c r="FK28" s="63" t="n">
        <v>109.1</v>
      </c>
      <c r="FL28" s="63" t="n">
        <v>109.4</v>
      </c>
      <c r="FM28" s="63" t="n">
        <v>111.4</v>
      </c>
      <c r="FN28" s="63" t="n">
        <v>113.9</v>
      </c>
      <c r="FO28" s="63" t="n">
        <v>114.4</v>
      </c>
      <c r="FP28" s="63" t="n">
        <v>114.7</v>
      </c>
      <c r="FQ28" s="63" t="n">
        <v>117.6</v>
      </c>
      <c r="FR28" s="63" t="n">
        <v>122.3</v>
      </c>
      <c r="FS28" s="63" t="n">
        <v>124.4</v>
      </c>
      <c r="FT28" s="63" t="n">
        <v>126.4</v>
      </c>
      <c r="FU28" s="63" t="n">
        <v>128.8</v>
      </c>
      <c r="FV28" s="63" t="n">
        <v>136.6</v>
      </c>
      <c r="FW28" s="63" t="n">
        <v>135.3</v>
      </c>
      <c r="FX28" s="63" t="n">
        <v>136.9</v>
      </c>
      <c r="FY28" s="63" t="n">
        <v>136.4</v>
      </c>
      <c r="FZ28" s="63" t="n">
        <v>139.9</v>
      </c>
      <c r="GA28" s="63" t="n">
        <v>143.5</v>
      </c>
      <c r="GB28" s="63" t="n">
        <v>136.1</v>
      </c>
      <c r="GC28" s="63" t="n">
        <v>141.7</v>
      </c>
      <c r="GD28" s="63" t="n">
        <v>138.2</v>
      </c>
      <c r="GE28" s="63" t="n">
        <v>135.7</v>
      </c>
      <c r="GF28" s="63" t="n">
        <v>136</v>
      </c>
      <c r="GG28" s="63" t="n">
        <v>136.1</v>
      </c>
      <c r="GH28" s="63" t="n">
        <v>127.5</v>
      </c>
      <c r="GI28" s="63" t="n">
        <v>131.7</v>
      </c>
      <c r="GJ28" s="63" t="n">
        <v>131.9</v>
      </c>
      <c r="GK28" s="63" t="n">
        <v>134.9</v>
      </c>
      <c r="GL28" s="63" t="n">
        <v>150.5</v>
      </c>
      <c r="GM28" s="63" t="n">
        <v>156.1</v>
      </c>
      <c r="GN28" s="63" t="n">
        <v>163.3</v>
      </c>
      <c r="GO28" s="63" t="n">
        <v>185.4</v>
      </c>
      <c r="GP28" s="63" t="n">
        <v>174.6</v>
      </c>
      <c r="GQ28" s="63" t="n">
        <v>171.3</v>
      </c>
      <c r="GR28" s="63" t="n">
        <v>176.3</v>
      </c>
      <c r="GS28" s="63" t="n">
        <v>176.9</v>
      </c>
      <c r="GT28" s="63" t="n">
        <v>186.6</v>
      </c>
      <c r="GU28" s="63" t="n">
        <v>132.6</v>
      </c>
      <c r="GV28" s="63" t="n">
        <v>149.1</v>
      </c>
      <c r="GW28" s="63" t="n">
        <v>155</v>
      </c>
      <c r="GX28" s="63" t="n">
        <v>156.6</v>
      </c>
      <c r="GY28" s="63" t="n">
        <v>177.3</v>
      </c>
      <c r="GZ28" s="63" t="n">
        <v>176.8</v>
      </c>
      <c r="HA28" s="63" t="n">
        <v>187.6</v>
      </c>
      <c r="HB28" s="63" t="n">
        <v>202.4</v>
      </c>
      <c r="HC28" t="n">
        <v>209.4</v>
      </c>
      <c r="HD28" t="n">
        <v>202.8</v>
      </c>
      <c r="HE28" t="n">
        <v>192.5</v>
      </c>
    </row>
    <row r="29">
      <c r="A29" s="63" t="s">
        <v>2463</v>
      </c>
      <c r="B29" s="63" t="n">
        <v>27</v>
      </c>
      <c r="C29" s="63" t="n">
        <v>27</v>
      </c>
      <c r="D29" s="63" t="n">
        <v>27.9</v>
      </c>
      <c r="E29" s="63" t="n">
        <v>26.6</v>
      </c>
      <c r="F29" s="63" t="n">
        <v>29.9</v>
      </c>
      <c r="G29" s="63" t="n">
        <v>30.7</v>
      </c>
      <c r="H29" s="63" t="n">
        <v>29.8</v>
      </c>
      <c r="I29" s="63" t="n">
        <v>30.1</v>
      </c>
      <c r="J29" s="63" t="n">
        <v>31.8</v>
      </c>
      <c r="K29" s="63" t="n">
        <v>32</v>
      </c>
      <c r="L29" s="63" t="n">
        <v>33.1</v>
      </c>
      <c r="M29" s="63" t="n">
        <v>36.6</v>
      </c>
      <c r="N29" s="63" t="n">
        <v>39.3</v>
      </c>
      <c r="O29" s="63" t="n">
        <v>39.4</v>
      </c>
      <c r="P29" s="63" t="n">
        <v>37.6</v>
      </c>
      <c r="Q29" s="63" t="n">
        <v>39.4</v>
      </c>
      <c r="R29" s="63" t="n">
        <v>37.4</v>
      </c>
      <c r="S29" s="63" t="n">
        <v>39.3</v>
      </c>
      <c r="T29" s="63" t="n">
        <v>43.5</v>
      </c>
      <c r="U29" s="63" t="n">
        <v>38.1</v>
      </c>
      <c r="V29" s="63" t="n">
        <v>31.5</v>
      </c>
      <c r="W29" s="63" t="n">
        <v>34.2</v>
      </c>
      <c r="X29" s="63" t="n">
        <v>43.2</v>
      </c>
      <c r="Y29" s="63" t="n">
        <v>43.9</v>
      </c>
      <c r="Z29" s="63" t="n">
        <v>49.9</v>
      </c>
      <c r="AA29" s="63" t="n">
        <v>49</v>
      </c>
      <c r="AB29" s="63" t="n">
        <v>48.5</v>
      </c>
      <c r="AC29" s="63" t="n">
        <v>47.5</v>
      </c>
      <c r="AD29" s="63" t="n">
        <v>51</v>
      </c>
      <c r="AE29" s="63" t="n">
        <v>55.7</v>
      </c>
      <c r="AF29" s="63" t="n">
        <v>57.9</v>
      </c>
      <c r="AG29" s="63" t="n">
        <v>58.1</v>
      </c>
      <c r="AH29" s="63" t="n">
        <v>54.4</v>
      </c>
      <c r="AI29" s="63" t="n">
        <v>66.2</v>
      </c>
      <c r="AJ29" s="63" t="n">
        <v>66.7</v>
      </c>
      <c r="AK29" s="63" t="n">
        <v>70.3</v>
      </c>
      <c r="AL29" s="63" t="n">
        <v>66.6</v>
      </c>
      <c r="AM29" s="63" t="n">
        <v>66.5</v>
      </c>
      <c r="AN29" s="63" t="n">
        <v>65.3</v>
      </c>
      <c r="AO29" s="63" t="n">
        <v>62.1</v>
      </c>
      <c r="AP29" s="63" t="n">
        <v>67</v>
      </c>
      <c r="AQ29" s="63" t="n">
        <v>49.8</v>
      </c>
      <c r="AR29" s="63" t="n">
        <v>56</v>
      </c>
      <c r="AS29" s="63" t="n">
        <v>61.7</v>
      </c>
      <c r="AT29" s="63" t="n">
        <v>58.5</v>
      </c>
      <c r="AU29" s="63" t="n">
        <v>50.7</v>
      </c>
      <c r="AV29" s="63" t="n">
        <v>52.7</v>
      </c>
      <c r="AW29" s="63" t="n">
        <v>44.8</v>
      </c>
      <c r="AX29" s="63" t="n">
        <v>33.5</v>
      </c>
      <c r="AY29" s="63" t="n">
        <v>34.7</v>
      </c>
      <c r="AZ29" s="63" t="n">
        <v>35.4</v>
      </c>
      <c r="BA29" s="63" t="n">
        <v>31.7</v>
      </c>
      <c r="BB29" s="63" t="n">
        <v>34.3</v>
      </c>
      <c r="BC29" s="63" t="n">
        <v>46.3</v>
      </c>
      <c r="BD29" s="63" t="n">
        <v>53.3</v>
      </c>
      <c r="BE29" s="63" t="n">
        <v>54.6</v>
      </c>
      <c r="BF29" s="63" t="n">
        <v>64.8</v>
      </c>
      <c r="BG29" s="63" t="n">
        <v>63.8</v>
      </c>
      <c r="BH29" s="63" t="n">
        <v>53.8</v>
      </c>
      <c r="BI29" s="63" t="n">
        <v>54.3</v>
      </c>
      <c r="BJ29" s="63" t="n">
        <v>57.7</v>
      </c>
      <c r="BK29" s="63" t="n">
        <v>56.3</v>
      </c>
      <c r="BL29" s="63" t="n">
        <v>60.8</v>
      </c>
      <c r="BM29" s="63" t="n">
        <v>59</v>
      </c>
      <c r="BN29" s="63" t="n">
        <v>63</v>
      </c>
      <c r="BO29" s="63" t="n">
        <v>63.4</v>
      </c>
      <c r="BP29" s="63" t="n">
        <v>64.6</v>
      </c>
      <c r="BQ29" s="63" t="n">
        <v>73.1</v>
      </c>
      <c r="BR29" s="63" t="n">
        <v>76</v>
      </c>
      <c r="BS29" s="63" t="n">
        <v>87.3</v>
      </c>
      <c r="BT29" s="63" t="n">
        <v>91.3</v>
      </c>
      <c r="BU29" s="63" t="n">
        <v>87.1</v>
      </c>
      <c r="BV29" s="63" t="n">
        <v>84.5</v>
      </c>
      <c r="BW29" s="63" t="n">
        <v>90</v>
      </c>
      <c r="BX29" s="63" t="n">
        <v>97.8</v>
      </c>
      <c r="BY29" s="63" t="n">
        <v>102.7</v>
      </c>
      <c r="BZ29" s="63" t="n">
        <v>104.9</v>
      </c>
      <c r="CA29" s="63" t="n">
        <v>94.4</v>
      </c>
      <c r="CB29" s="63" t="n">
        <v>91.6</v>
      </c>
      <c r="CC29" s="63" t="n">
        <v>91.4</v>
      </c>
      <c r="CD29" s="63" t="n">
        <v>91.1</v>
      </c>
      <c r="CE29" s="63" t="n">
        <v>94.7</v>
      </c>
      <c r="CF29" s="63" t="n">
        <v>97</v>
      </c>
      <c r="CG29" s="63" t="n">
        <v>95.4</v>
      </c>
      <c r="CH29" s="63" t="n">
        <v>91.5</v>
      </c>
      <c r="CI29" s="63" t="n">
        <v>87.5</v>
      </c>
      <c r="CJ29" s="63" t="n">
        <v>88.2</v>
      </c>
      <c r="CK29" s="63" t="n">
        <v>89.5</v>
      </c>
      <c r="CL29" s="63" t="n">
        <v>99.8</v>
      </c>
      <c r="CM29" s="63" t="n">
        <v>102</v>
      </c>
      <c r="CN29" s="63" t="n">
        <v>98.9</v>
      </c>
      <c r="CO29" s="63" t="n">
        <v>107.2</v>
      </c>
      <c r="CP29" s="63" t="n">
        <v>111.5</v>
      </c>
      <c r="CQ29" s="63" t="n">
        <v>121.9</v>
      </c>
      <c r="CR29" s="63" t="n">
        <v>115.5</v>
      </c>
      <c r="CS29" s="63" t="n">
        <v>141</v>
      </c>
      <c r="CT29" s="63" t="n">
        <v>122.4</v>
      </c>
      <c r="CU29" s="63" t="n">
        <v>129.3</v>
      </c>
      <c r="CV29" s="63" t="n">
        <v>142.4</v>
      </c>
      <c r="CW29" s="63" t="n">
        <v>150.9</v>
      </c>
      <c r="CX29" s="63" t="n">
        <v>155.3</v>
      </c>
      <c r="CY29" s="63" t="n">
        <v>153.1</v>
      </c>
      <c r="CZ29" s="63" t="n">
        <v>159.1</v>
      </c>
      <c r="DA29" s="63" t="n">
        <v>156.2</v>
      </c>
      <c r="DB29" s="63" t="n">
        <v>162.4</v>
      </c>
      <c r="DC29" s="63" t="n">
        <v>171.9</v>
      </c>
      <c r="DD29" s="63" t="n">
        <v>172.6</v>
      </c>
      <c r="DE29" s="63" t="n">
        <v>175.3</v>
      </c>
      <c r="DF29" s="63" t="n">
        <v>176.9</v>
      </c>
      <c r="DG29" s="63" t="n">
        <v>180.5</v>
      </c>
      <c r="DH29" s="63" t="n">
        <v>190.5</v>
      </c>
      <c r="DI29" s="63" t="n">
        <v>181.5</v>
      </c>
      <c r="DJ29" s="63" t="n">
        <v>178.8</v>
      </c>
      <c r="DK29" s="63" t="n">
        <v>175.4</v>
      </c>
      <c r="DL29" s="63" t="n">
        <v>180.1</v>
      </c>
      <c r="DM29" s="63" t="n">
        <v>176.4</v>
      </c>
      <c r="DN29" s="63" t="n">
        <v>186</v>
      </c>
      <c r="DO29" s="63" t="n">
        <v>184.4</v>
      </c>
      <c r="DP29" s="63" t="n">
        <v>187.7</v>
      </c>
      <c r="DQ29" s="63" t="n">
        <v>192.1</v>
      </c>
      <c r="DR29" s="63" t="n">
        <v>202.2</v>
      </c>
      <c r="DS29" s="63" t="n">
        <v>201.1</v>
      </c>
      <c r="DT29" s="63" t="n">
        <v>185.6</v>
      </c>
      <c r="DU29" s="63" t="n">
        <v>187.6</v>
      </c>
      <c r="DV29" s="63" t="n">
        <v>154.9</v>
      </c>
      <c r="DW29" s="63" t="n">
        <v>148.7</v>
      </c>
      <c r="DX29" s="63" t="n">
        <v>130.9</v>
      </c>
      <c r="DY29" s="63" t="n">
        <v>115.8</v>
      </c>
      <c r="DZ29" s="63" t="n">
        <v>115.5</v>
      </c>
      <c r="EA29" s="63" t="n">
        <v>119.9</v>
      </c>
      <c r="EB29" s="63" t="n">
        <v>126.5</v>
      </c>
      <c r="EC29" s="63" t="n">
        <v>142</v>
      </c>
      <c r="ED29" s="63" t="n">
        <v>161.5</v>
      </c>
      <c r="EE29" s="63" t="n">
        <v>160.9</v>
      </c>
      <c r="EF29" s="63" t="n">
        <v>180.3</v>
      </c>
      <c r="EG29" s="63" t="n">
        <v>200.4</v>
      </c>
      <c r="EH29" s="63" t="n">
        <v>209.2</v>
      </c>
      <c r="EI29" s="63" t="n">
        <v>226</v>
      </c>
      <c r="EJ29" s="63" t="n">
        <v>244.5</v>
      </c>
      <c r="EK29" s="63" t="n">
        <v>249.2</v>
      </c>
      <c r="EL29" s="63" t="n">
        <v>315.3</v>
      </c>
      <c r="EM29" s="63" t="n">
        <v>306.1</v>
      </c>
      <c r="EN29" s="63" t="n">
        <v>311.9</v>
      </c>
      <c r="EO29" s="63" t="n">
        <v>344.7</v>
      </c>
      <c r="EP29" s="63" t="n">
        <v>357.2</v>
      </c>
      <c r="EQ29" s="63" t="n">
        <v>367.3</v>
      </c>
      <c r="ER29" s="63" t="n">
        <v>384.8</v>
      </c>
      <c r="ES29" s="63" t="n">
        <v>354.6</v>
      </c>
      <c r="ET29" s="63" t="n">
        <v>354.5</v>
      </c>
      <c r="EU29" s="63" t="n">
        <v>347.7</v>
      </c>
      <c r="EV29" s="63" t="n">
        <v>314.6</v>
      </c>
      <c r="EW29" s="63" t="n">
        <v>296.2</v>
      </c>
      <c r="EX29" s="63" t="n">
        <v>241.7</v>
      </c>
      <c r="EY29" s="63" t="n">
        <v>227.1</v>
      </c>
      <c r="EZ29" s="63" t="n">
        <v>211.5</v>
      </c>
      <c r="FA29" s="63" t="n">
        <v>127.5</v>
      </c>
      <c r="FB29" s="63" t="n">
        <v>122.7</v>
      </c>
      <c r="FC29" s="63" t="n">
        <v>138.9</v>
      </c>
      <c r="FD29" s="63" t="n">
        <v>159.4</v>
      </c>
      <c r="FE29" s="63" t="n">
        <v>190.8</v>
      </c>
      <c r="FF29" s="63" t="n">
        <v>204.7</v>
      </c>
      <c r="FG29" s="63" t="n">
        <v>212.2</v>
      </c>
      <c r="FH29" s="63" t="n">
        <v>227.1</v>
      </c>
      <c r="FI29" s="63" t="n">
        <v>233.6</v>
      </c>
      <c r="FJ29" s="63" t="n">
        <v>228.9</v>
      </c>
      <c r="FK29" s="63" t="n">
        <v>227.2</v>
      </c>
      <c r="FL29" s="63" t="n">
        <v>201.7</v>
      </c>
      <c r="FM29" s="63" t="n">
        <v>238</v>
      </c>
      <c r="FN29" s="63" t="n">
        <v>261.5</v>
      </c>
      <c r="FO29" s="63" t="n">
        <v>275.5</v>
      </c>
      <c r="FP29" s="63" t="n">
        <v>280.8</v>
      </c>
      <c r="FQ29" s="63" t="n">
        <v>280.9</v>
      </c>
      <c r="FR29" s="63" t="n">
        <v>297</v>
      </c>
      <c r="FS29" s="63" t="n">
        <v>293.2</v>
      </c>
      <c r="FT29" s="63" t="n">
        <v>301.2</v>
      </c>
      <c r="FU29" s="63" t="n">
        <v>302.3</v>
      </c>
      <c r="FV29" s="63" t="n">
        <v>336.4</v>
      </c>
      <c r="FW29" s="63" t="n">
        <v>360</v>
      </c>
      <c r="FX29" s="63" t="n">
        <v>330.1</v>
      </c>
      <c r="FY29" s="63" t="n">
        <v>332.1</v>
      </c>
      <c r="FZ29" s="63" t="n">
        <v>345.9</v>
      </c>
      <c r="GA29" s="63" t="n">
        <v>351</v>
      </c>
      <c r="GB29" s="63" t="n">
        <v>323.8</v>
      </c>
      <c r="GC29" s="63" t="n">
        <v>295.6</v>
      </c>
      <c r="GD29" s="63" t="n">
        <v>310.6</v>
      </c>
      <c r="GE29" s="63" t="n">
        <v>315.2</v>
      </c>
      <c r="GF29" s="63" t="n">
        <v>322</v>
      </c>
      <c r="GG29" s="63" t="n">
        <v>299.6</v>
      </c>
      <c r="GH29" s="63" t="n">
        <v>211.7</v>
      </c>
      <c r="GI29" s="63" t="n">
        <v>225.4</v>
      </c>
      <c r="GJ29" s="63" t="n">
        <v>241.3</v>
      </c>
      <c r="GK29" s="63" t="n">
        <v>243</v>
      </c>
      <c r="GL29" s="63" t="n">
        <v>206.5</v>
      </c>
      <c r="GM29" s="63" t="n">
        <v>227.2</v>
      </c>
      <c r="GN29" s="63" t="n">
        <v>229</v>
      </c>
      <c r="GO29" s="63" t="n">
        <v>237.2</v>
      </c>
      <c r="GP29" s="63" t="n">
        <v>202.8</v>
      </c>
      <c r="GQ29" s="63" t="n">
        <v>215.9</v>
      </c>
      <c r="GR29" s="63" t="n">
        <v>196.9</v>
      </c>
      <c r="GS29" s="63" t="n">
        <v>226.2</v>
      </c>
      <c r="GT29" s="63" t="n">
        <v>183.1</v>
      </c>
      <c r="GU29" s="63" t="n">
        <v>177.8</v>
      </c>
      <c r="GV29" s="63" t="n">
        <v>218.4</v>
      </c>
      <c r="GW29" s="63" t="n">
        <v>226.5</v>
      </c>
      <c r="GX29" s="63" t="n">
        <v>249.6</v>
      </c>
      <c r="GY29" s="63" t="n">
        <v>281.4</v>
      </c>
      <c r="GZ29" s="63" t="n">
        <v>278.4</v>
      </c>
      <c r="HA29" s="63" t="n">
        <v>304.8</v>
      </c>
      <c r="HB29" t="n">
        <v>313.8</v>
      </c>
      <c r="HC29" t="n">
        <v>353.2</v>
      </c>
      <c r="HD29" t="n">
        <v>340.6</v>
      </c>
      <c r="HE29"/>
    </row>
    <row r="30">
      <c r="A30" s="63" t="s">
        <v>2464</v>
      </c>
      <c r="B30" s="63" t="n">
        <v>45.1</v>
      </c>
      <c r="C30" s="63" t="n">
        <v>45.4</v>
      </c>
      <c r="D30" s="63" t="n">
        <v>45.9</v>
      </c>
      <c r="E30" s="63" t="n">
        <v>45.6</v>
      </c>
      <c r="F30" s="63" t="n">
        <v>49.6</v>
      </c>
      <c r="G30" s="63" t="n">
        <v>50.2</v>
      </c>
      <c r="H30" s="63" t="n">
        <v>50.5</v>
      </c>
      <c r="I30" s="63" t="n">
        <v>51</v>
      </c>
      <c r="J30" s="63" t="n">
        <v>57.3</v>
      </c>
      <c r="K30" s="63" t="n">
        <v>57.9</v>
      </c>
      <c r="L30" s="63" t="n">
        <v>58.5</v>
      </c>
      <c r="M30" s="63" t="n">
        <v>59.4</v>
      </c>
      <c r="N30" s="63" t="n">
        <v>72.7</v>
      </c>
      <c r="O30" s="63" t="n">
        <v>73.8</v>
      </c>
      <c r="P30" s="63" t="n">
        <v>75.1</v>
      </c>
      <c r="Q30" s="63" t="n">
        <v>76.6</v>
      </c>
      <c r="R30" s="63" t="n">
        <v>82.1</v>
      </c>
      <c r="S30" s="63" t="n">
        <v>83.6</v>
      </c>
      <c r="T30" s="63" t="n">
        <v>85.2</v>
      </c>
      <c r="U30" s="63" t="n">
        <v>85.4</v>
      </c>
      <c r="V30" s="63" t="n">
        <v>86.5</v>
      </c>
      <c r="W30" s="63" t="n">
        <v>86.8</v>
      </c>
      <c r="X30" s="63" t="n">
        <v>88.5</v>
      </c>
      <c r="Y30" s="63" t="n">
        <v>90.5</v>
      </c>
      <c r="Z30" s="63" t="n">
        <v>97.5</v>
      </c>
      <c r="AA30" s="63" t="n">
        <v>98.9</v>
      </c>
      <c r="AB30" s="63" t="n">
        <v>100.6</v>
      </c>
      <c r="AC30" s="63" t="n">
        <v>102.1</v>
      </c>
      <c r="AD30" s="63" t="n">
        <v>107.5</v>
      </c>
      <c r="AE30" s="63" t="n">
        <v>110.1</v>
      </c>
      <c r="AF30" s="63" t="n">
        <v>112.2</v>
      </c>
      <c r="AG30" s="63" t="n">
        <v>114.4</v>
      </c>
      <c r="AH30" s="63" t="n">
        <v>121.6</v>
      </c>
      <c r="AI30" s="63" t="n">
        <v>126.5</v>
      </c>
      <c r="AJ30" s="63" t="n">
        <v>130.8</v>
      </c>
      <c r="AK30" s="63" t="n">
        <v>136</v>
      </c>
      <c r="AL30" s="63" t="n">
        <v>143.1</v>
      </c>
      <c r="AM30" s="63" t="n">
        <v>147.4</v>
      </c>
      <c r="AN30" s="63" t="n">
        <v>152.4</v>
      </c>
      <c r="AO30" s="63" t="n">
        <v>156.3</v>
      </c>
      <c r="AP30" s="63" t="n">
        <v>159.3</v>
      </c>
      <c r="AQ30" s="63" t="n">
        <v>161</v>
      </c>
      <c r="AR30" s="63" t="n">
        <v>164.2</v>
      </c>
      <c r="AS30" s="63" t="n">
        <v>170.1</v>
      </c>
      <c r="AT30" s="63" t="n">
        <v>187.3</v>
      </c>
      <c r="AU30" s="63" t="n">
        <v>190.9</v>
      </c>
      <c r="AV30" s="63" t="n">
        <v>195.6</v>
      </c>
      <c r="AW30" s="63" t="n">
        <v>198.2</v>
      </c>
      <c r="AX30" s="63" t="n">
        <v>203.2</v>
      </c>
      <c r="AY30" s="63" t="n">
        <v>205.2</v>
      </c>
      <c r="AZ30" s="63" t="n">
        <v>207.5</v>
      </c>
      <c r="BA30" s="63" t="n">
        <v>208.3</v>
      </c>
      <c r="BB30" s="63" t="n">
        <v>216.1</v>
      </c>
      <c r="BC30" s="63" t="n">
        <v>220.2</v>
      </c>
      <c r="BD30" s="63" t="n">
        <v>224.8</v>
      </c>
      <c r="BE30" s="63" t="n">
        <v>231.2</v>
      </c>
      <c r="BF30" s="63" t="n">
        <v>246.3</v>
      </c>
      <c r="BG30" s="63" t="n">
        <v>252.1</v>
      </c>
      <c r="BH30" s="63" t="n">
        <v>257.1</v>
      </c>
      <c r="BI30" s="63" t="n">
        <v>261.1</v>
      </c>
      <c r="BJ30" s="63" t="n">
        <v>271</v>
      </c>
      <c r="BK30" s="63" t="n">
        <v>275</v>
      </c>
      <c r="BL30" s="63" t="n">
        <v>279.7</v>
      </c>
      <c r="BM30" s="63" t="n">
        <v>285.9</v>
      </c>
      <c r="BN30" s="63" t="n">
        <v>292.7</v>
      </c>
      <c r="BO30" s="63" t="n">
        <v>296.1</v>
      </c>
      <c r="BP30" s="63" t="n">
        <v>300.8</v>
      </c>
      <c r="BQ30" s="63" t="n">
        <v>306.2</v>
      </c>
      <c r="BR30" s="63" t="n">
        <v>310.7</v>
      </c>
      <c r="BS30" s="63" t="n">
        <v>314.5</v>
      </c>
      <c r="BT30" s="63" t="n">
        <v>319</v>
      </c>
      <c r="BU30" s="63" t="n">
        <v>325.6</v>
      </c>
      <c r="BV30" s="63" t="n">
        <v>344.7</v>
      </c>
      <c r="BW30" s="63" t="n">
        <v>351.7</v>
      </c>
      <c r="BX30" s="63" t="n">
        <v>357.7</v>
      </c>
      <c r="BY30" s="63" t="n">
        <v>365</v>
      </c>
      <c r="BZ30" s="63" t="n">
        <v>370.9</v>
      </c>
      <c r="CA30" s="63" t="n">
        <v>375.4</v>
      </c>
      <c r="CB30" s="63" t="n">
        <v>379.8</v>
      </c>
      <c r="CC30" s="63" t="n">
        <v>385.6</v>
      </c>
      <c r="CD30" s="63" t="n">
        <v>394</v>
      </c>
      <c r="CE30" s="63" t="n">
        <v>399</v>
      </c>
      <c r="CF30" s="63" t="n">
        <v>406.4</v>
      </c>
      <c r="CG30" s="63" t="n">
        <v>408.9</v>
      </c>
      <c r="CH30" s="63" t="n">
        <v>412</v>
      </c>
      <c r="CI30" s="63" t="n">
        <v>418.3</v>
      </c>
      <c r="CJ30" s="63" t="n">
        <v>423.7</v>
      </c>
      <c r="CK30" s="63" t="n">
        <v>428.4</v>
      </c>
      <c r="CL30" s="63" t="n">
        <v>439.9</v>
      </c>
      <c r="CM30" s="63" t="n">
        <v>445.1</v>
      </c>
      <c r="CN30" s="63" t="n">
        <v>447.9</v>
      </c>
      <c r="CO30" s="63" t="n">
        <v>442.9</v>
      </c>
      <c r="CP30" s="63" t="n">
        <v>462.1</v>
      </c>
      <c r="CQ30" s="63" t="n">
        <v>462.4</v>
      </c>
      <c r="CR30" s="63" t="n">
        <v>466.8</v>
      </c>
      <c r="CS30" s="63" t="n">
        <v>470.8</v>
      </c>
      <c r="CT30" s="63" t="n">
        <v>485.8</v>
      </c>
      <c r="CU30" s="63" t="n">
        <v>493</v>
      </c>
      <c r="CV30" s="63" t="n">
        <v>499</v>
      </c>
      <c r="CW30" s="63" t="n">
        <v>506.8</v>
      </c>
      <c r="CX30" s="63" t="n">
        <v>514.2</v>
      </c>
      <c r="CY30" s="63" t="n">
        <v>519</v>
      </c>
      <c r="CZ30" s="63" t="n">
        <v>524.6</v>
      </c>
      <c r="DA30" s="63" t="n">
        <v>529.9</v>
      </c>
      <c r="DB30" s="63" t="n">
        <v>532.9</v>
      </c>
      <c r="DC30" s="63" t="n">
        <v>541.7</v>
      </c>
      <c r="DD30" s="63" t="n">
        <v>549.5</v>
      </c>
      <c r="DE30" s="63" t="n">
        <v>557.5</v>
      </c>
      <c r="DF30" s="63" t="n">
        <v>566</v>
      </c>
      <c r="DG30" s="63" t="n">
        <v>574</v>
      </c>
      <c r="DH30" s="63" t="n">
        <v>582.9</v>
      </c>
      <c r="DI30" s="63" t="n">
        <v>594.8</v>
      </c>
      <c r="DJ30" s="63" t="n">
        <v>602.8</v>
      </c>
      <c r="DK30" s="63" t="n">
        <v>612.3</v>
      </c>
      <c r="DL30" s="63" t="n">
        <v>622.2</v>
      </c>
      <c r="DM30" s="63" t="n">
        <v>632.2</v>
      </c>
      <c r="DN30" s="63" t="n">
        <v>643.5</v>
      </c>
      <c r="DO30" s="63" t="n">
        <v>649.3</v>
      </c>
      <c r="DP30" s="63" t="n">
        <v>656.7</v>
      </c>
      <c r="DQ30" s="63" t="n">
        <v>669.8</v>
      </c>
      <c r="DR30" s="63" t="n">
        <v>689.4</v>
      </c>
      <c r="DS30" s="63" t="n">
        <v>691.5</v>
      </c>
      <c r="DT30" s="63" t="n">
        <v>704.2</v>
      </c>
      <c r="DU30" s="63" t="n">
        <v>709.2</v>
      </c>
      <c r="DV30" s="63" t="n">
        <v>723.4</v>
      </c>
      <c r="DW30" s="63" t="n">
        <v>723.4</v>
      </c>
      <c r="DX30" s="63" t="n">
        <v>722</v>
      </c>
      <c r="DY30" s="63" t="n">
        <v>724.2</v>
      </c>
      <c r="DZ30" s="63" t="n">
        <v>732</v>
      </c>
      <c r="EA30" s="63" t="n">
        <v>739.9</v>
      </c>
      <c r="EB30" s="63" t="n">
        <v>742</v>
      </c>
      <c r="EC30" s="63" t="n">
        <v>743.8</v>
      </c>
      <c r="ED30" s="63" t="n">
        <v>749.1</v>
      </c>
      <c r="EE30" s="63" t="n">
        <v>758.6</v>
      </c>
      <c r="EF30" s="63" t="n">
        <v>767.2</v>
      </c>
      <c r="EG30" s="63" t="n">
        <v>778.2</v>
      </c>
      <c r="EH30" s="63" t="n">
        <v>790</v>
      </c>
      <c r="EI30" s="63" t="n">
        <v>803.5</v>
      </c>
      <c r="EJ30" s="63" t="n">
        <v>818.4</v>
      </c>
      <c r="EK30" s="63" t="n">
        <v>824</v>
      </c>
      <c r="EL30" s="63" t="n">
        <v>837.4</v>
      </c>
      <c r="EM30" s="63" t="n">
        <v>846</v>
      </c>
      <c r="EN30" s="63" t="n">
        <v>859.8</v>
      </c>
      <c r="EO30" s="63" t="n">
        <v>870.4</v>
      </c>
      <c r="EP30" s="63" t="n">
        <v>895.1</v>
      </c>
      <c r="EQ30" s="63" t="n">
        <v>900.8</v>
      </c>
      <c r="ER30" s="63" t="n">
        <v>906.2</v>
      </c>
      <c r="ES30" s="63" t="n">
        <v>920.6</v>
      </c>
      <c r="ET30" s="63" t="n">
        <v>940.9</v>
      </c>
      <c r="EU30" s="63" t="n">
        <v>943.1</v>
      </c>
      <c r="EV30" s="63" t="n">
        <v>946.7</v>
      </c>
      <c r="EW30" s="63" t="n">
        <v>958.4</v>
      </c>
      <c r="EX30" s="63" t="n">
        <v>970.2</v>
      </c>
      <c r="EY30" s="63" t="n">
        <v>972.3</v>
      </c>
      <c r="EZ30" s="63" t="n">
        <v>977.6</v>
      </c>
      <c r="FA30" s="63" t="n">
        <v>977.8</v>
      </c>
      <c r="FB30" s="63" t="n">
        <v>946</v>
      </c>
      <c r="FC30" s="63" t="n">
        <v>952.6</v>
      </c>
      <c r="FD30" s="63" t="n">
        <v>950.3</v>
      </c>
      <c r="FE30" s="63" t="n">
        <v>953.9</v>
      </c>
      <c r="FF30" s="63" t="n">
        <v>960.6</v>
      </c>
      <c r="FG30" s="63" t="n">
        <v>971.7</v>
      </c>
      <c r="FH30" s="63" t="n">
        <v>974.6</v>
      </c>
      <c r="FI30" s="63" t="n">
        <v>976.6</v>
      </c>
      <c r="FJ30" s="63" t="n">
        <v>898.3</v>
      </c>
      <c r="FK30" s="63" t="n">
        <v>900.9</v>
      </c>
      <c r="FL30" s="63" t="n">
        <v>909.4</v>
      </c>
      <c r="FM30" s="63" t="n">
        <v>904.2</v>
      </c>
      <c r="FN30" s="63" t="n">
        <v>927.5</v>
      </c>
      <c r="FO30" s="63" t="n">
        <v>932.2</v>
      </c>
      <c r="FP30" s="63" t="n">
        <v>935.2</v>
      </c>
      <c r="FQ30" s="63" t="n">
        <v>957</v>
      </c>
      <c r="FR30" s="63" t="n">
        <v>1078.6</v>
      </c>
      <c r="FS30" s="63" t="n">
        <v>1090.7</v>
      </c>
      <c r="FT30" s="63" t="n">
        <v>1093.6</v>
      </c>
      <c r="FU30" s="63" t="n">
        <v>1104.2</v>
      </c>
      <c r="FV30" s="63" t="n">
        <v>1126.6</v>
      </c>
      <c r="FW30" s="63" t="n">
        <v>1131</v>
      </c>
      <c r="FX30" s="63" t="n">
        <v>1142.5</v>
      </c>
      <c r="FY30" s="63" t="n">
        <v>1160.1</v>
      </c>
      <c r="FZ30" s="63" t="n">
        <v>1175.2</v>
      </c>
      <c r="GA30" s="63" t="n">
        <v>1187</v>
      </c>
      <c r="GB30" s="63" t="n">
        <v>1196.8</v>
      </c>
      <c r="GC30" s="63" t="n">
        <v>1204.1</v>
      </c>
      <c r="GD30" s="63" t="n">
        <v>1211</v>
      </c>
      <c r="GE30" s="63" t="n">
        <v>1217</v>
      </c>
      <c r="GF30" s="63" t="n">
        <v>1228</v>
      </c>
      <c r="GG30" s="63" t="n">
        <v>1241.5</v>
      </c>
      <c r="GH30" s="63" t="n">
        <v>1262.7</v>
      </c>
      <c r="GI30" s="63" t="n">
        <v>1275.1</v>
      </c>
      <c r="GJ30" s="63" t="n">
        <v>1290.3</v>
      </c>
      <c r="GK30" s="63" t="n">
        <v>1309.1</v>
      </c>
      <c r="GL30" s="63" t="n">
        <v>1328.9</v>
      </c>
      <c r="GM30" s="63" t="n">
        <v>1338.6</v>
      </c>
      <c r="GN30" s="63" t="n">
        <v>1355.1</v>
      </c>
      <c r="GO30" s="63" t="n">
        <v>1363.4</v>
      </c>
      <c r="GP30" s="63" t="n">
        <v>1395.2</v>
      </c>
      <c r="GQ30" s="63" t="n">
        <v>1402.6</v>
      </c>
      <c r="GR30" s="63" t="n">
        <v>1410</v>
      </c>
      <c r="GS30" s="63" t="n">
        <v>1429</v>
      </c>
      <c r="GT30" s="63" t="n">
        <v>1455.1</v>
      </c>
      <c r="GU30" s="63" t="n">
        <v>1385.3</v>
      </c>
      <c r="GV30" s="63" t="n">
        <v>1432.2</v>
      </c>
      <c r="GW30" s="63" t="n">
        <v>1465</v>
      </c>
      <c r="GX30" s="63" t="n">
        <v>1474.8</v>
      </c>
      <c r="GY30" s="63" t="n">
        <v>1504.3</v>
      </c>
      <c r="GZ30" s="63" t="n">
        <v>1536.3</v>
      </c>
      <c r="HA30" s="63" t="n">
        <v>1578.1</v>
      </c>
      <c r="HB30" s="63" t="n">
        <v>1617.1</v>
      </c>
      <c r="HC30" t="n">
        <v>1636.8</v>
      </c>
      <c r="HD30" t="n">
        <v>1677.7</v>
      </c>
      <c r="HE30" t="n">
        <v>1703.1</v>
      </c>
    </row>
    <row r="31">
      <c r="A31" s="63" t="s">
        <v>2465</v>
      </c>
      <c r="B31" s="63" t="n">
        <v>48.3</v>
      </c>
      <c r="C31" s="63" t="n">
        <v>57.5</v>
      </c>
      <c r="D31" s="63" t="n">
        <v>56.9</v>
      </c>
      <c r="E31" s="63" t="n">
        <v>59.8</v>
      </c>
      <c r="F31" s="63" t="n">
        <v>61</v>
      </c>
      <c r="G31" s="63" t="n">
        <v>67.9</v>
      </c>
      <c r="H31" s="63" t="n">
        <v>67.2</v>
      </c>
      <c r="I31" s="63" t="n">
        <v>68.2</v>
      </c>
      <c r="J31" s="63" t="n">
        <v>70.2</v>
      </c>
      <c r="K31" s="63" t="n">
        <v>70.2</v>
      </c>
      <c r="L31" s="63" t="n">
        <v>70.3</v>
      </c>
      <c r="M31" s="63" t="n">
        <v>80.6</v>
      </c>
      <c r="N31" s="63" t="n">
        <v>82.2</v>
      </c>
      <c r="O31" s="63" t="n">
        <v>83.6</v>
      </c>
      <c r="P31" s="63" t="n">
        <v>85.1</v>
      </c>
      <c r="Q31" s="63" t="n">
        <v>87.3</v>
      </c>
      <c r="R31" s="63" t="n">
        <v>94.1</v>
      </c>
      <c r="S31" s="63" t="n">
        <v>100.7</v>
      </c>
      <c r="T31" s="63" t="n">
        <v>106.4</v>
      </c>
      <c r="U31" s="63" t="n">
        <v>112</v>
      </c>
      <c r="V31" s="63" t="n">
        <v>120.5</v>
      </c>
      <c r="W31" s="63" t="n">
        <v>134.2</v>
      </c>
      <c r="X31" s="63" t="n">
        <v>136.8</v>
      </c>
      <c r="Y31" s="63" t="n">
        <v>137.8</v>
      </c>
      <c r="Z31" s="63" t="n">
        <v>141.3</v>
      </c>
      <c r="AA31" s="63" t="n">
        <v>139.6</v>
      </c>
      <c r="AB31" s="63" t="n">
        <v>145.4</v>
      </c>
      <c r="AC31" s="63" t="n">
        <v>147.7</v>
      </c>
      <c r="AD31" s="63" t="n">
        <v>149.8</v>
      </c>
      <c r="AE31" s="63" t="n">
        <v>148.9</v>
      </c>
      <c r="AF31" s="63" t="n">
        <v>154.4</v>
      </c>
      <c r="AG31" s="63" t="n">
        <v>156.6</v>
      </c>
      <c r="AH31" s="63" t="n">
        <v>158.5</v>
      </c>
      <c r="AI31" s="63" t="n">
        <v>158</v>
      </c>
      <c r="AJ31" s="63" t="n">
        <v>165.9</v>
      </c>
      <c r="AK31" s="63" t="n">
        <v>168.3</v>
      </c>
      <c r="AL31" s="63" t="n">
        <v>172.5</v>
      </c>
      <c r="AM31" s="63" t="n">
        <v>175.7</v>
      </c>
      <c r="AN31" s="63" t="n">
        <v>190.1</v>
      </c>
      <c r="AO31" s="63" t="n">
        <v>193.8</v>
      </c>
      <c r="AP31" s="63" t="n">
        <v>202.1</v>
      </c>
      <c r="AQ31" s="63" t="n">
        <v>207.3</v>
      </c>
      <c r="AR31" s="63" t="n">
        <v>235.4</v>
      </c>
      <c r="AS31" s="63" t="n">
        <v>236.4</v>
      </c>
      <c r="AT31" s="63" t="n">
        <v>240.5</v>
      </c>
      <c r="AU31" s="63" t="n">
        <v>241.6</v>
      </c>
      <c r="AV31" s="63" t="n">
        <v>259.3</v>
      </c>
      <c r="AW31" s="63" t="n">
        <v>261.5</v>
      </c>
      <c r="AX31" s="63" t="n">
        <v>265.2</v>
      </c>
      <c r="AY31" s="63" t="n">
        <v>272.2</v>
      </c>
      <c r="AZ31" s="63" t="n">
        <v>287.5</v>
      </c>
      <c r="BA31" s="63" t="n">
        <v>302.6</v>
      </c>
      <c r="BB31" s="63" t="n">
        <v>302.2</v>
      </c>
      <c r="BC31" s="63" t="n">
        <v>307.4</v>
      </c>
      <c r="BD31" s="63" t="n">
        <v>301.3</v>
      </c>
      <c r="BE31" s="63" t="n">
        <v>303.5</v>
      </c>
      <c r="BF31" s="63" t="n">
        <v>306.4</v>
      </c>
      <c r="BG31" s="63" t="n">
        <v>308.4</v>
      </c>
      <c r="BH31" s="63" t="n">
        <v>309.1</v>
      </c>
      <c r="BI31" s="63" t="n">
        <v>315.1</v>
      </c>
      <c r="BJ31" s="63" t="n">
        <v>323.2</v>
      </c>
      <c r="BK31" s="63" t="n">
        <v>324.2</v>
      </c>
      <c r="BL31" s="63" t="n">
        <v>327.5</v>
      </c>
      <c r="BM31" s="63" t="n">
        <v>328.5</v>
      </c>
      <c r="BN31" s="63" t="n">
        <v>338.3</v>
      </c>
      <c r="BO31" s="63" t="n">
        <v>342</v>
      </c>
      <c r="BP31" s="63" t="n">
        <v>347.8</v>
      </c>
      <c r="BQ31" s="63" t="n">
        <v>348.9</v>
      </c>
      <c r="BR31" s="63" t="n">
        <v>353.6</v>
      </c>
      <c r="BS31" s="63" t="n">
        <v>357.6</v>
      </c>
      <c r="BT31" s="63" t="n">
        <v>357.9</v>
      </c>
      <c r="BU31" s="63" t="n">
        <v>359.7</v>
      </c>
      <c r="BV31" s="63" t="n">
        <v>375</v>
      </c>
      <c r="BW31" s="63" t="n">
        <v>376.1</v>
      </c>
      <c r="BX31" s="63" t="n">
        <v>379.3</v>
      </c>
      <c r="BY31" s="63" t="n">
        <v>383</v>
      </c>
      <c r="BZ31" s="63" t="n">
        <v>403.9</v>
      </c>
      <c r="CA31" s="63" t="n">
        <v>408.3</v>
      </c>
      <c r="CB31" s="63" t="n">
        <v>413.7</v>
      </c>
      <c r="CC31" s="63" t="n">
        <v>420.9</v>
      </c>
      <c r="CD31" s="63" t="n">
        <v>437.5</v>
      </c>
      <c r="CE31" s="63" t="n">
        <v>443.4</v>
      </c>
      <c r="CF31" s="63" t="n">
        <v>447.9</v>
      </c>
      <c r="CG31" s="63" t="n">
        <v>459.4</v>
      </c>
      <c r="CH31" s="63" t="n">
        <v>481</v>
      </c>
      <c r="CI31" s="63" t="n">
        <v>491.3</v>
      </c>
      <c r="CJ31" s="63" t="n">
        <v>495.1</v>
      </c>
      <c r="CK31" s="63" t="n">
        <v>508.5</v>
      </c>
      <c r="CL31" s="63" t="n">
        <v>540</v>
      </c>
      <c r="CM31" s="63" t="n">
        <v>550.5</v>
      </c>
      <c r="CN31" s="63" t="n">
        <v>555.5</v>
      </c>
      <c r="CO31" s="63" t="n">
        <v>561.1</v>
      </c>
      <c r="CP31" s="63" t="n">
        <v>577.6</v>
      </c>
      <c r="CQ31" s="63" t="n">
        <v>582</v>
      </c>
      <c r="CR31" s="63" t="n">
        <v>585.7</v>
      </c>
      <c r="CS31" s="63" t="n">
        <v>589.6</v>
      </c>
      <c r="CT31" s="63" t="n">
        <v>601.8</v>
      </c>
      <c r="CU31" s="63" t="n">
        <v>606.2</v>
      </c>
      <c r="CV31" s="63" t="n">
        <v>610</v>
      </c>
      <c r="CW31" s="63" t="n">
        <v>618.1</v>
      </c>
      <c r="CX31" s="63" t="n">
        <v>637.6</v>
      </c>
      <c r="CY31" s="63" t="n">
        <v>644.9</v>
      </c>
      <c r="CZ31" s="63" t="n">
        <v>650</v>
      </c>
      <c r="DA31" s="63" t="n">
        <v>655.8</v>
      </c>
      <c r="DB31" s="63" t="n">
        <v>675</v>
      </c>
      <c r="DC31" s="63" t="n">
        <v>680.7</v>
      </c>
      <c r="DD31" s="63" t="n">
        <v>683.7</v>
      </c>
      <c r="DE31" s="63" t="n">
        <v>688.9</v>
      </c>
      <c r="DF31" s="63" t="n">
        <v>704.5</v>
      </c>
      <c r="DG31" s="63" t="n">
        <v>707.5</v>
      </c>
      <c r="DH31" s="63" t="n">
        <v>709.2</v>
      </c>
      <c r="DI31" s="63" t="n">
        <v>710.2</v>
      </c>
      <c r="DJ31" s="63" t="n">
        <v>719.7</v>
      </c>
      <c r="DK31" s="63" t="n">
        <v>720.7</v>
      </c>
      <c r="DL31" s="63" t="n">
        <v>723.5</v>
      </c>
      <c r="DM31" s="63" t="n">
        <v>724.7</v>
      </c>
      <c r="DN31" s="63" t="n">
        <v>735.5</v>
      </c>
      <c r="DO31" s="63" t="n">
        <v>738.6</v>
      </c>
      <c r="DP31" s="63" t="n">
        <v>741.1</v>
      </c>
      <c r="DQ31" s="63" t="n">
        <v>744.2</v>
      </c>
      <c r="DR31" s="63" t="n">
        <v>756.8</v>
      </c>
      <c r="DS31" s="63" t="n">
        <v>772.9</v>
      </c>
      <c r="DT31" s="63" t="n">
        <v>777.5</v>
      </c>
      <c r="DU31" s="63" t="n">
        <v>786.5</v>
      </c>
      <c r="DV31" s="63" t="n">
        <v>817.3</v>
      </c>
      <c r="DW31" s="63" t="n">
        <v>831</v>
      </c>
      <c r="DX31" s="63" t="n">
        <v>849.4</v>
      </c>
      <c r="DY31" s="63" t="n">
        <v>865.2</v>
      </c>
      <c r="DZ31" s="63" t="n">
        <v>895</v>
      </c>
      <c r="EA31" s="63" t="n">
        <v>921</v>
      </c>
      <c r="EB31" s="63" t="n">
        <v>925.2</v>
      </c>
      <c r="EC31" s="63" t="n">
        <v>930.8</v>
      </c>
      <c r="ED31" s="63" t="n">
        <v>947.7</v>
      </c>
      <c r="EE31" s="63" t="n">
        <v>964.3</v>
      </c>
      <c r="EF31" s="63" t="n">
        <v>973.7</v>
      </c>
      <c r="EG31" s="63" t="n">
        <v>984.3</v>
      </c>
      <c r="EH31" s="63" t="n">
        <v>1003.6</v>
      </c>
      <c r="EI31" s="63" t="n">
        <v>1013.5</v>
      </c>
      <c r="EJ31" s="63" t="n">
        <v>1024.1</v>
      </c>
      <c r="EK31" s="63" t="n">
        <v>1036.9</v>
      </c>
      <c r="EL31" s="63" t="n">
        <v>1065.3</v>
      </c>
      <c r="EM31" s="63" t="n">
        <v>1076</v>
      </c>
      <c r="EN31" s="63" t="n">
        <v>1091.8</v>
      </c>
      <c r="EO31" s="63" t="n">
        <v>1104.4</v>
      </c>
      <c r="EP31" s="63" t="n">
        <v>1172.7</v>
      </c>
      <c r="EQ31" s="63" t="n">
        <v>1184</v>
      </c>
      <c r="ER31" s="63" t="n">
        <v>1194.1</v>
      </c>
      <c r="ES31" s="63" t="n">
        <v>1205.6</v>
      </c>
      <c r="ET31" s="63" t="n">
        <v>1240.1</v>
      </c>
      <c r="EU31" s="63" t="n">
        <v>1256.7</v>
      </c>
      <c r="EV31" s="63" t="n">
        <v>1270.2</v>
      </c>
      <c r="EW31" s="63" t="n">
        <v>1286.3</v>
      </c>
      <c r="EX31" s="63" t="n">
        <v>1321.9</v>
      </c>
      <c r="EY31" s="63" t="n">
        <v>1657</v>
      </c>
      <c r="EZ31" s="63" t="n">
        <v>1445.3</v>
      </c>
      <c r="FA31" s="63" t="n">
        <v>1428.7</v>
      </c>
      <c r="FB31" s="63" t="n">
        <v>1521.8</v>
      </c>
      <c r="FC31" s="63" t="n">
        <v>1648</v>
      </c>
      <c r="FD31" s="63" t="n">
        <v>1634.5</v>
      </c>
      <c r="FE31" s="63" t="n">
        <v>1653.9</v>
      </c>
      <c r="FF31" s="63" t="n">
        <v>1753.5</v>
      </c>
      <c r="FG31" s="63" t="n">
        <v>1755.7</v>
      </c>
      <c r="FH31" s="63" t="n">
        <v>1758.8</v>
      </c>
      <c r="FI31" s="63" t="n">
        <v>1761.9</v>
      </c>
      <c r="FJ31" s="63" t="n">
        <v>1768.6</v>
      </c>
      <c r="FK31" s="63" t="n">
        <v>1777.4</v>
      </c>
      <c r="FL31" s="63" t="n">
        <v>1782.4</v>
      </c>
      <c r="FM31" s="63" t="n">
        <v>1789.3</v>
      </c>
      <c r="FN31" s="63" t="n">
        <v>1772.9</v>
      </c>
      <c r="FO31" s="63" t="n">
        <v>1777.5</v>
      </c>
      <c r="FP31" s="63" t="n">
        <v>1783.6</v>
      </c>
      <c r="FQ31" s="63" t="n">
        <v>1793.4</v>
      </c>
      <c r="FR31" s="63" t="n">
        <v>1817.3</v>
      </c>
      <c r="FS31" s="63" t="n">
        <v>1815.5</v>
      </c>
      <c r="FT31" s="63" t="n">
        <v>1823.2</v>
      </c>
      <c r="FU31" s="63" t="n">
        <v>1830.1</v>
      </c>
      <c r="FV31" s="63" t="n">
        <v>1848.1</v>
      </c>
      <c r="FW31" s="63" t="n">
        <v>1876.8</v>
      </c>
      <c r="FX31" s="63" t="n">
        <v>1890.5</v>
      </c>
      <c r="FY31" s="63" t="n">
        <v>1909</v>
      </c>
      <c r="FZ31" s="63" t="n">
        <v>1945.5</v>
      </c>
      <c r="GA31" s="63" t="n">
        <v>1966.6</v>
      </c>
      <c r="GB31" s="63" t="n">
        <v>1977.6</v>
      </c>
      <c r="GC31" s="63" t="n">
        <v>1989.7</v>
      </c>
      <c r="GD31" s="63" t="n">
        <v>2006.2</v>
      </c>
      <c r="GE31" s="63" t="n">
        <v>2018</v>
      </c>
      <c r="GF31" s="63" t="n">
        <v>2029.1</v>
      </c>
      <c r="GG31" s="63" t="n">
        <v>2043.5</v>
      </c>
      <c r="GH31" s="63" t="n">
        <v>2074</v>
      </c>
      <c r="GI31" s="63" t="n">
        <v>2087.4</v>
      </c>
      <c r="GJ31" s="63" t="n">
        <v>2105.5</v>
      </c>
      <c r="GK31" s="63" t="n">
        <v>2124.2</v>
      </c>
      <c r="GL31" s="63" t="n">
        <v>2170.8</v>
      </c>
      <c r="GM31" s="63" t="n">
        <v>2183.4</v>
      </c>
      <c r="GN31" s="63" t="n">
        <v>2201.3</v>
      </c>
      <c r="GO31" s="63" t="n">
        <v>2224.3</v>
      </c>
      <c r="GP31" s="63" t="n">
        <v>2303.4</v>
      </c>
      <c r="GQ31" s="63" t="n">
        <v>2319.4</v>
      </c>
      <c r="GR31" s="63" t="n">
        <v>2333.8</v>
      </c>
      <c r="GS31" s="63" t="n">
        <v>2346.4</v>
      </c>
      <c r="GT31" s="63" t="n">
        <v>2407.5</v>
      </c>
      <c r="GU31" s="63" t="n">
        <v>4698.7</v>
      </c>
      <c r="GV31" s="63" t="n">
        <v>3492.4</v>
      </c>
      <c r="GW31" s="63" t="n">
        <v>2881.6</v>
      </c>
      <c r="GX31" s="63" t="n">
        <v>5094.8</v>
      </c>
      <c r="GY31" s="63" t="n">
        <v>3395.6</v>
      </c>
      <c r="GZ31" s="63" t="n">
        <v>3146.3</v>
      </c>
      <c r="HA31" s="63" t="n">
        <v>2937.4</v>
      </c>
      <c r="HB31" s="63" t="n">
        <v>2863</v>
      </c>
      <c r="HC31" t="n">
        <v>2846.5</v>
      </c>
      <c r="HD31" t="n">
        <v>2840.1</v>
      </c>
      <c r="HE31" t="n">
        <v>2882.9</v>
      </c>
    </row>
    <row r="32">
      <c r="A32" s="63" t="s">
        <v>2466</v>
      </c>
      <c r="B32" s="63" t="n">
        <v>16.6</v>
      </c>
      <c r="C32" s="63" t="n">
        <v>17.9</v>
      </c>
      <c r="D32" s="63" t="n">
        <v>19.2</v>
      </c>
      <c r="E32" s="63" t="n">
        <v>19.8</v>
      </c>
      <c r="F32" s="63" t="n">
        <v>20.5</v>
      </c>
      <c r="G32" s="63" t="n">
        <v>22.1</v>
      </c>
      <c r="H32" s="63" t="n">
        <v>22.4</v>
      </c>
      <c r="I32" s="63" t="n">
        <v>23.7</v>
      </c>
      <c r="J32" s="63" t="n">
        <v>24.4</v>
      </c>
      <c r="K32" s="63" t="n">
        <v>32.7</v>
      </c>
      <c r="L32" s="63" t="n">
        <v>25.6</v>
      </c>
      <c r="M32" s="63" t="n">
        <v>39.3</v>
      </c>
      <c r="N32" s="63" t="n">
        <v>34.3</v>
      </c>
      <c r="O32" s="63" t="n">
        <v>33.4</v>
      </c>
      <c r="P32" s="63" t="n">
        <v>32.6</v>
      </c>
      <c r="Q32" s="63" t="n">
        <v>33.6</v>
      </c>
      <c r="R32" s="63" t="n">
        <v>33.3</v>
      </c>
      <c r="S32" s="63" t="n">
        <v>34.1</v>
      </c>
      <c r="T32" s="63" t="n">
        <v>35.4</v>
      </c>
      <c r="U32" s="63" t="n">
        <v>36.8</v>
      </c>
      <c r="V32" s="63" t="n">
        <v>39.3</v>
      </c>
      <c r="W32" s="63" t="n">
        <v>44.3</v>
      </c>
      <c r="X32" s="63" t="n">
        <v>45</v>
      </c>
      <c r="Y32" s="63" t="n">
        <v>45.9</v>
      </c>
      <c r="Z32" s="63" t="n">
        <v>47</v>
      </c>
      <c r="AA32" s="63" t="n">
        <v>47.8</v>
      </c>
      <c r="AB32" s="63" t="n">
        <v>48.7</v>
      </c>
      <c r="AC32" s="63" t="n">
        <v>52.7</v>
      </c>
      <c r="AD32" s="63" t="n">
        <v>50.7</v>
      </c>
      <c r="AE32" s="63" t="n">
        <v>53.7</v>
      </c>
      <c r="AF32" s="63" t="n">
        <v>57.3</v>
      </c>
      <c r="AG32" s="63" t="n">
        <v>57.3</v>
      </c>
      <c r="AH32" s="63" t="n">
        <v>61.5</v>
      </c>
      <c r="AI32" s="63" t="n">
        <v>64.1</v>
      </c>
      <c r="AJ32" s="63" t="n">
        <v>63.4</v>
      </c>
      <c r="AK32" s="63" t="n">
        <v>64.9</v>
      </c>
      <c r="AL32" s="63" t="n">
        <v>62.1</v>
      </c>
      <c r="AM32" s="63" t="n">
        <v>62.6</v>
      </c>
      <c r="AN32" s="63" t="n">
        <v>65.2</v>
      </c>
      <c r="AO32" s="63" t="n">
        <v>65.9</v>
      </c>
      <c r="AP32" s="63" t="n">
        <v>66.7</v>
      </c>
      <c r="AQ32" s="63" t="n">
        <v>68.2</v>
      </c>
      <c r="AR32" s="63" t="n">
        <v>70.7</v>
      </c>
      <c r="AS32" s="63" t="n">
        <v>73.1</v>
      </c>
      <c r="AT32" s="63" t="n">
        <v>71.5</v>
      </c>
      <c r="AU32" s="63" t="n">
        <v>71.4</v>
      </c>
      <c r="AV32" s="63" t="n">
        <v>68.8</v>
      </c>
      <c r="AW32" s="63" t="n">
        <v>66</v>
      </c>
      <c r="AX32" s="63" t="n">
        <v>65.8</v>
      </c>
      <c r="AY32" s="63" t="n">
        <v>67.3</v>
      </c>
      <c r="AZ32" s="63" t="n">
        <v>65.6</v>
      </c>
      <c r="BA32" s="63" t="n">
        <v>66.3</v>
      </c>
      <c r="BB32" s="63" t="n">
        <v>67.2</v>
      </c>
      <c r="BC32" s="63" t="n">
        <v>69.2</v>
      </c>
      <c r="BD32" s="63" t="n">
        <v>68.4</v>
      </c>
      <c r="BE32" s="63" t="n">
        <v>67</v>
      </c>
      <c r="BF32" s="63" t="n">
        <v>71.3</v>
      </c>
      <c r="BG32" s="63" t="n">
        <v>73.1</v>
      </c>
      <c r="BH32" s="63" t="n">
        <v>70.7</v>
      </c>
      <c r="BI32" s="63" t="n">
        <v>74.3</v>
      </c>
      <c r="BJ32" s="63" t="n">
        <v>74.8</v>
      </c>
      <c r="BK32" s="63" t="n">
        <v>75.3</v>
      </c>
      <c r="BL32" s="63" t="n">
        <v>76.4</v>
      </c>
      <c r="BM32" s="63" t="n">
        <v>78.1</v>
      </c>
      <c r="BN32" s="63" t="n">
        <v>79.7</v>
      </c>
      <c r="BO32" s="63" t="n">
        <v>83.8</v>
      </c>
      <c r="BP32" s="63" t="n">
        <v>86.7</v>
      </c>
      <c r="BQ32" s="63" t="n">
        <v>79.5</v>
      </c>
      <c r="BR32" s="63" t="n">
        <v>76.9</v>
      </c>
      <c r="BS32" s="63" t="n">
        <v>80.2</v>
      </c>
      <c r="BT32" s="63" t="n">
        <v>78.2</v>
      </c>
      <c r="BU32" s="63" t="n">
        <v>78.2</v>
      </c>
      <c r="BV32" s="63" t="n">
        <v>84.1</v>
      </c>
      <c r="BW32" s="63" t="n">
        <v>84.1</v>
      </c>
      <c r="BX32" s="63" t="n">
        <v>87</v>
      </c>
      <c r="BY32" s="63" t="n">
        <v>87.7</v>
      </c>
      <c r="BZ32" s="63" t="n">
        <v>88.7</v>
      </c>
      <c r="CA32" s="63" t="n">
        <v>89.1</v>
      </c>
      <c r="CB32" s="63" t="n">
        <v>95</v>
      </c>
      <c r="CC32" s="63" t="n">
        <v>94.5</v>
      </c>
      <c r="CD32" s="63" t="n">
        <v>99.9</v>
      </c>
      <c r="CE32" s="63" t="n">
        <v>103.2</v>
      </c>
      <c r="CF32" s="63" t="n">
        <v>105.5</v>
      </c>
      <c r="CG32" s="63" t="n">
        <v>108.8</v>
      </c>
      <c r="CH32" s="63" t="n">
        <v>115.6</v>
      </c>
      <c r="CI32" s="63" t="n">
        <v>120.5</v>
      </c>
      <c r="CJ32" s="63" t="n">
        <v>127</v>
      </c>
      <c r="CK32" s="63" t="n">
        <v>132.9</v>
      </c>
      <c r="CL32" s="63" t="n">
        <v>136.2</v>
      </c>
      <c r="CM32" s="63" t="n">
        <v>139</v>
      </c>
      <c r="CN32" s="63" t="n">
        <v>145</v>
      </c>
      <c r="CO32" s="63" t="n">
        <v>146.5</v>
      </c>
      <c r="CP32" s="63" t="n">
        <v>148.8</v>
      </c>
      <c r="CQ32" s="63" t="n">
        <v>151.4</v>
      </c>
      <c r="CR32" s="63" t="n">
        <v>157.2</v>
      </c>
      <c r="CS32" s="63" t="n">
        <v>165.5</v>
      </c>
      <c r="CT32" s="63" t="n">
        <v>162.4</v>
      </c>
      <c r="CU32" s="63" t="n">
        <v>164.9</v>
      </c>
      <c r="CV32" s="63" t="n">
        <v>167.3</v>
      </c>
      <c r="CW32" s="63" t="n">
        <v>172.8</v>
      </c>
      <c r="CX32" s="63" t="n">
        <v>175.6</v>
      </c>
      <c r="CY32" s="63" t="n">
        <v>174.8</v>
      </c>
      <c r="CZ32" s="63" t="n">
        <v>175.8</v>
      </c>
      <c r="DA32" s="63" t="n">
        <v>171.7</v>
      </c>
      <c r="DB32" s="63" t="n">
        <v>177.1</v>
      </c>
      <c r="DC32" s="63" t="n">
        <v>185.5</v>
      </c>
      <c r="DD32" s="63" t="n">
        <v>182.9</v>
      </c>
      <c r="DE32" s="63" t="n">
        <v>180.3</v>
      </c>
      <c r="DF32" s="63" t="n">
        <v>184.6</v>
      </c>
      <c r="DG32" s="63" t="n">
        <v>184.2</v>
      </c>
      <c r="DH32" s="63" t="n">
        <v>187.5</v>
      </c>
      <c r="DI32" s="63" t="n">
        <v>196.3</v>
      </c>
      <c r="DJ32" s="63" t="n">
        <v>197.3</v>
      </c>
      <c r="DK32" s="63" t="n">
        <v>197</v>
      </c>
      <c r="DL32" s="63" t="n">
        <v>201.8</v>
      </c>
      <c r="DM32" s="63" t="n">
        <v>207</v>
      </c>
      <c r="DN32" s="63" t="n">
        <v>214.7</v>
      </c>
      <c r="DO32" s="63" t="n">
        <v>211.8</v>
      </c>
      <c r="DP32" s="63" t="n">
        <v>223.1</v>
      </c>
      <c r="DQ32" s="63" t="n">
        <v>227</v>
      </c>
      <c r="DR32" s="63" t="n">
        <v>224.5</v>
      </c>
      <c r="DS32" s="63" t="n">
        <v>227.4</v>
      </c>
      <c r="DT32" s="63" t="n">
        <v>239.5</v>
      </c>
      <c r="DU32" s="63" t="n">
        <v>241.1</v>
      </c>
      <c r="DV32" s="63" t="n">
        <v>254</v>
      </c>
      <c r="DW32" s="63" t="n">
        <v>262.2</v>
      </c>
      <c r="DX32" s="63" t="n">
        <v>258.5</v>
      </c>
      <c r="DY32" s="63" t="n">
        <v>270.4</v>
      </c>
      <c r="DZ32" s="63" t="n">
        <v>277.3</v>
      </c>
      <c r="EA32" s="63" t="n">
        <v>285.7</v>
      </c>
      <c r="EB32" s="63" t="n">
        <v>294.3</v>
      </c>
      <c r="EC32" s="63" t="n">
        <v>297.4</v>
      </c>
      <c r="ED32" s="63" t="n">
        <v>299.6</v>
      </c>
      <c r="EE32" s="63" t="n">
        <v>323.3</v>
      </c>
      <c r="EF32" s="63" t="n">
        <v>329.6</v>
      </c>
      <c r="EG32" s="63" t="n">
        <v>334.3</v>
      </c>
      <c r="EH32" s="63" t="n">
        <v>328</v>
      </c>
      <c r="EI32" s="63" t="n">
        <v>332.8</v>
      </c>
      <c r="EJ32" s="63" t="n">
        <v>328.4</v>
      </c>
      <c r="EK32" s="63" t="n">
        <v>340</v>
      </c>
      <c r="EL32" s="63" t="n">
        <v>341.6</v>
      </c>
      <c r="EM32" s="63" t="n">
        <v>344.8</v>
      </c>
      <c r="EN32" s="63" t="n">
        <v>342.5</v>
      </c>
      <c r="EO32" s="63" t="n">
        <v>345.1</v>
      </c>
      <c r="EP32" s="63" t="n">
        <v>340</v>
      </c>
      <c r="EQ32" s="63" t="n">
        <v>341.5</v>
      </c>
      <c r="ER32" s="63" t="n">
        <v>347.9</v>
      </c>
      <c r="ES32" s="63" t="n">
        <v>334.7</v>
      </c>
      <c r="ET32" s="63" t="n">
        <v>358.4</v>
      </c>
      <c r="EU32" s="63" t="n">
        <v>359.4</v>
      </c>
      <c r="EV32" s="63" t="n">
        <v>359.8</v>
      </c>
      <c r="EW32" s="63" t="n">
        <v>358.9</v>
      </c>
      <c r="EX32" s="63" t="n">
        <v>365.7</v>
      </c>
      <c r="EY32" s="63" t="n">
        <v>371.5</v>
      </c>
      <c r="EZ32" s="63" t="n">
        <v>368.8</v>
      </c>
      <c r="FA32" s="63" t="n">
        <v>378.6</v>
      </c>
      <c r="FB32" s="63" t="n">
        <v>421.1</v>
      </c>
      <c r="FC32" s="63" t="n">
        <v>473.9</v>
      </c>
      <c r="FD32" s="63" t="n">
        <v>465.4</v>
      </c>
      <c r="FE32" s="63" t="n">
        <v>472.1</v>
      </c>
      <c r="FF32" s="63" t="n">
        <v>496.2</v>
      </c>
      <c r="FG32" s="63" t="n">
        <v>492.6</v>
      </c>
      <c r="FH32" s="63" t="n">
        <v>517.8</v>
      </c>
      <c r="FI32" s="63" t="n">
        <v>514.4</v>
      </c>
      <c r="FJ32" s="63" t="n">
        <v>500.5</v>
      </c>
      <c r="FK32" s="63" t="n">
        <v>503.4</v>
      </c>
      <c r="FL32" s="63" t="n">
        <v>448.3</v>
      </c>
      <c r="FM32" s="63" t="n">
        <v>437.7</v>
      </c>
      <c r="FN32" s="63" t="n">
        <v>441.7</v>
      </c>
      <c r="FO32" s="63" t="n">
        <v>447.9</v>
      </c>
      <c r="FP32" s="63" t="n">
        <v>440</v>
      </c>
      <c r="FQ32" s="63" t="n">
        <v>448.2</v>
      </c>
      <c r="FR32" s="63" t="n">
        <v>440</v>
      </c>
      <c r="FS32" s="63" t="n">
        <v>459.2</v>
      </c>
      <c r="FT32" s="63" t="n">
        <v>454</v>
      </c>
      <c r="FU32" s="63" t="n">
        <v>447.3</v>
      </c>
      <c r="FV32" s="63" t="n">
        <v>467.8</v>
      </c>
      <c r="FW32" s="63" t="n">
        <v>492.5</v>
      </c>
      <c r="FX32" s="63" t="n">
        <v>511.1</v>
      </c>
      <c r="FY32" s="63" t="n">
        <v>508.8</v>
      </c>
      <c r="FZ32" s="63" t="n">
        <v>524.8</v>
      </c>
      <c r="GA32" s="63" t="n">
        <v>528.9</v>
      </c>
      <c r="GB32" s="63" t="n">
        <v>530.4</v>
      </c>
      <c r="GC32" s="63" t="n">
        <v>548.2</v>
      </c>
      <c r="GD32" s="63" t="n">
        <v>544.4</v>
      </c>
      <c r="GE32" s="63" t="n">
        <v>546.6</v>
      </c>
      <c r="GF32" s="63" t="n">
        <v>562.8</v>
      </c>
      <c r="GG32" s="63" t="n">
        <v>573.1</v>
      </c>
      <c r="GH32" s="63" t="n">
        <v>562.8</v>
      </c>
      <c r="GI32" s="63" t="n">
        <v>542.4</v>
      </c>
      <c r="GJ32" s="63" t="n">
        <v>562.9</v>
      </c>
      <c r="GK32" s="63" t="n">
        <v>573.6</v>
      </c>
      <c r="GL32" s="63" t="n">
        <v>581.2</v>
      </c>
      <c r="GM32" s="63" t="n">
        <v>579.5</v>
      </c>
      <c r="GN32" s="63" t="n">
        <v>581.7</v>
      </c>
      <c r="GO32" s="63" t="n">
        <v>587.8</v>
      </c>
      <c r="GP32" s="63" t="n">
        <v>592.4</v>
      </c>
      <c r="GQ32" s="63" t="n">
        <v>615.5</v>
      </c>
      <c r="GR32" s="63" t="n">
        <v>610.4</v>
      </c>
      <c r="GS32" s="63" t="n">
        <v>617.5</v>
      </c>
      <c r="GT32" s="63" t="n">
        <v>638.6</v>
      </c>
      <c r="GU32" s="63" t="n">
        <v>1395</v>
      </c>
      <c r="GV32" s="63" t="n">
        <v>737.1</v>
      </c>
      <c r="GW32" s="63" t="n">
        <v>744.8</v>
      </c>
      <c r="GX32" s="63" t="n">
        <v>785.1</v>
      </c>
      <c r="GY32" s="63" t="n">
        <v>1653.7</v>
      </c>
      <c r="GZ32" s="63" t="n">
        <v>1085</v>
      </c>
      <c r="HA32" s="63" t="n">
        <v>924.7</v>
      </c>
      <c r="HB32" s="63" t="n">
        <v>940</v>
      </c>
      <c r="HC32" t="n">
        <v>960.5</v>
      </c>
      <c r="HD32" t="n">
        <v>953.4</v>
      </c>
      <c r="HE32" t="n">
        <v>917.2</v>
      </c>
    </row>
    <row r="33">
      <c r="A33" s="63" t="s">
        <v>2467</v>
      </c>
      <c r="B33" s="63" t="n">
        <v>14</v>
      </c>
      <c r="C33" s="63" t="n">
        <v>14.1</v>
      </c>
      <c r="D33" s="63" t="n">
        <v>14.3</v>
      </c>
      <c r="E33" s="63" t="n">
        <v>14.4</v>
      </c>
      <c r="F33" s="63" t="n">
        <v>14.7</v>
      </c>
      <c r="G33" s="63" t="n">
        <v>15.6</v>
      </c>
      <c r="H33" s="63" t="n">
        <v>16</v>
      </c>
      <c r="I33" s="63" t="n">
        <v>17.3</v>
      </c>
      <c r="J33" s="63" t="n">
        <v>19.5</v>
      </c>
      <c r="K33" s="63" t="n">
        <v>21</v>
      </c>
      <c r="L33" s="63" t="n">
        <v>21.2</v>
      </c>
      <c r="M33" s="63" t="n">
        <v>21.8</v>
      </c>
      <c r="N33" s="63" t="n">
        <v>21.9</v>
      </c>
      <c r="O33" s="63" t="n">
        <v>22.3</v>
      </c>
      <c r="P33" s="63" t="n">
        <v>23.1</v>
      </c>
      <c r="Q33" s="63" t="n">
        <v>24</v>
      </c>
      <c r="R33" s="63" t="n">
        <v>23.3</v>
      </c>
      <c r="S33" s="63" t="n">
        <v>24.1</v>
      </c>
      <c r="T33" s="63" t="n">
        <v>25.2</v>
      </c>
      <c r="U33" s="63" t="n">
        <v>25.6</v>
      </c>
      <c r="V33" s="63" t="n">
        <v>25.7</v>
      </c>
      <c r="W33" s="63" t="n">
        <v>26.5</v>
      </c>
      <c r="X33" s="63" t="n">
        <v>27.2</v>
      </c>
      <c r="Y33" s="63" t="n">
        <v>28.2</v>
      </c>
      <c r="Z33" s="63" t="n">
        <v>29.5</v>
      </c>
      <c r="AA33" s="63" t="n">
        <v>30.6</v>
      </c>
      <c r="AB33" s="63" t="n">
        <v>31.6</v>
      </c>
      <c r="AC33" s="63" t="n">
        <v>32.6</v>
      </c>
      <c r="AD33" s="63" t="n">
        <v>33.5</v>
      </c>
      <c r="AE33" s="63" t="n">
        <v>34.7</v>
      </c>
      <c r="AF33" s="63" t="n">
        <v>35.9</v>
      </c>
      <c r="AG33" s="63" t="n">
        <v>37.3</v>
      </c>
      <c r="AH33" s="63" t="n">
        <v>38.6</v>
      </c>
      <c r="AI33" s="63" t="n">
        <v>40.1</v>
      </c>
      <c r="AJ33" s="63" t="n">
        <v>40.9</v>
      </c>
      <c r="AK33" s="63" t="n">
        <v>42.1</v>
      </c>
      <c r="AL33" s="63" t="n">
        <v>42</v>
      </c>
      <c r="AM33" s="63" t="n">
        <v>42.1</v>
      </c>
      <c r="AN33" s="63" t="n">
        <v>45.4</v>
      </c>
      <c r="AO33" s="63" t="n">
        <v>46.6</v>
      </c>
      <c r="AP33" s="63" t="n">
        <v>46.6</v>
      </c>
      <c r="AQ33" s="63" t="n">
        <v>48</v>
      </c>
      <c r="AR33" s="63" t="n">
        <v>49.4</v>
      </c>
      <c r="AS33" s="63" t="n">
        <v>51.6</v>
      </c>
      <c r="AT33" s="63" t="n">
        <v>52.5</v>
      </c>
      <c r="AU33" s="63" t="n">
        <v>53.7</v>
      </c>
      <c r="AV33" s="63" t="n">
        <v>55.5</v>
      </c>
      <c r="AW33" s="63" t="n">
        <v>56.8</v>
      </c>
      <c r="AX33" s="63" t="n">
        <v>57.3</v>
      </c>
      <c r="AY33" s="63" t="n">
        <v>58.1</v>
      </c>
      <c r="AZ33" s="63" t="n">
        <v>60.4</v>
      </c>
      <c r="BA33" s="63" t="n">
        <v>60.8</v>
      </c>
      <c r="BB33" s="63" t="n">
        <v>61.3</v>
      </c>
      <c r="BC33" s="63" t="n">
        <v>64.3</v>
      </c>
      <c r="BD33" s="63" t="n">
        <v>68.1</v>
      </c>
      <c r="BE33" s="63" t="n">
        <v>70.7</v>
      </c>
      <c r="BF33" s="63" t="n">
        <v>73.3</v>
      </c>
      <c r="BG33" s="63" t="n">
        <v>75.8</v>
      </c>
      <c r="BH33" s="63" t="n">
        <v>76.8</v>
      </c>
      <c r="BI33" s="63" t="n">
        <v>78.2</v>
      </c>
      <c r="BJ33" s="63" t="n">
        <v>79.3</v>
      </c>
      <c r="BK33" s="63" t="n">
        <v>80.9</v>
      </c>
      <c r="BL33" s="63" t="n">
        <v>81.5</v>
      </c>
      <c r="BM33" s="63" t="n">
        <v>83.7</v>
      </c>
      <c r="BN33" s="63" t="n">
        <v>84.5</v>
      </c>
      <c r="BO33" s="63" t="n">
        <v>85</v>
      </c>
      <c r="BP33" s="63" t="n">
        <v>87.5</v>
      </c>
      <c r="BQ33" s="63" t="n">
        <v>91.8</v>
      </c>
      <c r="BR33" s="63" t="n">
        <v>92.4</v>
      </c>
      <c r="BS33" s="63" t="n">
        <v>101.5</v>
      </c>
      <c r="BT33" s="63" t="n">
        <v>94.1</v>
      </c>
      <c r="BU33" s="63" t="n">
        <v>98.4</v>
      </c>
      <c r="BV33" s="63" t="n">
        <v>99.4</v>
      </c>
      <c r="BW33" s="63" t="n">
        <v>97.2</v>
      </c>
      <c r="BX33" s="63" t="n">
        <v>104.1</v>
      </c>
      <c r="BY33" s="63" t="n">
        <v>107.6</v>
      </c>
      <c r="BZ33" s="63" t="n">
        <v>113.4</v>
      </c>
      <c r="CA33" s="63" t="n">
        <v>118.3</v>
      </c>
      <c r="CB33" s="63" t="n">
        <v>114.5</v>
      </c>
      <c r="CC33" s="63" t="n">
        <v>112.4</v>
      </c>
      <c r="CD33" s="63" t="n">
        <v>119.4</v>
      </c>
      <c r="CE33" s="63" t="n">
        <v>122.6</v>
      </c>
      <c r="CF33" s="63" t="n">
        <v>123.7</v>
      </c>
      <c r="CG33" s="63" t="n">
        <v>124.6</v>
      </c>
      <c r="CH33" s="63" t="n">
        <v>121.2</v>
      </c>
      <c r="CI33" s="63" t="n">
        <v>124.5</v>
      </c>
      <c r="CJ33" s="63" t="n">
        <v>126.1</v>
      </c>
      <c r="CK33" s="63" t="n">
        <v>129.5</v>
      </c>
      <c r="CL33" s="63" t="n">
        <v>127.6</v>
      </c>
      <c r="CM33" s="63" t="n">
        <v>136.9</v>
      </c>
      <c r="CN33" s="63" t="n">
        <v>136.8</v>
      </c>
      <c r="CO33" s="63" t="n">
        <v>140</v>
      </c>
      <c r="CP33" s="63" t="n">
        <v>136.7</v>
      </c>
      <c r="CQ33" s="63" t="n">
        <v>138.3</v>
      </c>
      <c r="CR33" s="63" t="n">
        <v>143.6</v>
      </c>
      <c r="CS33" s="63" t="n">
        <v>145.8</v>
      </c>
      <c r="CT33" s="63" t="n">
        <v>146.9</v>
      </c>
      <c r="CU33" s="63" t="n">
        <v>141.9</v>
      </c>
      <c r="CV33" s="63" t="n">
        <v>151.2</v>
      </c>
      <c r="CW33" s="63" t="n">
        <v>152</v>
      </c>
      <c r="CX33" s="63" t="n">
        <v>156.9</v>
      </c>
      <c r="CY33" s="63" t="n">
        <v>152.4</v>
      </c>
      <c r="CZ33" s="63" t="n">
        <v>160.7</v>
      </c>
      <c r="DA33" s="63" t="n">
        <v>162.4</v>
      </c>
      <c r="DB33" s="63" t="n">
        <v>165.3</v>
      </c>
      <c r="DC33" s="63" t="n">
        <v>165.9</v>
      </c>
      <c r="DD33" s="63" t="n">
        <v>169.3</v>
      </c>
      <c r="DE33" s="63" t="n">
        <v>174.1</v>
      </c>
      <c r="DF33" s="63" t="n">
        <v>177.8</v>
      </c>
      <c r="DG33" s="63" t="n">
        <v>176.9</v>
      </c>
      <c r="DH33" s="63" t="n">
        <v>184.1</v>
      </c>
      <c r="DI33" s="63" t="n">
        <v>189.2</v>
      </c>
      <c r="DJ33" s="63" t="n">
        <v>195.6</v>
      </c>
      <c r="DK33" s="63" t="n">
        <v>201.4</v>
      </c>
      <c r="DL33" s="63" t="n">
        <v>201.6</v>
      </c>
      <c r="DM33" s="63" t="n">
        <v>206.3</v>
      </c>
      <c r="DN33" s="63" t="n">
        <v>208.2</v>
      </c>
      <c r="DO33" s="63" t="n">
        <v>209.4</v>
      </c>
      <c r="DP33" s="63" t="n">
        <v>216.4</v>
      </c>
      <c r="DQ33" s="63" t="n">
        <v>224</v>
      </c>
      <c r="DR33" s="63" t="n">
        <v>232.2</v>
      </c>
      <c r="DS33" s="63" t="n">
        <v>243.3</v>
      </c>
      <c r="DT33" s="63" t="n">
        <v>236.6</v>
      </c>
      <c r="DU33" s="63" t="n">
        <v>234.8</v>
      </c>
      <c r="DV33" s="63" t="n">
        <v>250.9</v>
      </c>
      <c r="DW33" s="63" t="n">
        <v>259.9</v>
      </c>
      <c r="DX33" s="63" t="n">
        <v>231.9</v>
      </c>
      <c r="DY33" s="63" t="n">
        <v>229.3</v>
      </c>
      <c r="DZ33" s="63" t="n">
        <v>227.4</v>
      </c>
      <c r="EA33" s="63" t="n">
        <v>214.3</v>
      </c>
      <c r="EB33" s="63" t="n">
        <v>218.8</v>
      </c>
      <c r="EC33" s="63" t="n">
        <v>218.9</v>
      </c>
      <c r="ED33" s="63" t="n">
        <v>217.9</v>
      </c>
      <c r="EE33" s="63" t="n">
        <v>207.9</v>
      </c>
      <c r="EF33" s="63" t="n">
        <v>234.2</v>
      </c>
      <c r="EG33" s="63" t="n">
        <v>239.7</v>
      </c>
      <c r="EH33" s="63" t="n">
        <v>239</v>
      </c>
      <c r="EI33" s="63" t="n">
        <v>234.3</v>
      </c>
      <c r="EJ33" s="63" t="n">
        <v>247.7</v>
      </c>
      <c r="EK33" s="63" t="n">
        <v>261.8</v>
      </c>
      <c r="EL33" s="63" t="n">
        <v>269.4</v>
      </c>
      <c r="EM33" s="63" t="n">
        <v>270.4</v>
      </c>
      <c r="EN33" s="63" t="n">
        <v>276</v>
      </c>
      <c r="EO33" s="63" t="n">
        <v>285.2</v>
      </c>
      <c r="EP33" s="63" t="n">
        <v>294.9</v>
      </c>
      <c r="EQ33" s="63" t="n">
        <v>310.1</v>
      </c>
      <c r="ER33" s="63" t="n">
        <v>297.7</v>
      </c>
      <c r="ES33" s="63" t="n">
        <v>301.7</v>
      </c>
      <c r="ET33" s="63" t="n">
        <v>320.5</v>
      </c>
      <c r="EU33" s="63" t="n">
        <v>332</v>
      </c>
      <c r="EV33" s="63" t="n">
        <v>319.6</v>
      </c>
      <c r="EW33" s="63" t="n">
        <v>314.2</v>
      </c>
      <c r="EX33" s="63" t="n">
        <v>333.4</v>
      </c>
      <c r="EY33" s="63" t="n">
        <v>361.1</v>
      </c>
      <c r="EZ33" s="63" t="n">
        <v>323.8</v>
      </c>
      <c r="FA33" s="63" t="n">
        <v>305.1</v>
      </c>
      <c r="FB33" s="63" t="n">
        <v>281.1</v>
      </c>
      <c r="FC33" s="63" t="n">
        <v>275.6</v>
      </c>
      <c r="FD33" s="63" t="n">
        <v>293.3</v>
      </c>
      <c r="FE33" s="63" t="n">
        <v>293.3</v>
      </c>
      <c r="FF33" s="63" t="n">
        <v>288.4</v>
      </c>
      <c r="FG33" s="63" t="n">
        <v>278</v>
      </c>
      <c r="FH33" s="63" t="n">
        <v>297.8</v>
      </c>
      <c r="FI33" s="63" t="n">
        <v>311.9</v>
      </c>
      <c r="FJ33" s="63" t="n">
        <v>315.2</v>
      </c>
      <c r="FK33" s="63" t="n">
        <v>319.4</v>
      </c>
      <c r="FL33" s="63" t="n">
        <v>327.2</v>
      </c>
      <c r="FM33" s="63" t="n">
        <v>329.9</v>
      </c>
      <c r="FN33" s="63" t="n">
        <v>330.1</v>
      </c>
      <c r="FO33" s="63" t="n">
        <v>337</v>
      </c>
      <c r="FP33" s="63" t="n">
        <v>346.2</v>
      </c>
      <c r="FQ33" s="63" t="n">
        <v>359.2</v>
      </c>
      <c r="FR33" s="63" t="n">
        <v>376.5</v>
      </c>
      <c r="FS33" s="63" t="n">
        <v>386.1</v>
      </c>
      <c r="FT33" s="63" t="n">
        <v>366.6</v>
      </c>
      <c r="FU33" s="63" t="n">
        <v>364.9</v>
      </c>
      <c r="FV33" s="63" t="n">
        <v>375.7</v>
      </c>
      <c r="FW33" s="63" t="n">
        <v>369.4</v>
      </c>
      <c r="FX33" s="63" t="n">
        <v>385.3</v>
      </c>
      <c r="FY33" s="63" t="n">
        <v>393</v>
      </c>
      <c r="FZ33" s="63" t="n">
        <v>395.4</v>
      </c>
      <c r="GA33" s="63" t="n">
        <v>415.3</v>
      </c>
      <c r="GB33" s="63" t="n">
        <v>406.5</v>
      </c>
      <c r="GC33" s="63" t="n">
        <v>412.3</v>
      </c>
      <c r="GD33" s="63" t="n">
        <v>397.8</v>
      </c>
      <c r="GE33" s="63" t="n">
        <v>406.6</v>
      </c>
      <c r="GF33" s="63" t="n">
        <v>418.2</v>
      </c>
      <c r="GG33" s="63" t="n">
        <v>418.4</v>
      </c>
      <c r="GH33" s="63" t="n">
        <v>424.1</v>
      </c>
      <c r="GI33" s="63" t="n">
        <v>411.9</v>
      </c>
      <c r="GJ33" s="63" t="n">
        <v>431.6</v>
      </c>
      <c r="GK33" s="63" t="n">
        <v>474.5</v>
      </c>
      <c r="GL33" s="63" t="n">
        <v>475.7</v>
      </c>
      <c r="GM33" s="63" t="n">
        <v>450.7</v>
      </c>
      <c r="GN33" s="63" t="n">
        <v>460.5</v>
      </c>
      <c r="GO33" s="63" t="n">
        <v>452.9</v>
      </c>
      <c r="GP33" s="63" t="n">
        <v>472.5</v>
      </c>
      <c r="GQ33" s="63" t="n">
        <v>529</v>
      </c>
      <c r="GR33" s="63" t="n">
        <v>495.2</v>
      </c>
      <c r="GS33" s="63" t="n">
        <v>489.6</v>
      </c>
      <c r="GT33" s="63" t="n">
        <v>497.5</v>
      </c>
      <c r="GU33" s="63" t="n">
        <v>488</v>
      </c>
      <c r="GV33" s="63" t="n">
        <v>515.4</v>
      </c>
      <c r="GW33" s="63" t="n">
        <v>522.9</v>
      </c>
      <c r="GX33" s="63" t="n">
        <v>543.6</v>
      </c>
      <c r="GY33" s="63" t="n">
        <v>566.6</v>
      </c>
      <c r="GZ33" s="63" t="n">
        <v>534.4</v>
      </c>
      <c r="HA33" s="63" t="n">
        <v>570.8</v>
      </c>
      <c r="HB33" s="63" t="n">
        <v>581.3</v>
      </c>
      <c r="HC33" t="n">
        <v>589.8</v>
      </c>
      <c r="HD33" t="n">
        <v>594.8</v>
      </c>
      <c r="HE33" t="n">
        <v>582.1</v>
      </c>
    </row>
    <row r="34">
      <c r="A34" s="63" t="s">
        <v>2468</v>
      </c>
      <c r="B34" s="63" t="n">
        <v>70.6</v>
      </c>
      <c r="C34" s="63" t="n">
        <v>72.4</v>
      </c>
      <c r="D34" s="63" t="n">
        <v>74.3</v>
      </c>
      <c r="E34" s="63" t="n">
        <v>76</v>
      </c>
      <c r="F34" s="63" t="n">
        <v>78.3</v>
      </c>
      <c r="G34" s="63" t="n">
        <v>80.2</v>
      </c>
      <c r="H34" s="63" t="n">
        <v>82.8</v>
      </c>
      <c r="I34" s="63" t="n">
        <v>84.7</v>
      </c>
      <c r="J34" s="63" t="n">
        <v>86.4</v>
      </c>
      <c r="K34" s="63" t="n">
        <v>88.5</v>
      </c>
      <c r="L34" s="63" t="n">
        <v>90.4</v>
      </c>
      <c r="M34" s="63" t="n">
        <v>92.5</v>
      </c>
      <c r="N34" s="63" t="n">
        <v>95.1</v>
      </c>
      <c r="O34" s="63" t="n">
        <v>96.3</v>
      </c>
      <c r="P34" s="63" t="n">
        <v>98.7</v>
      </c>
      <c r="Q34" s="63" t="n">
        <v>99.6</v>
      </c>
      <c r="R34" s="63" t="n">
        <v>101</v>
      </c>
      <c r="S34" s="63" t="n">
        <v>104</v>
      </c>
      <c r="T34" s="63" t="n">
        <v>106.8</v>
      </c>
      <c r="U34" s="63" t="n">
        <v>107.5</v>
      </c>
      <c r="V34" s="63" t="n">
        <v>109</v>
      </c>
      <c r="W34" s="63" t="n">
        <v>111.7</v>
      </c>
      <c r="X34" s="63" t="n">
        <v>114.9</v>
      </c>
      <c r="Y34" s="63" t="n">
        <v>117.3</v>
      </c>
      <c r="Z34" s="63" t="n">
        <v>120.9</v>
      </c>
      <c r="AA34" s="63" t="n">
        <v>123.5</v>
      </c>
      <c r="AB34" s="63" t="n">
        <v>126</v>
      </c>
      <c r="AC34" s="63" t="n">
        <v>129.6</v>
      </c>
      <c r="AD34" s="63" t="n">
        <v>132.9</v>
      </c>
      <c r="AE34" s="63" t="n">
        <v>135.5</v>
      </c>
      <c r="AF34" s="63" t="n">
        <v>138.3</v>
      </c>
      <c r="AG34" s="63" t="n">
        <v>141.1</v>
      </c>
      <c r="AH34" s="63" t="n">
        <v>143</v>
      </c>
      <c r="AI34" s="63" t="n">
        <v>147.7</v>
      </c>
      <c r="AJ34" s="63" t="n">
        <v>144.2</v>
      </c>
      <c r="AK34" s="63" t="n">
        <v>147.6</v>
      </c>
      <c r="AL34" s="63" t="n">
        <v>150.6</v>
      </c>
      <c r="AM34" s="63" t="n">
        <v>152.6</v>
      </c>
      <c r="AN34" s="63" t="n">
        <v>155.6</v>
      </c>
      <c r="AO34" s="63" t="n">
        <v>159</v>
      </c>
      <c r="AP34" s="63" t="n">
        <v>161.9</v>
      </c>
      <c r="AQ34" s="63" t="n">
        <v>163.3</v>
      </c>
      <c r="AR34" s="63" t="n">
        <v>168.2</v>
      </c>
      <c r="AS34" s="63" t="n">
        <v>173.3</v>
      </c>
      <c r="AT34" s="63" t="n">
        <v>180.2</v>
      </c>
      <c r="AU34" s="63" t="n">
        <v>183.7</v>
      </c>
      <c r="AV34" s="63" t="n">
        <v>188.3</v>
      </c>
      <c r="AW34" s="63" t="n">
        <v>190.7</v>
      </c>
      <c r="AX34" s="63" t="n">
        <v>193.9</v>
      </c>
      <c r="AY34" s="63" t="n">
        <v>198.3</v>
      </c>
      <c r="AZ34" s="63" t="n">
        <v>201.7</v>
      </c>
      <c r="BA34" s="63" t="n">
        <v>206</v>
      </c>
      <c r="BB34" s="63" t="n">
        <v>209.6</v>
      </c>
      <c r="BC34" s="63" t="n">
        <v>216</v>
      </c>
      <c r="BD34" s="63" t="n">
        <v>222</v>
      </c>
      <c r="BE34" s="63" t="n">
        <v>228</v>
      </c>
      <c r="BF34" s="63" t="n">
        <v>234.7</v>
      </c>
      <c r="BG34" s="63" t="n">
        <v>240.3</v>
      </c>
      <c r="BH34" s="63" t="n">
        <v>244.7</v>
      </c>
      <c r="BI34" s="63" t="n">
        <v>250.2</v>
      </c>
      <c r="BJ34" s="63" t="n">
        <v>254.7</v>
      </c>
      <c r="BK34" s="63" t="n">
        <v>260</v>
      </c>
      <c r="BL34" s="63" t="n">
        <v>265.1</v>
      </c>
      <c r="BM34" s="63" t="n">
        <v>268.5</v>
      </c>
      <c r="BN34" s="63" t="n">
        <v>273</v>
      </c>
      <c r="BO34" s="63" t="n">
        <v>276.6</v>
      </c>
      <c r="BP34" s="63" t="n">
        <v>282.3</v>
      </c>
      <c r="BQ34" s="63" t="n">
        <v>286.8</v>
      </c>
      <c r="BR34" s="63" t="n">
        <v>291.9</v>
      </c>
      <c r="BS34" s="63" t="n">
        <v>298.5</v>
      </c>
      <c r="BT34" s="63" t="n">
        <v>306</v>
      </c>
      <c r="BU34" s="63" t="n">
        <v>310</v>
      </c>
      <c r="BV34" s="63" t="n">
        <v>315.7</v>
      </c>
      <c r="BW34" s="63" t="n">
        <v>323.2</v>
      </c>
      <c r="BX34" s="63" t="n">
        <v>327.3</v>
      </c>
      <c r="BY34" s="63" t="n">
        <v>332.4</v>
      </c>
      <c r="BZ34" s="63" t="n">
        <v>340.2</v>
      </c>
      <c r="CA34" s="63" t="n">
        <v>348.2</v>
      </c>
      <c r="CB34" s="63" t="n">
        <v>353.9</v>
      </c>
      <c r="CC34" s="63" t="n">
        <v>354.2</v>
      </c>
      <c r="CD34" s="63" t="n">
        <v>369.3</v>
      </c>
      <c r="CE34" s="63" t="n">
        <v>368.7</v>
      </c>
      <c r="CF34" s="63" t="n">
        <v>375.6</v>
      </c>
      <c r="CG34" s="63" t="n">
        <v>382.7</v>
      </c>
      <c r="CH34" s="63" t="n">
        <v>384.3</v>
      </c>
      <c r="CI34" s="63" t="n">
        <v>390.2</v>
      </c>
      <c r="CJ34" s="63" t="n">
        <v>399.4</v>
      </c>
      <c r="CK34" s="63" t="n">
        <v>407.3</v>
      </c>
      <c r="CL34" s="63" t="n">
        <v>412.8</v>
      </c>
      <c r="CM34" s="63" t="n">
        <v>418.2</v>
      </c>
      <c r="CN34" s="63" t="n">
        <v>424.1</v>
      </c>
      <c r="CO34" s="63" t="n">
        <v>425.3</v>
      </c>
      <c r="CP34" s="63" t="n">
        <v>427.5</v>
      </c>
      <c r="CQ34" s="63" t="n">
        <v>432.8</v>
      </c>
      <c r="CR34" s="63" t="n">
        <v>439.5</v>
      </c>
      <c r="CS34" s="63" t="n">
        <v>447.2</v>
      </c>
      <c r="CT34" s="63" t="n">
        <v>456</v>
      </c>
      <c r="CU34" s="63" t="n">
        <v>465.8</v>
      </c>
      <c r="CV34" s="63" t="n">
        <v>470</v>
      </c>
      <c r="CW34" s="63" t="n">
        <v>473.3</v>
      </c>
      <c r="CX34" s="63" t="n">
        <v>478.8</v>
      </c>
      <c r="CY34" s="63" t="n">
        <v>477.9</v>
      </c>
      <c r="CZ34" s="63" t="n">
        <v>483.5</v>
      </c>
      <c r="DA34" s="63" t="n">
        <v>489.3</v>
      </c>
      <c r="DB34" s="63" t="n">
        <v>497.8</v>
      </c>
      <c r="DC34" s="63" t="n">
        <v>506.5</v>
      </c>
      <c r="DD34" s="63" t="n">
        <v>510.1</v>
      </c>
      <c r="DE34" s="63" t="n">
        <v>517.3</v>
      </c>
      <c r="DF34" s="63" t="n">
        <v>523.8</v>
      </c>
      <c r="DG34" s="63" t="n">
        <v>530.7</v>
      </c>
      <c r="DH34" s="63" t="n">
        <v>536.6</v>
      </c>
      <c r="DI34" s="63" t="n">
        <v>544</v>
      </c>
      <c r="DJ34" s="63" t="n">
        <v>549.6</v>
      </c>
      <c r="DK34" s="63" t="n">
        <v>555.4</v>
      </c>
      <c r="DL34" s="63" t="n">
        <v>561.6</v>
      </c>
      <c r="DM34" s="63" t="n">
        <v>568.6</v>
      </c>
      <c r="DN34" s="63" t="n">
        <v>576.2</v>
      </c>
      <c r="DO34" s="63" t="n">
        <v>585.4</v>
      </c>
      <c r="DP34" s="63" t="n">
        <v>595.2</v>
      </c>
      <c r="DQ34" s="63" t="n">
        <v>603.7</v>
      </c>
      <c r="DR34" s="63" t="n">
        <v>612.4</v>
      </c>
      <c r="DS34" s="63" t="n">
        <v>618.9</v>
      </c>
      <c r="DT34" s="63" t="n">
        <v>623.7</v>
      </c>
      <c r="DU34" s="63" t="n">
        <v>630.1</v>
      </c>
      <c r="DV34" s="63" t="n">
        <v>637.1</v>
      </c>
      <c r="DW34" s="63" t="n">
        <v>637.8</v>
      </c>
      <c r="DX34" s="63" t="n">
        <v>641.7</v>
      </c>
      <c r="DY34" s="63" t="n">
        <v>653</v>
      </c>
      <c r="DZ34" s="63" t="n">
        <v>659.3</v>
      </c>
      <c r="EA34" s="63" t="n">
        <v>664</v>
      </c>
      <c r="EB34" s="63" t="n">
        <v>680.5</v>
      </c>
      <c r="EC34" s="63" t="n">
        <v>689</v>
      </c>
      <c r="ED34" s="63" t="n">
        <v>698.5</v>
      </c>
      <c r="EE34" s="63" t="n">
        <v>709.9</v>
      </c>
      <c r="EF34" s="63" t="n">
        <v>723.4</v>
      </c>
      <c r="EG34" s="63" t="n">
        <v>729.8</v>
      </c>
      <c r="EH34" s="63" t="n">
        <v>753.2</v>
      </c>
      <c r="EI34" s="63" t="n">
        <v>765.1</v>
      </c>
      <c r="EJ34" s="63" t="n">
        <v>775.4</v>
      </c>
      <c r="EK34" s="63" t="n">
        <v>797.6</v>
      </c>
      <c r="EL34" s="63" t="n">
        <v>817.9</v>
      </c>
      <c r="EM34" s="63" t="n">
        <v>835.9</v>
      </c>
      <c r="EN34" s="63" t="n">
        <v>851.8</v>
      </c>
      <c r="EO34" s="63" t="n">
        <v>866.6</v>
      </c>
      <c r="EP34" s="63" t="n">
        <v>882.7</v>
      </c>
      <c r="EQ34" s="63" t="n">
        <v>892.2</v>
      </c>
      <c r="ER34" s="63" t="n">
        <v>903.9</v>
      </c>
      <c r="ES34" s="63" t="n">
        <v>912.4</v>
      </c>
      <c r="ET34" s="63" t="n">
        <v>931.9</v>
      </c>
      <c r="EU34" s="63" t="n">
        <v>939.4</v>
      </c>
      <c r="EV34" s="63" t="n">
        <v>940.4</v>
      </c>
      <c r="EW34" s="63" t="n">
        <v>957.1</v>
      </c>
      <c r="EX34" s="63" t="n">
        <v>952.5</v>
      </c>
      <c r="EY34" s="63" t="n">
        <v>959.4</v>
      </c>
      <c r="EZ34" s="63" t="n">
        <v>964.8</v>
      </c>
      <c r="FA34" s="63" t="n">
        <v>946.3</v>
      </c>
      <c r="FB34" s="63" t="n">
        <v>929.2</v>
      </c>
      <c r="FC34" s="63" t="n">
        <v>923</v>
      </c>
      <c r="FD34" s="63" t="n">
        <v>937.4</v>
      </c>
      <c r="FE34" s="63" t="n">
        <v>952.1</v>
      </c>
      <c r="FF34" s="63" t="n">
        <v>951.6</v>
      </c>
      <c r="FG34" s="63" t="n">
        <v>965.7</v>
      </c>
      <c r="FH34" s="63" t="n">
        <v>970.1</v>
      </c>
      <c r="FI34" s="63" t="n">
        <v>977.7</v>
      </c>
      <c r="FJ34" s="63" t="n">
        <v>986.8</v>
      </c>
      <c r="FK34" s="63" t="n">
        <v>996.4</v>
      </c>
      <c r="FL34" s="63" t="n">
        <v>994.5</v>
      </c>
      <c r="FM34" s="63" t="n">
        <v>1002.7</v>
      </c>
      <c r="FN34" s="63" t="n">
        <v>1016.9</v>
      </c>
      <c r="FO34" s="63" t="n">
        <v>1019.5</v>
      </c>
      <c r="FP34" s="63" t="n">
        <v>1016.6</v>
      </c>
      <c r="FQ34" s="63" t="n">
        <v>1030.8</v>
      </c>
      <c r="FR34" s="63" t="n">
        <v>1052.3</v>
      </c>
      <c r="FS34" s="63" t="n">
        <v>1056.4</v>
      </c>
      <c r="FT34" s="63" t="n">
        <v>1068.7</v>
      </c>
      <c r="FU34" s="63" t="n">
        <v>1075.3</v>
      </c>
      <c r="FV34" s="63" t="n">
        <v>1083.9</v>
      </c>
      <c r="FW34" s="63" t="n">
        <v>1102.2</v>
      </c>
      <c r="FX34" s="63" t="n">
        <v>1111.4</v>
      </c>
      <c r="FY34" s="63" t="n">
        <v>1120.6</v>
      </c>
      <c r="FZ34" s="63" t="n">
        <v>1122.3</v>
      </c>
      <c r="GA34" s="63" t="n">
        <v>1129.6</v>
      </c>
      <c r="GB34" s="63" t="n">
        <v>1139.4</v>
      </c>
      <c r="GC34" s="63" t="n">
        <v>1148.2</v>
      </c>
      <c r="GD34" s="63" t="n">
        <v>1157.7</v>
      </c>
      <c r="GE34" s="63" t="n">
        <v>1165.3</v>
      </c>
      <c r="GF34" s="63" t="n">
        <v>1184.8</v>
      </c>
      <c r="GG34" s="63" t="n">
        <v>1192.8</v>
      </c>
      <c r="GH34" s="63" t="n">
        <v>1212.4</v>
      </c>
      <c r="GI34" s="63" t="n">
        <v>1224.9</v>
      </c>
      <c r="GJ34" s="63" t="n">
        <v>1244.3</v>
      </c>
      <c r="GK34" s="63" t="n">
        <v>1262.1</v>
      </c>
      <c r="GL34" s="63" t="n">
        <v>1277</v>
      </c>
      <c r="GM34" s="63" t="n">
        <v>1290.6</v>
      </c>
      <c r="GN34" s="63" t="n">
        <v>1306</v>
      </c>
      <c r="GO34" s="63" t="n">
        <v>1316.7</v>
      </c>
      <c r="GP34" s="63" t="n">
        <v>1330</v>
      </c>
      <c r="GQ34" s="63" t="n">
        <v>1344.8</v>
      </c>
      <c r="GR34" s="63" t="n">
        <v>1373.3</v>
      </c>
      <c r="GS34" s="63" t="n">
        <v>1372.7</v>
      </c>
      <c r="GT34" s="63" t="n">
        <v>1379.3</v>
      </c>
      <c r="GU34" s="63" t="n">
        <v>1293.8</v>
      </c>
      <c r="GV34" s="63" t="n">
        <v>1397.4</v>
      </c>
      <c r="GW34" s="63" t="n">
        <v>1411.4</v>
      </c>
      <c r="GX34" s="63" t="n">
        <v>1427</v>
      </c>
      <c r="GY34" s="63" t="n">
        <v>1499.4</v>
      </c>
      <c r="GZ34" s="63" t="n">
        <v>1503.2</v>
      </c>
      <c r="HA34" s="63" t="n">
        <v>1525.7</v>
      </c>
      <c r="HB34" s="63" t="n">
        <v>1547.7</v>
      </c>
      <c r="HC34" t="n">
        <v>1566.1</v>
      </c>
      <c r="HD34" t="n">
        <v>1582.3</v>
      </c>
      <c r="HE34" t="n">
        <v>1593</v>
      </c>
    </row>
    <row r="35">
      <c r="A35" s="63" t="s">
        <v>2469</v>
      </c>
      <c r="B35" s="63" t="n">
        <v>3.8</v>
      </c>
      <c r="C35" s="63" t="n">
        <v>3.7</v>
      </c>
      <c r="D35" s="63" t="n">
        <v>3.8</v>
      </c>
      <c r="E35" s="63" t="n">
        <v>3.6</v>
      </c>
      <c r="F35" s="63" t="n">
        <v>4.1</v>
      </c>
      <c r="G35" s="63" t="n">
        <v>4.2</v>
      </c>
      <c r="H35" s="63" t="n">
        <v>4.4</v>
      </c>
      <c r="I35" s="63" t="n">
        <v>4.5</v>
      </c>
      <c r="J35" s="63" t="n">
        <v>5</v>
      </c>
      <c r="K35" s="63" t="n">
        <v>5</v>
      </c>
      <c r="L35" s="63" t="n">
        <v>5.2</v>
      </c>
      <c r="M35" s="63" t="n">
        <v>5.7</v>
      </c>
      <c r="N35" s="63" t="n">
        <v>6</v>
      </c>
      <c r="O35" s="63" t="n">
        <v>6.1</v>
      </c>
      <c r="P35" s="63" t="n">
        <v>5.9</v>
      </c>
      <c r="Q35" s="63" t="n">
        <v>6.1</v>
      </c>
      <c r="R35" s="63" t="n">
        <v>6.3</v>
      </c>
      <c r="S35" s="63" t="n">
        <v>6.6</v>
      </c>
      <c r="T35" s="63" t="n">
        <v>7.3</v>
      </c>
      <c r="U35" s="63" t="n">
        <v>6.5</v>
      </c>
      <c r="V35" s="63" t="n">
        <v>6.1</v>
      </c>
      <c r="W35" s="63" t="n">
        <v>6.6</v>
      </c>
      <c r="X35" s="63" t="n">
        <v>8.2</v>
      </c>
      <c r="Y35" s="63" t="n">
        <v>8.4</v>
      </c>
      <c r="Z35" s="63" t="n">
        <v>9.7</v>
      </c>
      <c r="AA35" s="63" t="n">
        <v>9.6</v>
      </c>
      <c r="AB35" s="63" t="n">
        <v>9.7</v>
      </c>
      <c r="AC35" s="63" t="n">
        <v>9.6</v>
      </c>
      <c r="AD35" s="63" t="n">
        <v>10.5</v>
      </c>
      <c r="AE35" s="63" t="n">
        <v>11.4</v>
      </c>
      <c r="AF35" s="63" t="n">
        <v>11.8</v>
      </c>
      <c r="AG35" s="63" t="n">
        <v>12</v>
      </c>
      <c r="AH35" s="63" t="n">
        <v>10.5</v>
      </c>
      <c r="AI35" s="63" t="n">
        <v>12.4</v>
      </c>
      <c r="AJ35" s="63" t="n">
        <v>12.5</v>
      </c>
      <c r="AK35" s="63" t="n">
        <v>13.1</v>
      </c>
      <c r="AL35" s="63" t="n">
        <v>13.7</v>
      </c>
      <c r="AM35" s="63" t="n">
        <v>13.8</v>
      </c>
      <c r="AN35" s="63" t="n">
        <v>13.6</v>
      </c>
      <c r="AO35" s="63" t="n">
        <v>13.2</v>
      </c>
      <c r="AP35" s="63" t="n">
        <v>16.1</v>
      </c>
      <c r="AQ35" s="63" t="n">
        <v>12.8</v>
      </c>
      <c r="AR35" s="63" t="n">
        <v>14</v>
      </c>
      <c r="AS35" s="63" t="n">
        <v>15.1</v>
      </c>
      <c r="AT35" s="63" t="n">
        <v>16.8</v>
      </c>
      <c r="AU35" s="63" t="n">
        <v>15.2</v>
      </c>
      <c r="AV35" s="63" t="n">
        <v>15.7</v>
      </c>
      <c r="AW35" s="63" t="n">
        <v>14.1</v>
      </c>
      <c r="AX35" s="63" t="n">
        <v>14.1</v>
      </c>
      <c r="AY35" s="63" t="n">
        <v>14.3</v>
      </c>
      <c r="AZ35" s="63" t="n">
        <v>14.4</v>
      </c>
      <c r="BA35" s="63" t="n">
        <v>13.3</v>
      </c>
      <c r="BB35" s="63" t="n">
        <v>12.8</v>
      </c>
      <c r="BC35" s="63" t="n">
        <v>15.7</v>
      </c>
      <c r="BD35" s="63" t="n">
        <v>17.4</v>
      </c>
      <c r="BE35" s="63" t="n">
        <v>17.7</v>
      </c>
      <c r="BF35" s="63" t="n">
        <v>20.1</v>
      </c>
      <c r="BG35" s="63" t="n">
        <v>19.9</v>
      </c>
      <c r="BH35" s="63" t="n">
        <v>17.5</v>
      </c>
      <c r="BI35" s="63" t="n">
        <v>17.7</v>
      </c>
      <c r="BJ35" s="63" t="n">
        <v>20</v>
      </c>
      <c r="BK35" s="63" t="n">
        <v>19.6</v>
      </c>
      <c r="BL35" s="63" t="n">
        <v>20.9</v>
      </c>
      <c r="BM35" s="63" t="n">
        <v>20.5</v>
      </c>
      <c r="BN35" s="63" t="n">
        <v>21.4</v>
      </c>
      <c r="BO35" s="63" t="n">
        <v>22</v>
      </c>
      <c r="BP35" s="63" t="n">
        <v>22.4</v>
      </c>
      <c r="BQ35" s="63" t="n">
        <v>24.8</v>
      </c>
      <c r="BR35" s="63" t="n">
        <v>22.7</v>
      </c>
      <c r="BS35" s="63" t="n">
        <v>24.5</v>
      </c>
      <c r="BT35" s="63" t="n">
        <v>24.8</v>
      </c>
      <c r="BU35" s="63" t="n">
        <v>23.6</v>
      </c>
      <c r="BV35" s="63" t="n">
        <v>23.4</v>
      </c>
      <c r="BW35" s="63" t="n">
        <v>25.2</v>
      </c>
      <c r="BX35" s="63" t="n">
        <v>27.3</v>
      </c>
      <c r="BY35" s="63" t="n">
        <v>28.2</v>
      </c>
      <c r="BZ35" s="63" t="n">
        <v>27.8</v>
      </c>
      <c r="CA35" s="63" t="n">
        <v>24.2</v>
      </c>
      <c r="CB35" s="63" t="n">
        <v>22.8</v>
      </c>
      <c r="CC35" s="63" t="n">
        <v>22.1</v>
      </c>
      <c r="CD35" s="63" t="n">
        <v>21.4</v>
      </c>
      <c r="CE35" s="63" t="n">
        <v>22.1</v>
      </c>
      <c r="CF35" s="63" t="n">
        <v>23</v>
      </c>
      <c r="CG35" s="63" t="n">
        <v>23.4</v>
      </c>
      <c r="CH35" s="63" t="n">
        <v>23.8</v>
      </c>
      <c r="CI35" s="63" t="n">
        <v>23.4</v>
      </c>
      <c r="CJ35" s="63" t="n">
        <v>23.7</v>
      </c>
      <c r="CK35" s="63" t="n">
        <v>23.6</v>
      </c>
      <c r="CL35" s="63" t="n">
        <v>25.2</v>
      </c>
      <c r="CM35" s="63" t="n">
        <v>24.7</v>
      </c>
      <c r="CN35" s="63" t="n">
        <v>23.2</v>
      </c>
      <c r="CO35" s="63" t="n">
        <v>24.4</v>
      </c>
      <c r="CP35" s="63" t="n">
        <v>24.8</v>
      </c>
      <c r="CQ35" s="63" t="n">
        <v>26.8</v>
      </c>
      <c r="CR35" s="63" t="n">
        <v>25.2</v>
      </c>
      <c r="CS35" s="63" t="n">
        <v>30.8</v>
      </c>
      <c r="CT35" s="63" t="n">
        <v>27.1</v>
      </c>
      <c r="CU35" s="63" t="n">
        <v>28.7</v>
      </c>
      <c r="CV35" s="63" t="n">
        <v>31.4</v>
      </c>
      <c r="CW35" s="63" t="n">
        <v>32.7</v>
      </c>
      <c r="CX35" s="63" t="n">
        <v>32.5</v>
      </c>
      <c r="CY35" s="63" t="n">
        <v>31.3</v>
      </c>
      <c r="CZ35" s="63" t="n">
        <v>31.9</v>
      </c>
      <c r="DA35" s="63" t="n">
        <v>30.9</v>
      </c>
      <c r="DB35" s="63" t="n">
        <v>31.9</v>
      </c>
      <c r="DC35" s="63" t="n">
        <v>33.5</v>
      </c>
      <c r="DD35" s="63" t="n">
        <v>33.3</v>
      </c>
      <c r="DE35" s="63" t="n">
        <v>33.4</v>
      </c>
      <c r="DF35" s="63" t="n">
        <v>33.1</v>
      </c>
      <c r="DG35" s="63" t="n">
        <v>33.6</v>
      </c>
      <c r="DH35" s="63" t="n">
        <v>35.5</v>
      </c>
      <c r="DI35" s="63" t="n">
        <v>34.4</v>
      </c>
      <c r="DJ35" s="63" t="n">
        <v>34.7</v>
      </c>
      <c r="DK35" s="63" t="n">
        <v>34.5</v>
      </c>
      <c r="DL35" s="63" t="n">
        <v>35.7</v>
      </c>
      <c r="DM35" s="63" t="n">
        <v>34.8</v>
      </c>
      <c r="DN35" s="63" t="n">
        <v>36.3</v>
      </c>
      <c r="DO35" s="63" t="n">
        <v>35.5</v>
      </c>
      <c r="DP35" s="63" t="n">
        <v>35.6</v>
      </c>
      <c r="DQ35" s="63" t="n">
        <v>35.9</v>
      </c>
      <c r="DR35" s="63" t="n">
        <v>37.2</v>
      </c>
      <c r="DS35" s="63" t="n">
        <v>36.5</v>
      </c>
      <c r="DT35" s="63" t="n">
        <v>33.5</v>
      </c>
      <c r="DU35" s="63" t="n">
        <v>33.7</v>
      </c>
      <c r="DV35" s="63" t="n">
        <v>30.1</v>
      </c>
      <c r="DW35" s="63" t="n">
        <v>30.4</v>
      </c>
      <c r="DX35" s="63" t="n">
        <v>28.3</v>
      </c>
      <c r="DY35" s="63" t="n">
        <v>26.6</v>
      </c>
      <c r="DZ35" s="63" t="n">
        <v>28.3</v>
      </c>
      <c r="EA35" s="63" t="n">
        <v>30.2</v>
      </c>
      <c r="EB35" s="63" t="n">
        <v>31.5</v>
      </c>
      <c r="EC35" s="63" t="n">
        <v>33.5</v>
      </c>
      <c r="ED35" s="63" t="n">
        <v>34.5</v>
      </c>
      <c r="EE35" s="63" t="n">
        <v>31.7</v>
      </c>
      <c r="EF35" s="63" t="n">
        <v>33.6</v>
      </c>
      <c r="EG35" s="63" t="n">
        <v>36.2</v>
      </c>
      <c r="EH35" s="63" t="n">
        <v>37.8</v>
      </c>
      <c r="EI35" s="63" t="n">
        <v>40.8</v>
      </c>
      <c r="EJ35" s="63" t="n">
        <v>43.9</v>
      </c>
      <c r="EK35" s="63" t="n">
        <v>44.3</v>
      </c>
      <c r="EL35" s="63" t="n">
        <v>55.3</v>
      </c>
      <c r="EM35" s="63" t="n">
        <v>53</v>
      </c>
      <c r="EN35" s="63" t="n">
        <v>53.3</v>
      </c>
      <c r="EO35" s="63" t="n">
        <v>58.2</v>
      </c>
      <c r="EP35" s="63" t="n">
        <v>59.6</v>
      </c>
      <c r="EQ35" s="63" t="n">
        <v>60.3</v>
      </c>
      <c r="ER35" s="63" t="n">
        <v>61.8</v>
      </c>
      <c r="ES35" s="63" t="n">
        <v>55.2</v>
      </c>
      <c r="ET35" s="63" t="n">
        <v>59.2</v>
      </c>
      <c r="EU35" s="63" t="n">
        <v>59.4</v>
      </c>
      <c r="EV35" s="63" t="n">
        <v>56.3</v>
      </c>
      <c r="EW35" s="63" t="n">
        <v>56.6</v>
      </c>
      <c r="EX35" s="63" t="n">
        <v>50.2</v>
      </c>
      <c r="EY35" s="63" t="n">
        <v>51.6</v>
      </c>
      <c r="EZ35" s="63" t="n">
        <v>52.8</v>
      </c>
      <c r="FA35" s="63" t="n">
        <v>35.1</v>
      </c>
      <c r="FB35" s="63" t="n">
        <v>43.7</v>
      </c>
      <c r="FC35" s="63" t="n">
        <v>49.6</v>
      </c>
      <c r="FD35" s="63" t="n">
        <v>41.3</v>
      </c>
      <c r="FE35" s="63" t="n">
        <v>43.4</v>
      </c>
      <c r="FF35" s="63" t="n">
        <v>45.1</v>
      </c>
      <c r="FG35" s="63" t="n">
        <v>43.4</v>
      </c>
      <c r="FH35" s="63" t="n">
        <v>45.5</v>
      </c>
      <c r="FI35" s="63" t="n">
        <v>50.4</v>
      </c>
      <c r="FJ35" s="63" t="n">
        <v>48.4</v>
      </c>
      <c r="FK35" s="63" t="n">
        <v>49.8</v>
      </c>
      <c r="FL35" s="63" t="n">
        <v>46.4</v>
      </c>
      <c r="FM35" s="63" t="n">
        <v>49</v>
      </c>
      <c r="FN35" s="63" t="n">
        <v>49.2</v>
      </c>
      <c r="FO35" s="63" t="n">
        <v>49.5</v>
      </c>
      <c r="FP35" s="63" t="n">
        <v>52.1</v>
      </c>
      <c r="FQ35" s="63" t="n">
        <v>51.9</v>
      </c>
      <c r="FR35" s="63" t="n">
        <v>53.8</v>
      </c>
      <c r="FS35" s="63" t="n">
        <v>54.1</v>
      </c>
      <c r="FT35" s="63" t="n">
        <v>53.1</v>
      </c>
      <c r="FU35" s="63" t="n">
        <v>54.6</v>
      </c>
      <c r="FV35" s="63" t="n">
        <v>56.4</v>
      </c>
      <c r="FW35" s="63" t="n">
        <v>55.1</v>
      </c>
      <c r="FX35" s="63" t="n">
        <v>57</v>
      </c>
      <c r="FY35" s="63" t="n">
        <v>57.7</v>
      </c>
      <c r="FZ35" s="63" t="n">
        <v>57.6</v>
      </c>
      <c r="GA35" s="63" t="n">
        <v>57.5</v>
      </c>
      <c r="GB35" s="63" t="n">
        <v>55.8</v>
      </c>
      <c r="GC35" s="63" t="n">
        <v>54.1</v>
      </c>
      <c r="GD35" s="63" t="n">
        <v>54</v>
      </c>
      <c r="GE35" s="63" t="n">
        <v>52.4</v>
      </c>
      <c r="GF35" s="63" t="n">
        <v>52.8</v>
      </c>
      <c r="GG35" s="63" t="n">
        <v>54.2</v>
      </c>
      <c r="GH35" s="63" t="n">
        <v>55.7</v>
      </c>
      <c r="GI35" s="63" t="n">
        <v>54.6</v>
      </c>
      <c r="GJ35" s="63" t="n">
        <v>54.1</v>
      </c>
      <c r="GK35" s="63" t="n">
        <v>54.1</v>
      </c>
      <c r="GL35" s="63" t="n">
        <v>55.8</v>
      </c>
      <c r="GM35" s="63" t="n">
        <v>61.1</v>
      </c>
      <c r="GN35" s="63" t="n">
        <v>61.3</v>
      </c>
      <c r="GO35" s="63" t="n">
        <v>63.3</v>
      </c>
      <c r="GP35" s="63" t="n">
        <v>73.6</v>
      </c>
      <c r="GQ35" s="63" t="n">
        <v>74.5</v>
      </c>
      <c r="GR35" s="63" t="n">
        <v>73.4</v>
      </c>
      <c r="GS35" s="63" t="n">
        <v>72.1</v>
      </c>
      <c r="GT35" s="63" t="n">
        <v>67.7</v>
      </c>
      <c r="GU35" s="63" t="n">
        <v>65</v>
      </c>
      <c r="GV35" s="63" t="n">
        <v>80.9</v>
      </c>
      <c r="GW35" s="63" t="n">
        <v>84.8</v>
      </c>
      <c r="GX35" s="63" t="n">
        <v>88</v>
      </c>
      <c r="GY35" s="63" t="n">
        <v>90.3</v>
      </c>
      <c r="GZ35" s="63" t="n">
        <v>94.4</v>
      </c>
      <c r="HA35" s="63" t="n">
        <v>110.5</v>
      </c>
      <c r="HB35" t="n">
        <v>165.9</v>
      </c>
      <c r="HC35" t="n">
        <v>109.8</v>
      </c>
      <c r="HD35" t="n">
        <v>100.7</v>
      </c>
      <c r="HE35"/>
    </row>
    <row r="36">
      <c r="A36" s="63" t="s">
        <v>2470</v>
      </c>
      <c r="B36" s="63" t="n">
        <v>1.1</v>
      </c>
      <c r="C36" s="63" t="n">
        <v>1.1</v>
      </c>
      <c r="D36" s="63" t="n">
        <v>1.1</v>
      </c>
      <c r="E36" s="63" t="n">
        <v>1.1</v>
      </c>
      <c r="F36" s="63" t="n">
        <v>1.1</v>
      </c>
      <c r="G36" s="63" t="n">
        <v>1.2</v>
      </c>
      <c r="H36" s="63" t="n">
        <v>1.2</v>
      </c>
      <c r="I36" s="63" t="n">
        <v>1.2</v>
      </c>
      <c r="J36" s="63" t="n">
        <v>1.3</v>
      </c>
      <c r="K36" s="63" t="n">
        <v>1.3</v>
      </c>
      <c r="L36" s="63" t="n">
        <v>1.3</v>
      </c>
      <c r="M36" s="63" t="n">
        <v>1.4</v>
      </c>
      <c r="N36" s="63" t="n">
        <v>1.4</v>
      </c>
      <c r="O36" s="63" t="n">
        <v>1.5</v>
      </c>
      <c r="P36" s="63" t="n">
        <v>1.5</v>
      </c>
      <c r="Q36" s="63" t="n">
        <v>1.6</v>
      </c>
      <c r="R36" s="63" t="n">
        <v>1.6</v>
      </c>
      <c r="S36" s="63" t="n">
        <v>1.6</v>
      </c>
      <c r="T36" s="63" t="n">
        <v>1.7</v>
      </c>
      <c r="U36" s="63" t="n">
        <v>1.7</v>
      </c>
      <c r="V36" s="63" t="n">
        <v>1.8</v>
      </c>
      <c r="W36" s="63" t="n">
        <v>1.8</v>
      </c>
      <c r="X36" s="63" t="n">
        <v>1.9</v>
      </c>
      <c r="Y36" s="63" t="n">
        <v>2</v>
      </c>
      <c r="Z36" s="63" t="n">
        <v>2</v>
      </c>
      <c r="AA36" s="63" t="n">
        <v>2.1</v>
      </c>
      <c r="AB36" s="63" t="n">
        <v>2.2</v>
      </c>
      <c r="AC36" s="63" t="n">
        <v>2.3</v>
      </c>
      <c r="AD36" s="63" t="n">
        <v>2.5</v>
      </c>
      <c r="AE36" s="63" t="n">
        <v>2.7</v>
      </c>
      <c r="AF36" s="63" t="n">
        <v>2.9</v>
      </c>
      <c r="AG36" s="63" t="n">
        <v>3</v>
      </c>
      <c r="AH36" s="63" t="n">
        <v>3.2</v>
      </c>
      <c r="AI36" s="63" t="n">
        <v>3.3</v>
      </c>
      <c r="AJ36" s="63" t="n">
        <v>3.5</v>
      </c>
      <c r="AK36" s="63" t="n">
        <v>3.6</v>
      </c>
      <c r="AL36" s="63" t="n">
        <v>3.8</v>
      </c>
      <c r="AM36" s="63" t="n">
        <v>3.9</v>
      </c>
      <c r="AN36" s="63" t="n">
        <v>3.9</v>
      </c>
      <c r="AO36" s="63" t="n">
        <v>4</v>
      </c>
      <c r="AP36" s="63" t="n">
        <v>3.6</v>
      </c>
      <c r="AQ36" s="63" t="n">
        <v>2.9</v>
      </c>
      <c r="AR36" s="63" t="n">
        <v>3.8</v>
      </c>
      <c r="AS36" s="63" t="n">
        <v>4</v>
      </c>
      <c r="AT36" s="63" t="n">
        <v>3.7</v>
      </c>
      <c r="AU36" s="63" t="n">
        <v>3.8</v>
      </c>
      <c r="AV36" s="63" t="n">
        <v>3.9</v>
      </c>
      <c r="AW36" s="63" t="n">
        <v>4</v>
      </c>
      <c r="AX36" s="63" t="n">
        <v>4</v>
      </c>
      <c r="AY36" s="63" t="n">
        <v>4</v>
      </c>
      <c r="AZ36" s="63" t="n">
        <v>4.1</v>
      </c>
      <c r="BA36" s="63" t="n">
        <v>4.1</v>
      </c>
      <c r="BB36" s="63" t="n">
        <v>4</v>
      </c>
      <c r="BC36" s="63" t="n">
        <v>4.1</v>
      </c>
      <c r="BD36" s="63" t="n">
        <v>4.1</v>
      </c>
      <c r="BE36" s="63" t="n">
        <v>4.3</v>
      </c>
      <c r="BF36" s="63" t="n">
        <v>4.5</v>
      </c>
      <c r="BG36" s="63" t="n">
        <v>4.7</v>
      </c>
      <c r="BH36" s="63" t="n">
        <v>4.8</v>
      </c>
      <c r="BI36" s="63" t="n">
        <v>4.8</v>
      </c>
      <c r="BJ36" s="63" t="n">
        <v>4.7</v>
      </c>
      <c r="BK36" s="63" t="n">
        <v>4.8</v>
      </c>
      <c r="BL36" s="63" t="n">
        <v>4.9</v>
      </c>
      <c r="BM36" s="63" t="n">
        <v>5.2</v>
      </c>
      <c r="BN36" s="63" t="n">
        <v>5.5</v>
      </c>
      <c r="BO36" s="63" t="n">
        <v>5.8</v>
      </c>
      <c r="BP36" s="63" t="n">
        <v>6.1</v>
      </c>
      <c r="BQ36" s="63" t="n">
        <v>6.4</v>
      </c>
      <c r="BR36" s="63" t="n">
        <v>6.7</v>
      </c>
      <c r="BS36" s="63" t="n">
        <v>7</v>
      </c>
      <c r="BT36" s="63" t="n">
        <v>7.3</v>
      </c>
      <c r="BU36" s="63" t="n">
        <v>7.7</v>
      </c>
      <c r="BV36" s="63" t="n">
        <v>8</v>
      </c>
      <c r="BW36" s="63" t="n">
        <v>8.3</v>
      </c>
      <c r="BX36" s="63" t="n">
        <v>8.5</v>
      </c>
      <c r="BY36" s="63" t="n">
        <v>8.7</v>
      </c>
      <c r="BZ36" s="63" t="n">
        <v>8.8</v>
      </c>
      <c r="CA36" s="63" t="n">
        <v>8.9</v>
      </c>
      <c r="CB36" s="63" t="n">
        <v>9</v>
      </c>
      <c r="CC36" s="63" t="n">
        <v>9.3</v>
      </c>
      <c r="CD36" s="63" t="n">
        <v>9.5</v>
      </c>
      <c r="CE36" s="63" t="n">
        <v>9.9</v>
      </c>
      <c r="CF36" s="63" t="n">
        <v>10.2</v>
      </c>
      <c r="CG36" s="63" t="n">
        <v>10.5</v>
      </c>
      <c r="CH36" s="63" t="n">
        <v>11</v>
      </c>
      <c r="CI36" s="63" t="n">
        <v>11.4</v>
      </c>
      <c r="CJ36" s="63" t="n">
        <v>11.8</v>
      </c>
      <c r="CK36" s="63" t="n">
        <v>12.2</v>
      </c>
      <c r="CL36" s="63" t="n">
        <v>12.6</v>
      </c>
      <c r="CM36" s="63" t="n">
        <v>13</v>
      </c>
      <c r="CN36" s="63" t="n">
        <v>13.3</v>
      </c>
      <c r="CO36" s="63" t="n">
        <v>13.6</v>
      </c>
      <c r="CP36" s="63" t="n">
        <v>13.8</v>
      </c>
      <c r="CQ36" s="63" t="n">
        <v>14.1</v>
      </c>
      <c r="CR36" s="63" t="n">
        <v>14.2</v>
      </c>
      <c r="CS36" s="63" t="n">
        <v>14.4</v>
      </c>
      <c r="CT36" s="63" t="n">
        <v>14.6</v>
      </c>
      <c r="CU36" s="63" t="n">
        <v>14.6</v>
      </c>
      <c r="CV36" s="63" t="n">
        <v>14.5</v>
      </c>
      <c r="CW36" s="63" t="n">
        <v>14.4</v>
      </c>
      <c r="CX36" s="63" t="n">
        <v>14</v>
      </c>
      <c r="CY36" s="63" t="n">
        <v>13.7</v>
      </c>
      <c r="CZ36" s="63" t="n">
        <v>13.5</v>
      </c>
      <c r="DA36" s="63" t="n">
        <v>13.2</v>
      </c>
      <c r="DB36" s="63" t="n">
        <v>13</v>
      </c>
      <c r="DC36" s="63" t="n">
        <v>12.7</v>
      </c>
      <c r="DD36" s="63" t="n">
        <v>12.3</v>
      </c>
      <c r="DE36" s="63" t="n">
        <v>11.9</v>
      </c>
      <c r="DF36" s="63" t="n">
        <v>11.3</v>
      </c>
      <c r="DG36" s="63" t="n">
        <v>10.9</v>
      </c>
      <c r="DH36" s="63" t="n">
        <v>10.6</v>
      </c>
      <c r="DI36" s="63" t="n">
        <v>10.5</v>
      </c>
      <c r="DJ36" s="63" t="n">
        <v>10.5</v>
      </c>
      <c r="DK36" s="63" t="n">
        <v>10.5</v>
      </c>
      <c r="DL36" s="63" t="n">
        <v>10.3</v>
      </c>
      <c r="DM36" s="63" t="n">
        <v>10.1</v>
      </c>
      <c r="DN36" s="63" t="n">
        <v>9.9</v>
      </c>
      <c r="DO36" s="63" t="n">
        <v>9.7</v>
      </c>
      <c r="DP36" s="63" t="n">
        <v>9.7</v>
      </c>
      <c r="DQ36" s="63" t="n">
        <v>9.8</v>
      </c>
      <c r="DR36" s="63" t="n">
        <v>10</v>
      </c>
      <c r="DS36" s="63" t="n">
        <v>10.4</v>
      </c>
      <c r="DT36" s="63" t="n">
        <v>11</v>
      </c>
      <c r="DU36" s="63" t="n">
        <v>11.8</v>
      </c>
      <c r="DV36" s="63" t="n">
        <v>12.7</v>
      </c>
      <c r="DW36" s="63" t="n">
        <v>13.5</v>
      </c>
      <c r="DX36" s="63" t="n">
        <v>14.1</v>
      </c>
      <c r="DY36" s="63" t="n">
        <v>14.5</v>
      </c>
      <c r="DZ36" s="63" t="n">
        <v>14.9</v>
      </c>
      <c r="EA36" s="63" t="n">
        <v>15.4</v>
      </c>
      <c r="EB36" s="63" t="n">
        <v>16.1</v>
      </c>
      <c r="EC36" s="63" t="n">
        <v>17</v>
      </c>
      <c r="ED36" s="63" t="n">
        <v>18</v>
      </c>
      <c r="EE36" s="63" t="n">
        <v>19.2</v>
      </c>
      <c r="EF36" s="63" t="n">
        <v>20.5</v>
      </c>
      <c r="EG36" s="63" t="n">
        <v>22</v>
      </c>
      <c r="EH36" s="63" t="n">
        <v>23.4</v>
      </c>
      <c r="EI36" s="63" t="n">
        <v>24.5</v>
      </c>
      <c r="EJ36" s="63" t="n">
        <v>25.2</v>
      </c>
      <c r="EK36" s="63" t="n">
        <v>25.5</v>
      </c>
      <c r="EL36" s="63" t="n">
        <v>25.3</v>
      </c>
      <c r="EM36" s="63" t="n">
        <v>25</v>
      </c>
      <c r="EN36" s="63" t="n">
        <v>24.4</v>
      </c>
      <c r="EO36" s="63" t="n">
        <v>23.7</v>
      </c>
      <c r="EP36" s="63" t="n">
        <v>22.8</v>
      </c>
      <c r="EQ36" s="63" t="n">
        <v>21.9</v>
      </c>
      <c r="ER36" s="63" t="n">
        <v>21</v>
      </c>
      <c r="ES36" s="63" t="n">
        <v>20.2</v>
      </c>
      <c r="ET36" s="63" t="n">
        <v>19.4</v>
      </c>
      <c r="EU36" s="63" t="n">
        <v>18.9</v>
      </c>
      <c r="EV36" s="63" t="n">
        <v>18.5</v>
      </c>
      <c r="EW36" s="63" t="n">
        <v>18.5</v>
      </c>
      <c r="EX36" s="63" t="n">
        <v>18.6</v>
      </c>
      <c r="EY36" s="63" t="n">
        <v>18.7</v>
      </c>
      <c r="EZ36" s="63" t="n">
        <v>18.7</v>
      </c>
      <c r="FA36" s="63" t="n">
        <v>18.8</v>
      </c>
      <c r="FB36" s="63" t="n">
        <v>18.8</v>
      </c>
      <c r="FC36" s="63" t="n">
        <v>18.7</v>
      </c>
      <c r="FD36" s="63" t="n">
        <v>18.5</v>
      </c>
      <c r="FE36" s="63" t="n">
        <v>18.3</v>
      </c>
      <c r="FF36" s="63" t="n">
        <v>18</v>
      </c>
      <c r="FG36" s="63" t="n">
        <v>17.7</v>
      </c>
      <c r="FH36" s="63" t="n">
        <v>17.7</v>
      </c>
      <c r="FI36" s="63" t="n">
        <v>17.7</v>
      </c>
      <c r="FJ36" s="63" t="n">
        <v>17.9</v>
      </c>
      <c r="FK36" s="63" t="n">
        <v>18</v>
      </c>
      <c r="FL36" s="63" t="n">
        <v>17.9</v>
      </c>
      <c r="FM36" s="63" t="n">
        <v>17.7</v>
      </c>
      <c r="FN36" s="63" t="n">
        <v>17.4</v>
      </c>
      <c r="FO36" s="63" t="n">
        <v>17.2</v>
      </c>
      <c r="FP36" s="63" t="n">
        <v>17.1</v>
      </c>
      <c r="FQ36" s="63" t="n">
        <v>17.1</v>
      </c>
      <c r="FR36" s="63" t="n">
        <v>17.3</v>
      </c>
      <c r="FS36" s="63" t="n">
        <v>17.5</v>
      </c>
      <c r="FT36" s="63" t="n">
        <v>17.8</v>
      </c>
      <c r="FU36" s="63" t="n">
        <v>18.1</v>
      </c>
      <c r="FV36" s="63" t="n">
        <v>18.4</v>
      </c>
      <c r="FW36" s="63" t="n">
        <v>18.7</v>
      </c>
      <c r="FX36" s="63" t="n">
        <v>18.9</v>
      </c>
      <c r="FY36" s="63" t="n">
        <v>19</v>
      </c>
      <c r="FZ36" s="63" t="n">
        <v>19</v>
      </c>
      <c r="GA36" s="63" t="n">
        <v>19.1</v>
      </c>
      <c r="GB36" s="63" t="n">
        <v>19.3</v>
      </c>
      <c r="GC36" s="63" t="n">
        <v>19.5</v>
      </c>
      <c r="GD36" s="63" t="n">
        <v>19.8</v>
      </c>
      <c r="GE36" s="63" t="n">
        <v>20</v>
      </c>
      <c r="GF36" s="63" t="n">
        <v>20</v>
      </c>
      <c r="GG36" s="63" t="n">
        <v>20</v>
      </c>
      <c r="GH36" s="63" t="n">
        <v>19.8</v>
      </c>
      <c r="GI36" s="63" t="n">
        <v>19.8</v>
      </c>
      <c r="GJ36" s="63" t="n">
        <v>19.8</v>
      </c>
      <c r="GK36" s="63" t="n">
        <v>20</v>
      </c>
      <c r="GL36" s="63" t="n">
        <v>20.2</v>
      </c>
      <c r="GM36" s="63" t="n">
        <v>20.4</v>
      </c>
      <c r="GN36" s="63" t="n">
        <v>20.6</v>
      </c>
      <c r="GO36" s="63" t="n">
        <v>20.6</v>
      </c>
      <c r="GP36" s="63" t="n">
        <v>20.8</v>
      </c>
      <c r="GQ36" s="63" t="n">
        <v>20.8</v>
      </c>
      <c r="GR36" s="63" t="n">
        <v>20.7</v>
      </c>
      <c r="GS36" s="63" t="n">
        <v>20.7</v>
      </c>
      <c r="GT36" s="63" t="n">
        <v>20.7</v>
      </c>
      <c r="GU36" s="63" t="n">
        <v>19.8</v>
      </c>
      <c r="GV36" s="63" t="n">
        <v>20.5</v>
      </c>
      <c r="GW36" s="63" t="n">
        <v>21.3</v>
      </c>
      <c r="GX36" s="63" t="n">
        <v>22</v>
      </c>
      <c r="GY36" s="63" t="n">
        <v>22.7</v>
      </c>
      <c r="GZ36" s="63" t="n">
        <v>23.2</v>
      </c>
      <c r="HA36" s="63" t="n">
        <v>23.4</v>
      </c>
      <c r="HB36" s="63" t="n">
        <v>23.4</v>
      </c>
      <c r="HC36" t="n">
        <v>23.6</v>
      </c>
      <c r="HD36" t="n">
        <v>23.9</v>
      </c>
      <c r="HE36" t="n">
        <v>24.5</v>
      </c>
    </row>
    <row r="37">
      <c r="A37" s="63" t="s">
        <v>2471</v>
      </c>
      <c r="B37" s="63" t="n">
        <v>14.7</v>
      </c>
      <c r="C37" s="63" t="n">
        <v>15.6</v>
      </c>
      <c r="D37" s="63" t="n">
        <v>16.6</v>
      </c>
      <c r="E37" s="63" t="n">
        <v>17.5</v>
      </c>
      <c r="F37" s="63" t="n">
        <v>18.3</v>
      </c>
      <c r="G37" s="63" t="n">
        <v>19.1</v>
      </c>
      <c r="H37" s="63" t="n">
        <v>19.6</v>
      </c>
      <c r="I37" s="63" t="n">
        <v>20.3</v>
      </c>
      <c r="J37" s="63" t="n">
        <v>21.2</v>
      </c>
      <c r="K37" s="63" t="n">
        <v>21.6</v>
      </c>
      <c r="L37" s="63" t="n">
        <v>22.5</v>
      </c>
      <c r="M37" s="63" t="n">
        <v>22.5</v>
      </c>
      <c r="N37" s="63" t="n">
        <v>23.2</v>
      </c>
      <c r="O37" s="63" t="n">
        <v>24</v>
      </c>
      <c r="P37" s="63" t="n">
        <v>24.2</v>
      </c>
      <c r="Q37" s="63" t="n">
        <v>25</v>
      </c>
      <c r="R37" s="63" t="n">
        <v>23.4</v>
      </c>
      <c r="S37" s="63" t="n">
        <v>24.7</v>
      </c>
      <c r="T37" s="63" t="n">
        <v>25.9</v>
      </c>
      <c r="U37" s="63" t="n">
        <v>27.1</v>
      </c>
      <c r="V37" s="63" t="n">
        <v>29.2</v>
      </c>
      <c r="W37" s="63" t="n">
        <v>30.5</v>
      </c>
      <c r="X37" s="63" t="n">
        <v>31</v>
      </c>
      <c r="Y37" s="63" t="n">
        <v>32.6</v>
      </c>
      <c r="Z37" s="63" t="n">
        <v>33.4</v>
      </c>
      <c r="AA37" s="63" t="n">
        <v>33.4</v>
      </c>
      <c r="AB37" s="63" t="n">
        <v>34.7</v>
      </c>
      <c r="AC37" s="63" t="n">
        <v>35</v>
      </c>
      <c r="AD37" s="63" t="n">
        <v>35.7</v>
      </c>
      <c r="AE37" s="63" t="n">
        <v>37.5</v>
      </c>
      <c r="AF37" s="63" t="n">
        <v>37.3</v>
      </c>
      <c r="AG37" s="63" t="n">
        <v>37.7</v>
      </c>
      <c r="AH37" s="63" t="n">
        <v>39.2</v>
      </c>
      <c r="AI37" s="63" t="n">
        <v>41</v>
      </c>
      <c r="AJ37" s="63" t="n">
        <v>41.3</v>
      </c>
      <c r="AK37" s="63" t="n">
        <v>41.7</v>
      </c>
      <c r="AL37" s="63" t="n">
        <v>42.4</v>
      </c>
      <c r="AM37" s="63" t="n">
        <v>43.5</v>
      </c>
      <c r="AN37" s="63" t="n">
        <v>44.5</v>
      </c>
      <c r="AO37" s="63" t="n">
        <v>46.9</v>
      </c>
      <c r="AP37" s="63" t="n">
        <v>49.1</v>
      </c>
      <c r="AQ37" s="63" t="n">
        <v>49</v>
      </c>
      <c r="AR37" s="63" t="n">
        <v>52.4</v>
      </c>
      <c r="AS37" s="63" t="n">
        <v>54.3</v>
      </c>
      <c r="AT37" s="63" t="n">
        <v>55.6</v>
      </c>
      <c r="AU37" s="63" t="n">
        <v>57.4</v>
      </c>
      <c r="AV37" s="63" t="n">
        <v>57.7</v>
      </c>
      <c r="AW37" s="63" t="n">
        <v>57.7</v>
      </c>
      <c r="AX37" s="63" t="n">
        <v>59</v>
      </c>
      <c r="AY37" s="63" t="n">
        <v>61</v>
      </c>
      <c r="AZ37" s="63" t="n">
        <v>62.1</v>
      </c>
      <c r="BA37" s="63" t="n">
        <v>62.6</v>
      </c>
      <c r="BB37" s="63" t="n">
        <v>65.8</v>
      </c>
      <c r="BC37" s="63" t="n">
        <v>66.3</v>
      </c>
      <c r="BD37" s="63" t="n">
        <v>67.2</v>
      </c>
      <c r="BE37" s="63" t="n">
        <v>68.3</v>
      </c>
      <c r="BF37" s="63" t="n">
        <v>69.9</v>
      </c>
      <c r="BG37" s="63" t="n">
        <v>70.6</v>
      </c>
      <c r="BH37" s="63" t="n">
        <v>71.3</v>
      </c>
      <c r="BI37" s="63" t="n">
        <v>72.8</v>
      </c>
      <c r="BJ37" s="63" t="n">
        <v>74.9</v>
      </c>
      <c r="BK37" s="63" t="n">
        <v>76.3</v>
      </c>
      <c r="BL37" s="63" t="n">
        <v>78.1</v>
      </c>
      <c r="BM37" s="63" t="n">
        <v>79.8</v>
      </c>
      <c r="BN37" s="63" t="n">
        <v>81.6</v>
      </c>
      <c r="BO37" s="63" t="n">
        <v>83.6</v>
      </c>
      <c r="BP37" s="63" t="n">
        <v>85.3</v>
      </c>
      <c r="BQ37" s="63" t="n">
        <v>86.9</v>
      </c>
      <c r="BR37" s="63" t="n">
        <v>88.3</v>
      </c>
      <c r="BS37" s="63" t="n">
        <v>89.9</v>
      </c>
      <c r="BT37" s="63" t="n">
        <v>91.6</v>
      </c>
      <c r="BU37" s="63" t="n">
        <v>93.1</v>
      </c>
      <c r="BV37" s="63" t="n">
        <v>95.3</v>
      </c>
      <c r="BW37" s="63" t="n">
        <v>97.3</v>
      </c>
      <c r="BX37" s="63" t="n">
        <v>99.5</v>
      </c>
      <c r="BY37" s="63" t="n">
        <v>101.9</v>
      </c>
      <c r="BZ37" s="63" t="n">
        <v>104.2</v>
      </c>
      <c r="CA37" s="63" t="n">
        <v>107.3</v>
      </c>
      <c r="CB37" s="63" t="n">
        <v>111</v>
      </c>
      <c r="CC37" s="63" t="n">
        <v>114.8</v>
      </c>
      <c r="CD37" s="63" t="n">
        <v>118.8</v>
      </c>
      <c r="CE37" s="63" t="n">
        <v>124.2</v>
      </c>
      <c r="CF37" s="63" t="n">
        <v>130.3</v>
      </c>
      <c r="CG37" s="63" t="n">
        <v>137.4</v>
      </c>
      <c r="CH37" s="63" t="n">
        <v>141.5</v>
      </c>
      <c r="CI37" s="63" t="n">
        <v>152.2</v>
      </c>
      <c r="CJ37" s="63" t="n">
        <v>158.6</v>
      </c>
      <c r="CK37" s="63" t="n">
        <v>173.8</v>
      </c>
      <c r="CL37" s="63" t="n">
        <v>170.5</v>
      </c>
      <c r="CM37" s="63" t="n">
        <v>178.6</v>
      </c>
      <c r="CN37" s="63" t="n">
        <v>185.8</v>
      </c>
      <c r="CO37" s="63" t="n">
        <v>185</v>
      </c>
      <c r="CP37" s="63" t="n">
        <v>188.9</v>
      </c>
      <c r="CQ37" s="63" t="n">
        <v>189.7</v>
      </c>
      <c r="CR37" s="63" t="n">
        <v>200.6</v>
      </c>
      <c r="CS37" s="63" t="n">
        <v>201.7</v>
      </c>
      <c r="CT37" s="63" t="n">
        <v>203.6</v>
      </c>
      <c r="CU37" s="63" t="n">
        <v>203.9</v>
      </c>
      <c r="CV37" s="63" t="n">
        <v>203.7</v>
      </c>
      <c r="CW37" s="63" t="n">
        <v>215.7</v>
      </c>
      <c r="CX37" s="63" t="n">
        <v>220.4</v>
      </c>
      <c r="CY37" s="63" t="n">
        <v>220.7</v>
      </c>
      <c r="CZ37" s="63" t="n">
        <v>220.7</v>
      </c>
      <c r="DA37" s="63" t="n">
        <v>208.8</v>
      </c>
      <c r="DB37" s="63" t="n">
        <v>218.2</v>
      </c>
      <c r="DC37" s="63" t="n">
        <v>232.2</v>
      </c>
      <c r="DD37" s="63" t="n">
        <v>224.8</v>
      </c>
      <c r="DE37" s="63" t="n">
        <v>221.7</v>
      </c>
      <c r="DF37" s="63" t="n">
        <v>226</v>
      </c>
      <c r="DG37" s="63" t="n">
        <v>223.7</v>
      </c>
      <c r="DH37" s="63" t="n">
        <v>228</v>
      </c>
      <c r="DI37" s="63" t="n">
        <v>232.4</v>
      </c>
      <c r="DJ37" s="63" t="n">
        <v>232.1</v>
      </c>
      <c r="DK37" s="63" t="n">
        <v>235.3</v>
      </c>
      <c r="DL37" s="63" t="n">
        <v>233.9</v>
      </c>
      <c r="DM37" s="63" t="n">
        <v>241.7</v>
      </c>
      <c r="DN37" s="63" t="n">
        <v>247.8</v>
      </c>
      <c r="DO37" s="63" t="n">
        <v>246.4</v>
      </c>
      <c r="DP37" s="63" t="n">
        <v>255</v>
      </c>
      <c r="DQ37" s="63" t="n">
        <v>260.2</v>
      </c>
      <c r="DR37" s="63" t="n">
        <v>260.1</v>
      </c>
      <c r="DS37" s="63" t="n">
        <v>269.4</v>
      </c>
      <c r="DT37" s="63" t="n">
        <v>277.2</v>
      </c>
      <c r="DU37" s="63" t="n">
        <v>279.1</v>
      </c>
      <c r="DV37" s="63" t="n">
        <v>290.4</v>
      </c>
      <c r="DW37" s="63" t="n">
        <v>308</v>
      </c>
      <c r="DX37" s="63" t="n">
        <v>295.8</v>
      </c>
      <c r="DY37" s="63" t="n">
        <v>326</v>
      </c>
      <c r="DZ37" s="63" t="n">
        <v>326</v>
      </c>
      <c r="EA37" s="63" t="n">
        <v>326</v>
      </c>
      <c r="EB37" s="63" t="n">
        <v>334.7</v>
      </c>
      <c r="EC37" s="63" t="n">
        <v>345.4</v>
      </c>
      <c r="ED37" s="63" t="n">
        <v>347</v>
      </c>
      <c r="EE37" s="63" t="n">
        <v>348.3</v>
      </c>
      <c r="EF37" s="63" t="n">
        <v>361.8</v>
      </c>
      <c r="EG37" s="63" t="n">
        <v>357</v>
      </c>
      <c r="EH37" s="63" t="n">
        <v>376</v>
      </c>
      <c r="EI37" s="63" t="n">
        <v>387.1</v>
      </c>
      <c r="EJ37" s="63" t="n">
        <v>385.7</v>
      </c>
      <c r="EK37" s="63" t="n">
        <v>391</v>
      </c>
      <c r="EL37" s="63" t="n">
        <v>399.1</v>
      </c>
      <c r="EM37" s="63" t="n">
        <v>410</v>
      </c>
      <c r="EN37" s="63" t="n">
        <v>409.1</v>
      </c>
      <c r="EO37" s="63" t="n">
        <v>407.9</v>
      </c>
      <c r="EP37" s="63" t="n">
        <v>394</v>
      </c>
      <c r="EQ37" s="63" t="n">
        <v>399.2</v>
      </c>
      <c r="ER37" s="63" t="n">
        <v>414.4</v>
      </c>
      <c r="ES37" s="63" t="n">
        <v>408.1</v>
      </c>
      <c r="ET37" s="63" t="n">
        <v>440.1</v>
      </c>
      <c r="EU37" s="63" t="n">
        <v>423.7</v>
      </c>
      <c r="EV37" s="63" t="n">
        <v>429.9</v>
      </c>
      <c r="EW37" s="63" t="n">
        <v>442.3</v>
      </c>
      <c r="EX37" s="63" t="n">
        <v>446.3</v>
      </c>
      <c r="EY37" s="63" t="n">
        <v>456</v>
      </c>
      <c r="EZ37" s="63" t="n">
        <v>460</v>
      </c>
      <c r="FA37" s="63" t="n">
        <v>462.1</v>
      </c>
      <c r="FB37" s="63" t="n">
        <v>480.2</v>
      </c>
      <c r="FC37" s="63" t="n">
        <v>492</v>
      </c>
      <c r="FD37" s="63" t="n">
        <v>502.4</v>
      </c>
      <c r="FE37" s="63" t="n">
        <v>498.2</v>
      </c>
      <c r="FF37" s="63" t="n">
        <v>508.7</v>
      </c>
      <c r="FG37" s="63" t="n">
        <v>513</v>
      </c>
      <c r="FH37" s="63" t="n">
        <v>533.2</v>
      </c>
      <c r="FI37" s="63" t="n">
        <v>540.8</v>
      </c>
      <c r="FJ37" s="63" t="n">
        <v>544.4</v>
      </c>
      <c r="FK37" s="63" t="n">
        <v>534.7</v>
      </c>
      <c r="FL37" s="63" t="n">
        <v>520.7</v>
      </c>
      <c r="FM37" s="63" t="n">
        <v>522.9</v>
      </c>
      <c r="FN37" s="63" t="n">
        <v>523.9</v>
      </c>
      <c r="FO37" s="63" t="n">
        <v>544.4</v>
      </c>
      <c r="FP37" s="63" t="n">
        <v>542</v>
      </c>
      <c r="FQ37" s="63" t="n">
        <v>552.7</v>
      </c>
      <c r="FR37" s="63" t="n">
        <v>548.4</v>
      </c>
      <c r="FS37" s="63" t="n">
        <v>562.8</v>
      </c>
      <c r="FT37" s="63" t="n">
        <v>572.8</v>
      </c>
      <c r="FU37" s="63" t="n">
        <v>573.6</v>
      </c>
      <c r="FV37" s="63" t="n">
        <v>585.1</v>
      </c>
      <c r="FW37" s="63" t="n">
        <v>607.8</v>
      </c>
      <c r="FX37" s="63" t="n">
        <v>634.1</v>
      </c>
      <c r="FY37" s="63" t="n">
        <v>643.2</v>
      </c>
      <c r="FZ37" s="63" t="n">
        <v>652.2</v>
      </c>
      <c r="GA37" s="63" t="n">
        <v>667.3</v>
      </c>
      <c r="GB37" s="63" t="n">
        <v>670.2</v>
      </c>
      <c r="GC37" s="63" t="n">
        <v>671.5</v>
      </c>
      <c r="GD37" s="63" t="n">
        <v>679.9</v>
      </c>
      <c r="GE37" s="63" t="n">
        <v>688.5</v>
      </c>
      <c r="GF37" s="63" t="n">
        <v>697.2</v>
      </c>
      <c r="GG37" s="63" t="n">
        <v>706.6</v>
      </c>
      <c r="GH37" s="63" t="n">
        <v>705.1</v>
      </c>
      <c r="GI37" s="63" t="n">
        <v>702.3</v>
      </c>
      <c r="GJ37" s="63" t="n">
        <v>718</v>
      </c>
      <c r="GK37" s="63" t="n">
        <v>713.3</v>
      </c>
      <c r="GL37" s="63" t="n">
        <v>720.9</v>
      </c>
      <c r="GM37" s="63" t="n">
        <v>733.2</v>
      </c>
      <c r="GN37" s="63" t="n">
        <v>737.9</v>
      </c>
      <c r="GO37" s="63" t="n">
        <v>734.3</v>
      </c>
      <c r="GP37" s="63" t="n">
        <v>745.2</v>
      </c>
      <c r="GQ37" s="63" t="n">
        <v>763.2</v>
      </c>
      <c r="GR37" s="63" t="n">
        <v>773.5</v>
      </c>
      <c r="GS37" s="63" t="n">
        <v>773.8</v>
      </c>
      <c r="GT37" s="63" t="n">
        <v>762.4</v>
      </c>
      <c r="GU37" s="63" t="n">
        <v>813.3</v>
      </c>
      <c r="GV37" s="63" t="n">
        <v>851.9</v>
      </c>
      <c r="GW37" s="63" t="n">
        <v>840.6</v>
      </c>
      <c r="GX37" s="63" t="n">
        <v>868</v>
      </c>
      <c r="GY37" s="63" t="n">
        <v>910.1</v>
      </c>
      <c r="GZ37" s="63" t="n">
        <v>918.1</v>
      </c>
      <c r="HA37" s="63" t="n">
        <v>915.2</v>
      </c>
      <c r="HB37" s="63" t="n">
        <v>934.7</v>
      </c>
      <c r="HC37" t="n">
        <v>962.7</v>
      </c>
      <c r="HD37" t="n">
        <v>982.9</v>
      </c>
      <c r="HE37" t="n">
        <v>1043</v>
      </c>
    </row>
    <row r="38">
      <c r="A38" s="63" t="s">
        <v>2472</v>
      </c>
      <c r="B38" s="63" t="n">
        <v>129.9</v>
      </c>
      <c r="C38" s="63" t="n">
        <v>134.1</v>
      </c>
      <c r="D38" s="63" t="n">
        <v>140.1</v>
      </c>
      <c r="E38" s="63" t="n">
        <v>144.3</v>
      </c>
      <c r="F38" s="63" t="n">
        <v>149.1</v>
      </c>
      <c r="G38" s="63" t="n">
        <v>153.6</v>
      </c>
      <c r="H38" s="63" t="n">
        <v>156.9</v>
      </c>
      <c r="I38" s="63" t="n">
        <v>161</v>
      </c>
      <c r="J38" s="63" t="n">
        <v>165.7</v>
      </c>
      <c r="K38" s="63" t="n">
        <v>167.9</v>
      </c>
      <c r="L38" s="63" t="n">
        <v>172.5</v>
      </c>
      <c r="M38" s="63" t="n">
        <v>176.8</v>
      </c>
      <c r="N38" s="63" t="n">
        <v>181.7</v>
      </c>
      <c r="O38" s="63" t="n">
        <v>185.7</v>
      </c>
      <c r="P38" s="63" t="n">
        <v>190</v>
      </c>
      <c r="Q38" s="63" t="n">
        <v>195.9</v>
      </c>
      <c r="R38" s="63" t="n">
        <v>201.1</v>
      </c>
      <c r="S38" s="63" t="n">
        <v>210.1</v>
      </c>
      <c r="T38" s="63" t="n">
        <v>217</v>
      </c>
      <c r="U38" s="63" t="n">
        <v>223.7</v>
      </c>
      <c r="V38" s="63" t="n">
        <v>235.9</v>
      </c>
      <c r="W38" s="63" t="n">
        <v>240.3</v>
      </c>
      <c r="X38" s="63" t="n">
        <v>246.6</v>
      </c>
      <c r="Y38" s="63" t="n">
        <v>254.2</v>
      </c>
      <c r="Z38" s="63" t="n">
        <v>260.3</v>
      </c>
      <c r="AA38" s="63" t="n">
        <v>259.4</v>
      </c>
      <c r="AB38" s="63" t="n">
        <v>261.3</v>
      </c>
      <c r="AC38" s="63" t="n">
        <v>263.9</v>
      </c>
      <c r="AD38" s="63" t="n">
        <v>271.1</v>
      </c>
      <c r="AE38" s="63" t="n">
        <v>278.6</v>
      </c>
      <c r="AF38" s="63" t="n">
        <v>282.3</v>
      </c>
      <c r="AG38" s="63" t="n">
        <v>287.5</v>
      </c>
      <c r="AH38" s="63" t="n">
        <v>292.5</v>
      </c>
      <c r="AI38" s="63" t="n">
        <v>306</v>
      </c>
      <c r="AJ38" s="63" t="n">
        <v>313.5</v>
      </c>
      <c r="AK38" s="63" t="n">
        <v>320.5</v>
      </c>
      <c r="AL38" s="63" t="n">
        <v>323.2</v>
      </c>
      <c r="AM38" s="63" t="n">
        <v>333.2</v>
      </c>
      <c r="AN38" s="63" t="n">
        <v>344.8</v>
      </c>
      <c r="AO38" s="63" t="n">
        <v>356.1</v>
      </c>
      <c r="AP38" s="63" t="n">
        <v>367.6</v>
      </c>
      <c r="AQ38" s="63" t="n">
        <v>371.7</v>
      </c>
      <c r="AR38" s="63" t="n">
        <v>379.1</v>
      </c>
      <c r="AS38" s="63" t="n">
        <v>388.1</v>
      </c>
      <c r="AT38" s="63" t="n">
        <v>402.6</v>
      </c>
      <c r="AU38" s="63" t="n">
        <v>405.3</v>
      </c>
      <c r="AV38" s="63" t="n">
        <v>409.8</v>
      </c>
      <c r="AW38" s="63" t="n">
        <v>418.5</v>
      </c>
      <c r="AX38" s="63" t="n">
        <v>425.5</v>
      </c>
      <c r="AY38" s="63" t="n">
        <v>435.4</v>
      </c>
      <c r="AZ38" s="63" t="n">
        <v>443.4</v>
      </c>
      <c r="BA38" s="63" t="n">
        <v>452.9</v>
      </c>
      <c r="BB38" s="63" t="n">
        <v>461.9</v>
      </c>
      <c r="BC38" s="63" t="n">
        <v>467.5</v>
      </c>
      <c r="BD38" s="63" t="n">
        <v>476.7</v>
      </c>
      <c r="BE38" s="63" t="n">
        <v>482.1</v>
      </c>
      <c r="BF38" s="63" t="n">
        <v>495.1</v>
      </c>
      <c r="BG38" s="63" t="n">
        <v>505.9</v>
      </c>
      <c r="BH38" s="63" t="n">
        <v>518.3</v>
      </c>
      <c r="BI38" s="63" t="n">
        <v>529.3</v>
      </c>
      <c r="BJ38" s="63" t="n">
        <v>542.7</v>
      </c>
      <c r="BK38" s="63" t="n">
        <v>557.7</v>
      </c>
      <c r="BL38" s="63" t="n">
        <v>571.6</v>
      </c>
      <c r="BM38" s="63" t="n">
        <v>582.2</v>
      </c>
      <c r="BN38" s="63" t="n">
        <v>595.9</v>
      </c>
      <c r="BO38" s="63" t="n">
        <v>605.5</v>
      </c>
      <c r="BP38" s="63" t="n">
        <v>616.5</v>
      </c>
      <c r="BQ38" s="63" t="n">
        <v>626.3</v>
      </c>
      <c r="BR38" s="63" t="n">
        <v>637.8</v>
      </c>
      <c r="BS38" s="63" t="n">
        <v>646.9</v>
      </c>
      <c r="BT38" s="63" t="n">
        <v>656.4</v>
      </c>
      <c r="BU38" s="63" t="n">
        <v>668.1</v>
      </c>
      <c r="BV38" s="63" t="n">
        <v>678.6</v>
      </c>
      <c r="BW38" s="63" t="n">
        <v>693.1</v>
      </c>
      <c r="BX38" s="63" t="n">
        <v>703.2</v>
      </c>
      <c r="BY38" s="63" t="n">
        <v>720.1</v>
      </c>
      <c r="BZ38" s="63" t="n">
        <v>736.6</v>
      </c>
      <c r="CA38" s="63" t="n">
        <v>755.1</v>
      </c>
      <c r="CB38" s="63" t="n">
        <v>770.4</v>
      </c>
      <c r="CC38" s="63" t="n">
        <v>790</v>
      </c>
      <c r="CD38" s="63" t="n">
        <v>811.4</v>
      </c>
      <c r="CE38" s="63" t="n">
        <v>824.1</v>
      </c>
      <c r="CF38" s="63" t="n">
        <v>843.9</v>
      </c>
      <c r="CG38" s="63" t="n">
        <v>871</v>
      </c>
      <c r="CH38" s="63" t="n">
        <v>881.6</v>
      </c>
      <c r="CI38" s="63" t="n">
        <v>901.3</v>
      </c>
      <c r="CJ38" s="63" t="n">
        <v>919.2</v>
      </c>
      <c r="CK38" s="63" t="n">
        <v>947</v>
      </c>
      <c r="CL38" s="63" t="n">
        <v>959.3</v>
      </c>
      <c r="CM38" s="63" t="n">
        <v>975.2</v>
      </c>
      <c r="CN38" s="63" t="n">
        <v>988.2</v>
      </c>
      <c r="CO38" s="63" t="n">
        <v>991.3</v>
      </c>
      <c r="CP38" s="63" t="n">
        <v>1001.1</v>
      </c>
      <c r="CQ38" s="63" t="n">
        <v>1011.6</v>
      </c>
      <c r="CR38" s="63" t="n">
        <v>1028.1</v>
      </c>
      <c r="CS38" s="63" t="n">
        <v>1036.1</v>
      </c>
      <c r="CT38" s="63" t="n">
        <v>1046.6</v>
      </c>
      <c r="CU38" s="63" t="n">
        <v>1060.5</v>
      </c>
      <c r="CV38" s="63" t="n">
        <v>1077.4</v>
      </c>
      <c r="CW38" s="63" t="n">
        <v>1100.7</v>
      </c>
      <c r="CX38" s="63" t="n">
        <v>1118.5</v>
      </c>
      <c r="CY38" s="63" t="n">
        <v>1132.8</v>
      </c>
      <c r="CZ38" s="63" t="n">
        <v>1136.8</v>
      </c>
      <c r="DA38" s="63" t="n">
        <v>1131.2</v>
      </c>
      <c r="DB38" s="63" t="n">
        <v>1145.1</v>
      </c>
      <c r="DC38" s="63" t="n">
        <v>1171.4</v>
      </c>
      <c r="DD38" s="63" t="n">
        <v>1176</v>
      </c>
      <c r="DE38" s="63" t="n">
        <v>1192</v>
      </c>
      <c r="DF38" s="63" t="n">
        <v>1202.5</v>
      </c>
      <c r="DG38" s="63" t="n">
        <v>1209</v>
      </c>
      <c r="DH38" s="63" t="n">
        <v>1225.5</v>
      </c>
      <c r="DI38" s="63" t="n">
        <v>1243.5</v>
      </c>
      <c r="DJ38" s="63" t="n">
        <v>1250.5</v>
      </c>
      <c r="DK38" s="63" t="n">
        <v>1272.2</v>
      </c>
      <c r="DL38" s="63" t="n">
        <v>1290.9</v>
      </c>
      <c r="DM38" s="63" t="n">
        <v>1312.2</v>
      </c>
      <c r="DN38" s="63" t="n">
        <v>1338.9</v>
      </c>
      <c r="DO38" s="63" t="n">
        <v>1357.5</v>
      </c>
      <c r="DP38" s="63" t="n">
        <v>1388.2</v>
      </c>
      <c r="DQ38" s="63" t="n">
        <v>1417.2</v>
      </c>
      <c r="DR38" s="63" t="n">
        <v>1435.6</v>
      </c>
      <c r="DS38" s="63" t="n">
        <v>1453</v>
      </c>
      <c r="DT38" s="63" t="n">
        <v>1478</v>
      </c>
      <c r="DU38" s="63" t="n">
        <v>1507</v>
      </c>
      <c r="DV38" s="63" t="n">
        <v>1560.6</v>
      </c>
      <c r="DW38" s="63" t="n">
        <v>1617.6</v>
      </c>
      <c r="DX38" s="63" t="n">
        <v>1597.3</v>
      </c>
      <c r="DY38" s="63" t="n">
        <v>1656.2</v>
      </c>
      <c r="DZ38" s="63" t="n">
        <v>1677.3</v>
      </c>
      <c r="EA38" s="63" t="n">
        <v>1694.5</v>
      </c>
      <c r="EB38" s="63" t="n">
        <v>1724.4</v>
      </c>
      <c r="EC38" s="63" t="n">
        <v>1756.3</v>
      </c>
      <c r="ED38" s="63" t="n">
        <v>1781.7</v>
      </c>
      <c r="EE38" s="63" t="n">
        <v>1783.4</v>
      </c>
      <c r="EF38" s="63" t="n">
        <v>1811.7</v>
      </c>
      <c r="EG38" s="63" t="n">
        <v>1814.6</v>
      </c>
      <c r="EH38" s="63" t="n">
        <v>1843.6</v>
      </c>
      <c r="EI38" s="63" t="n">
        <v>1868.2</v>
      </c>
      <c r="EJ38" s="63" t="n">
        <v>1895.3</v>
      </c>
      <c r="EK38" s="63" t="n">
        <v>1903</v>
      </c>
      <c r="EL38" s="63" t="n">
        <v>1925.1</v>
      </c>
      <c r="EM38" s="63" t="n">
        <v>1952.9</v>
      </c>
      <c r="EN38" s="63" t="n">
        <v>1978</v>
      </c>
      <c r="EO38" s="63" t="n">
        <v>2024.5</v>
      </c>
      <c r="EP38" s="63" t="n">
        <v>2008</v>
      </c>
      <c r="EQ38" s="63" t="n">
        <v>2042.4</v>
      </c>
      <c r="ER38" s="63" t="n">
        <v>2078.5</v>
      </c>
      <c r="ES38" s="63" t="n">
        <v>2094.2</v>
      </c>
      <c r="ET38" s="63" t="n">
        <v>2165.9</v>
      </c>
      <c r="EU38" s="63" t="n">
        <v>2182.4</v>
      </c>
      <c r="EV38" s="63" t="n">
        <v>2205.9</v>
      </c>
      <c r="EW38" s="63" t="n">
        <v>2242.1</v>
      </c>
      <c r="EX38" s="63" t="n">
        <v>2256.4</v>
      </c>
      <c r="EY38" s="63" t="n">
        <v>2293.3</v>
      </c>
      <c r="EZ38" s="63" t="n">
        <v>2337.8</v>
      </c>
      <c r="FA38" s="63" t="n">
        <v>2337.2</v>
      </c>
      <c r="FB38" s="63" t="n">
        <v>2371.5</v>
      </c>
      <c r="FC38" s="63" t="n">
        <v>2419.8</v>
      </c>
      <c r="FD38" s="63" t="n">
        <v>2446.9</v>
      </c>
      <c r="FE38" s="63" t="n">
        <v>2444.5</v>
      </c>
      <c r="FF38" s="63" t="n">
        <v>2439.1</v>
      </c>
      <c r="FG38" s="63" t="n">
        <v>2443.1</v>
      </c>
      <c r="FH38" s="63" t="n">
        <v>2451.4</v>
      </c>
      <c r="FI38" s="63" t="n">
        <v>2452.3</v>
      </c>
      <c r="FJ38" s="63" t="n">
        <v>2451.4</v>
      </c>
      <c r="FK38" s="63" t="n">
        <v>2445</v>
      </c>
      <c r="FL38" s="63" t="n">
        <v>2423.3</v>
      </c>
      <c r="FM38" s="63" t="n">
        <v>2417.9</v>
      </c>
      <c r="FN38" s="63" t="n">
        <v>2431.3</v>
      </c>
      <c r="FO38" s="63" t="n">
        <v>2447.2</v>
      </c>
      <c r="FP38" s="63" t="n">
        <v>2448.6</v>
      </c>
      <c r="FQ38" s="63" t="n">
        <v>2475.8</v>
      </c>
      <c r="FR38" s="63" t="n">
        <v>2485.5</v>
      </c>
      <c r="FS38" s="63" t="n">
        <v>2507.5</v>
      </c>
      <c r="FT38" s="63" t="n">
        <v>2527.4</v>
      </c>
      <c r="FU38" s="63" t="n">
        <v>2529.9</v>
      </c>
      <c r="FV38" s="63" t="n">
        <v>2541.1</v>
      </c>
      <c r="FW38" s="63" t="n">
        <v>2578.9</v>
      </c>
      <c r="FX38" s="63" t="n">
        <v>2622.2</v>
      </c>
      <c r="FY38" s="63" t="n">
        <v>2647.2</v>
      </c>
      <c r="FZ38" s="63" t="n">
        <v>2652.9</v>
      </c>
      <c r="GA38" s="63" t="n">
        <v>2706.9</v>
      </c>
      <c r="GB38" s="63" t="n">
        <v>2729.6</v>
      </c>
      <c r="GC38" s="63" t="n">
        <v>2729.9</v>
      </c>
      <c r="GD38" s="63" t="n">
        <v>2758.2</v>
      </c>
      <c r="GE38" s="63" t="n">
        <v>2788.4</v>
      </c>
      <c r="GF38" s="63" t="n">
        <v>2815.9</v>
      </c>
      <c r="GG38" s="63" t="n">
        <v>2843.1</v>
      </c>
      <c r="GH38" s="63" t="n">
        <v>2857.2</v>
      </c>
      <c r="GI38" s="63" t="n">
        <v>2858.9</v>
      </c>
      <c r="GJ38" s="63" t="n">
        <v>2896.3</v>
      </c>
      <c r="GK38" s="63" t="n">
        <v>2919.8</v>
      </c>
      <c r="GL38" s="63" t="n">
        <v>2945</v>
      </c>
      <c r="GM38" s="63" t="n">
        <v>2990</v>
      </c>
      <c r="GN38" s="63" t="n">
        <v>3021.4</v>
      </c>
      <c r="GO38" s="63" t="n">
        <v>3025.9</v>
      </c>
      <c r="GP38" s="63" t="n">
        <v>3071.4</v>
      </c>
      <c r="GQ38" s="63" t="n">
        <v>3135.2</v>
      </c>
      <c r="GR38" s="63" t="n">
        <v>3165.1</v>
      </c>
      <c r="GS38" s="63" t="n">
        <v>3186.5</v>
      </c>
      <c r="GT38" s="63" t="n">
        <v>3210.4</v>
      </c>
      <c r="GU38" s="63" t="n">
        <v>3220.4</v>
      </c>
      <c r="GV38" s="63" t="n">
        <v>3257.6</v>
      </c>
      <c r="GW38" s="63" t="n">
        <v>3260.7</v>
      </c>
      <c r="GX38" s="63" t="n">
        <v>3335.5</v>
      </c>
      <c r="GY38" s="63" t="n">
        <v>3421.4</v>
      </c>
      <c r="GZ38" s="63" t="n">
        <v>3481.6</v>
      </c>
      <c r="HA38" s="63" t="n">
        <v>3510.5</v>
      </c>
      <c r="HB38" s="63" t="n">
        <v>3575.3</v>
      </c>
      <c r="HC38" t="n">
        <v>3677.7</v>
      </c>
      <c r="HD38" t="n">
        <v>3739.5</v>
      </c>
      <c r="HE38" t="n">
        <v>3822.5</v>
      </c>
    </row>
    <row r="39">
      <c r="A39" s="63" t="s">
        <v>2473</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t="n">
        <v>78.072</v>
      </c>
      <c r="CQ39" s="63" t="n">
        <v>80.831</v>
      </c>
      <c r="CR39" s="63" t="n">
        <v>85.251</v>
      </c>
      <c r="CS39" s="63" t="n">
        <v>88.178</v>
      </c>
      <c r="CT39" s="63" t="n">
        <v>84.002</v>
      </c>
      <c r="CU39" s="63" t="n">
        <v>86.255</v>
      </c>
      <c r="CV39" s="63" t="n">
        <v>87.978</v>
      </c>
      <c r="CW39" s="63" t="n">
        <v>89.829</v>
      </c>
      <c r="CX39" s="63" t="n">
        <v>95.218</v>
      </c>
      <c r="CY39" s="63" t="n">
        <v>94.484</v>
      </c>
      <c r="CZ39" s="63" t="n">
        <v>93.858</v>
      </c>
      <c r="DA39" s="63" t="n">
        <v>92.181</v>
      </c>
      <c r="DB39" s="63" t="n">
        <v>94.539</v>
      </c>
      <c r="DC39" s="63" t="n">
        <v>102.461</v>
      </c>
      <c r="DD39" s="63" t="n">
        <v>99.672</v>
      </c>
      <c r="DE39" s="63" t="n">
        <v>97.609</v>
      </c>
      <c r="DF39" s="63" t="n">
        <v>98.691</v>
      </c>
      <c r="DG39" s="63" t="n">
        <v>98.642</v>
      </c>
      <c r="DH39" s="63" t="n">
        <v>101.001</v>
      </c>
      <c r="DI39" s="63" t="n">
        <v>105.738</v>
      </c>
      <c r="DJ39" s="63" t="n">
        <v>103.992</v>
      </c>
      <c r="DK39" s="63" t="n">
        <v>106.287</v>
      </c>
      <c r="DL39" s="63" t="n">
        <v>106.646</v>
      </c>
      <c r="DM39" s="63" t="n">
        <v>110.762</v>
      </c>
      <c r="DN39" s="63" t="n">
        <v>114.027</v>
      </c>
      <c r="DO39" s="63" t="n">
        <v>113.559</v>
      </c>
      <c r="DP39" s="63" t="n">
        <v>120.524</v>
      </c>
      <c r="DQ39" s="63" t="n">
        <v>121.904</v>
      </c>
      <c r="DR39" s="63" t="n">
        <v>121.898</v>
      </c>
      <c r="DS39" s="63" t="n">
        <v>123.319</v>
      </c>
      <c r="DT39" s="63" t="n">
        <v>133.626</v>
      </c>
      <c r="DU39" s="63" t="n">
        <v>129.622</v>
      </c>
      <c r="DV39" s="63" t="n">
        <v>138.716</v>
      </c>
      <c r="DW39" s="63" t="n">
        <v>145.774</v>
      </c>
      <c r="DX39" s="63" t="n">
        <v>143.219</v>
      </c>
      <c r="DY39" s="63" t="n">
        <v>153.809</v>
      </c>
      <c r="DZ39" s="63" t="n">
        <v>156.084</v>
      </c>
      <c r="EA39" s="63" t="n">
        <v>157.455</v>
      </c>
      <c r="EB39" s="63" t="n">
        <v>164.01</v>
      </c>
      <c r="EC39" s="63" t="n">
        <v>166.934</v>
      </c>
      <c r="ED39" s="63" t="n">
        <v>165.906</v>
      </c>
      <c r="EE39" s="63" t="n">
        <v>171.106</v>
      </c>
      <c r="EF39" s="63" t="n">
        <v>186.792</v>
      </c>
      <c r="EG39" s="63" t="n">
        <v>182.543</v>
      </c>
      <c r="EH39" s="63" t="n">
        <v>190.07</v>
      </c>
      <c r="EI39" s="63" t="n">
        <v>194.963</v>
      </c>
      <c r="EJ39" s="63" t="n">
        <v>186.476</v>
      </c>
      <c r="EK39" s="63" t="n">
        <v>191.752</v>
      </c>
      <c r="EL39" s="63" t="n">
        <v>199.036</v>
      </c>
      <c r="EM39" s="63" t="n">
        <v>200.246</v>
      </c>
      <c r="EN39" s="63" t="n">
        <v>195.231</v>
      </c>
      <c r="EO39" s="63" t="n">
        <v>197.352</v>
      </c>
      <c r="EP39" s="63" t="n">
        <v>191.747</v>
      </c>
      <c r="EQ39" s="63" t="n">
        <v>189.018</v>
      </c>
      <c r="ER39" s="63" t="n">
        <v>197.488</v>
      </c>
      <c r="ES39" s="63" t="n">
        <v>189.083</v>
      </c>
      <c r="ET39" s="63" t="n">
        <v>209.347</v>
      </c>
      <c r="EU39" s="63" t="n">
        <v>201.383</v>
      </c>
      <c r="EV39" s="63" t="n">
        <v>204.318</v>
      </c>
      <c r="EW39" s="63" t="n">
        <v>206.11</v>
      </c>
      <c r="EX39" s="63" t="n">
        <v>209.603</v>
      </c>
      <c r="EY39" s="63" t="n">
        <v>216.57</v>
      </c>
      <c r="EZ39" s="63" t="n">
        <v>213.016</v>
      </c>
      <c r="FA39" s="63" t="n">
        <v>217.491</v>
      </c>
      <c r="FB39" s="63" t="n">
        <v>266.407</v>
      </c>
      <c r="FC39" s="63" t="n">
        <v>284.526</v>
      </c>
      <c r="FD39" s="63" t="n">
        <v>273.903</v>
      </c>
      <c r="FE39" s="63" t="n">
        <v>272.345</v>
      </c>
      <c r="FF39" s="63" t="n">
        <v>283.268</v>
      </c>
      <c r="FG39" s="63" t="n">
        <v>290.808</v>
      </c>
      <c r="FH39" s="63" t="n">
        <v>297.13</v>
      </c>
      <c r="FI39" s="63" t="n">
        <v>309.668</v>
      </c>
      <c r="FJ39" s="63" t="n">
        <v>293.84</v>
      </c>
      <c r="FK39" s="63" t="n">
        <v>288.9</v>
      </c>
      <c r="FL39" s="63" t="n">
        <v>248.813</v>
      </c>
      <c r="FM39" s="63" t="n">
        <v>249.625</v>
      </c>
      <c r="FN39" s="63" t="n">
        <v>258.161</v>
      </c>
      <c r="FO39" s="63" t="n">
        <v>273.39</v>
      </c>
      <c r="FP39" s="63" t="n">
        <v>263.079</v>
      </c>
      <c r="FQ39" s="63" t="n">
        <v>269.71</v>
      </c>
      <c r="FR39" s="63" t="n">
        <v>272.063</v>
      </c>
      <c r="FS39" s="63" t="n">
        <v>283.408</v>
      </c>
      <c r="FT39" s="63" t="n">
        <v>281.455</v>
      </c>
      <c r="FU39" s="63" t="n">
        <v>282.107</v>
      </c>
      <c r="FV39" s="63" t="n">
        <v>303.39</v>
      </c>
      <c r="FW39" s="63" t="n">
        <v>320.015</v>
      </c>
      <c r="FX39" s="63" t="n">
        <v>343.692</v>
      </c>
      <c r="FY39" s="63" t="n">
        <v>345.712</v>
      </c>
      <c r="FZ39" s="63" t="n">
        <v>362.792</v>
      </c>
      <c r="GA39" s="63" t="n">
        <v>363.41</v>
      </c>
      <c r="GB39" s="63" t="n">
        <v>365.384</v>
      </c>
      <c r="GC39" s="63" t="n">
        <v>384.032</v>
      </c>
      <c r="GD39" s="63" t="n">
        <v>378.246</v>
      </c>
      <c r="GE39" s="63" t="n">
        <v>382.367</v>
      </c>
      <c r="GF39" s="63" t="n">
        <v>396.216</v>
      </c>
      <c r="GG39" s="63" t="n">
        <v>408.323</v>
      </c>
      <c r="GH39" s="63" t="n">
        <v>396.162</v>
      </c>
      <c r="GI39" s="63" t="n">
        <v>373.916</v>
      </c>
      <c r="GJ39" s="63" t="n">
        <v>396.066</v>
      </c>
      <c r="GK39" s="63" t="n">
        <v>401.385</v>
      </c>
      <c r="GL39" s="63" t="n">
        <v>411.519</v>
      </c>
      <c r="GM39" s="63" t="n">
        <v>406.423</v>
      </c>
      <c r="GN39" s="63" t="n">
        <v>411.288</v>
      </c>
      <c r="GO39" s="63" t="n">
        <v>411.251</v>
      </c>
      <c r="GP39" s="63" t="n">
        <v>429.279</v>
      </c>
      <c r="GQ39" s="63" t="n">
        <v>439.282</v>
      </c>
      <c r="GR39" s="63" t="n">
        <v>437.566</v>
      </c>
      <c r="GS39" s="63" t="n">
        <v>434.725</v>
      </c>
      <c r="GT39" s="63" t="n">
        <v>451.573</v>
      </c>
      <c r="GU39" s="63" t="n">
        <v>584.354</v>
      </c>
      <c r="GV39" s="63" t="n">
        <v>533.044</v>
      </c>
      <c r="GW39" s="63" t="n">
        <v>537.838</v>
      </c>
      <c r="GX39" s="63" t="n">
        <v>548.286</v>
      </c>
      <c r="GY39" s="63" t="n">
        <v>559.476</v>
      </c>
      <c r="GZ39" s="63" t="n">
        <v>580.827</v>
      </c>
      <c r="HA39" s="63" t="n">
        <v>599.621</v>
      </c>
      <c r="HB39" s="63" t="n">
        <v>634.751</v>
      </c>
      <c r="HC39" t="n">
        <v>630.834</v>
      </c>
      <c r="HD39" t="n">
        <v>638.771</v>
      </c>
      <c r="HE39" t="n">
        <v>636.829</v>
      </c>
    </row>
    <row r="40">
      <c r="A40" s="63" t="s">
        <v>2474</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t="n">
        <v>73.888</v>
      </c>
      <c r="CQ40" s="63" t="n">
        <v>76.036</v>
      </c>
      <c r="CR40" s="63" t="n">
        <v>80.604</v>
      </c>
      <c r="CS40" s="63" t="n">
        <v>84.1</v>
      </c>
      <c r="CT40" s="63" t="n">
        <v>78.948</v>
      </c>
      <c r="CU40" s="63" t="n">
        <v>81.772</v>
      </c>
      <c r="CV40" s="63" t="n">
        <v>82.892</v>
      </c>
      <c r="CW40" s="63" t="n">
        <v>85.54</v>
      </c>
      <c r="CX40" s="63" t="n">
        <v>90.524</v>
      </c>
      <c r="CY40" s="63" t="n">
        <v>90.54</v>
      </c>
      <c r="CZ40" s="63" t="n">
        <v>89.28</v>
      </c>
      <c r="DA40" s="63" t="n">
        <v>87.568</v>
      </c>
      <c r="DB40" s="63" t="n">
        <v>88.772</v>
      </c>
      <c r="DC40" s="63" t="n">
        <v>96.376</v>
      </c>
      <c r="DD40" s="63" t="n">
        <v>94.872</v>
      </c>
      <c r="DE40" s="63" t="n">
        <v>93.892</v>
      </c>
      <c r="DF40" s="63" t="n">
        <v>95.98</v>
      </c>
      <c r="DG40" s="63" t="n">
        <v>94.924</v>
      </c>
      <c r="DH40" s="63" t="n">
        <v>97.108</v>
      </c>
      <c r="DI40" s="63" t="n">
        <v>101.384</v>
      </c>
      <c r="DJ40" s="63" t="n">
        <v>99.444</v>
      </c>
      <c r="DK40" s="63" t="n">
        <v>101.608</v>
      </c>
      <c r="DL40" s="63" t="n">
        <v>102.26</v>
      </c>
      <c r="DM40" s="63" t="n">
        <v>103.952</v>
      </c>
      <c r="DN40" s="63" t="n">
        <v>107.1</v>
      </c>
      <c r="DO40" s="63" t="n">
        <v>107.208</v>
      </c>
      <c r="DP40" s="63" t="n">
        <v>113.428</v>
      </c>
      <c r="DQ40" s="63" t="n">
        <v>114.62</v>
      </c>
      <c r="DR40" s="63" t="n">
        <v>114.852</v>
      </c>
      <c r="DS40" s="63" t="n">
        <v>116.168</v>
      </c>
      <c r="DT40" s="63" t="n">
        <v>125.392</v>
      </c>
      <c r="DU40" s="63" t="n">
        <v>121.748</v>
      </c>
      <c r="DV40" s="63" t="n">
        <v>129.388</v>
      </c>
      <c r="DW40" s="63" t="n">
        <v>132.128</v>
      </c>
      <c r="DX40" s="63" t="n">
        <v>133.364</v>
      </c>
      <c r="DY40" s="63" t="n">
        <v>143.652</v>
      </c>
      <c r="DZ40" s="63" t="n">
        <v>145.547</v>
      </c>
      <c r="EA40" s="63" t="n">
        <v>146.352</v>
      </c>
      <c r="EB40" s="63" t="n">
        <v>152.896</v>
      </c>
      <c r="EC40" s="63" t="n">
        <v>155.307</v>
      </c>
      <c r="ED40" s="63" t="n">
        <v>154.378</v>
      </c>
      <c r="EE40" s="63" t="n">
        <v>158.02</v>
      </c>
      <c r="EF40" s="63" t="n">
        <v>174.229</v>
      </c>
      <c r="EG40" s="63" t="n">
        <v>170.506</v>
      </c>
      <c r="EH40" s="63" t="n">
        <v>177.772</v>
      </c>
      <c r="EI40" s="63" t="n">
        <v>182.692</v>
      </c>
      <c r="EJ40" s="63" t="n">
        <v>173.33</v>
      </c>
      <c r="EK40" s="63" t="n">
        <v>177.282</v>
      </c>
      <c r="EL40" s="63" t="n">
        <v>183.908</v>
      </c>
      <c r="EM40" s="63" t="n">
        <v>185.818</v>
      </c>
      <c r="EN40" s="63" t="n">
        <v>179.683</v>
      </c>
      <c r="EO40" s="63" t="n">
        <v>182.944</v>
      </c>
      <c r="EP40" s="63" t="n">
        <v>175.956</v>
      </c>
      <c r="EQ40" s="63" t="n">
        <v>176.53</v>
      </c>
      <c r="ER40" s="63" t="n">
        <v>186.733</v>
      </c>
      <c r="ES40" s="63" t="n">
        <v>177.659</v>
      </c>
      <c r="ET40" s="63" t="n">
        <v>200.218</v>
      </c>
      <c r="EU40" s="63" t="n">
        <v>190.602</v>
      </c>
      <c r="EV40" s="63" t="n">
        <v>194.111</v>
      </c>
      <c r="EW40" s="63" t="n">
        <v>196.028</v>
      </c>
      <c r="EX40" s="63" t="n">
        <v>200.294</v>
      </c>
      <c r="EY40" s="63" t="n">
        <v>203.794</v>
      </c>
      <c r="EZ40" s="63" t="n">
        <v>205.059</v>
      </c>
      <c r="FA40" s="63" t="n">
        <v>208.505</v>
      </c>
      <c r="FB40" s="63" t="n">
        <v>256.944</v>
      </c>
      <c r="FC40" s="63" t="n">
        <v>274.664</v>
      </c>
      <c r="FD40" s="63" t="n">
        <v>263.924</v>
      </c>
      <c r="FE40" s="63" t="n">
        <v>261.944</v>
      </c>
      <c r="FF40" s="63" t="n">
        <v>271.844</v>
      </c>
      <c r="FG40" s="63" t="n">
        <v>272.456</v>
      </c>
      <c r="FH40" s="63" t="n">
        <v>283.691</v>
      </c>
      <c r="FI40" s="63" t="n">
        <v>297.609</v>
      </c>
      <c r="FJ40" s="63" t="n">
        <v>282.445</v>
      </c>
      <c r="FK40" s="63" t="n">
        <v>277.196</v>
      </c>
      <c r="FL40" s="63" t="n">
        <v>237.739</v>
      </c>
      <c r="FM40" s="63" t="n">
        <v>239.291</v>
      </c>
      <c r="FN40" s="63" t="n">
        <v>246.248</v>
      </c>
      <c r="FO40" s="63" t="n">
        <v>262.324</v>
      </c>
      <c r="FP40" s="63" t="n">
        <v>250.54</v>
      </c>
      <c r="FQ40" s="63" t="n">
        <v>259.562</v>
      </c>
      <c r="FR40" s="63" t="n">
        <v>258.45</v>
      </c>
      <c r="FS40" s="63" t="n">
        <v>270.887</v>
      </c>
      <c r="FT40" s="63" t="n">
        <v>269.279</v>
      </c>
      <c r="FU40" s="63" t="n">
        <v>269.982</v>
      </c>
      <c r="FV40" s="63" t="n">
        <v>291.59</v>
      </c>
      <c r="FW40" s="63" t="n">
        <v>307.775</v>
      </c>
      <c r="FX40" s="63" t="n">
        <v>332.4</v>
      </c>
      <c r="FY40" s="63" t="n">
        <v>335.611</v>
      </c>
      <c r="FZ40" s="63" t="n">
        <v>352.188</v>
      </c>
      <c r="GA40" s="63" t="n">
        <v>353.442</v>
      </c>
      <c r="GB40" s="63" t="n">
        <v>352.909</v>
      </c>
      <c r="GC40" s="63" t="n">
        <v>366.274</v>
      </c>
      <c r="GD40" s="63" t="n">
        <v>360.221</v>
      </c>
      <c r="GE40" s="63" t="n">
        <v>363.844</v>
      </c>
      <c r="GF40" s="63" t="n">
        <v>377.967</v>
      </c>
      <c r="GG40" s="63" t="n">
        <v>388.176</v>
      </c>
      <c r="GH40" s="63" t="n">
        <v>376.564</v>
      </c>
      <c r="GI40" s="63" t="n">
        <v>354.404</v>
      </c>
      <c r="GJ40" s="63" t="n">
        <v>375.438</v>
      </c>
      <c r="GK40" s="63" t="n">
        <v>382.68</v>
      </c>
      <c r="GL40" s="63" t="n">
        <v>390.324</v>
      </c>
      <c r="GM40" s="63" t="n">
        <v>386.393</v>
      </c>
      <c r="GN40" s="63" t="n">
        <v>390.94</v>
      </c>
      <c r="GO40" s="63" t="n">
        <v>390.535</v>
      </c>
      <c r="GP40" s="63" t="n">
        <v>407.621</v>
      </c>
      <c r="GQ40" s="63" t="n">
        <v>416.459</v>
      </c>
      <c r="GR40" s="63" t="n">
        <v>418.661</v>
      </c>
      <c r="GS40" s="63" t="n">
        <v>411.695</v>
      </c>
      <c r="GT40" s="63" t="n">
        <v>428.308</v>
      </c>
      <c r="GU40" s="63" t="n">
        <v>506.816</v>
      </c>
      <c r="GV40" s="63" t="n">
        <v>484.78</v>
      </c>
      <c r="GW40" s="63" t="n">
        <v>500.258</v>
      </c>
      <c r="GX40" s="63" t="n">
        <v>509.421</v>
      </c>
      <c r="GY40" s="63" t="n">
        <v>527.017</v>
      </c>
      <c r="GZ40" s="63" t="n">
        <v>542.853</v>
      </c>
      <c r="HA40" s="63" t="n">
        <v>553.865</v>
      </c>
      <c r="HB40" s="63" t="n">
        <v>592.267</v>
      </c>
      <c r="HC40" t="n">
        <v>590.13</v>
      </c>
      <c r="HD40" t="n">
        <v>605.637</v>
      </c>
      <c r="HE40" t="n">
        <v>604.874</v>
      </c>
    </row>
    <row r="41">
      <c r="A41" s="63" t="s">
        <v>2475</v>
      </c>
      <c r="B41" s="63" t="n">
        <v>5.576</v>
      </c>
      <c r="C41" s="63" t="n">
        <v>5.228</v>
      </c>
      <c r="D41" s="63" t="n">
        <v>4.816</v>
      </c>
      <c r="E41" s="63" t="n">
        <v>4.9</v>
      </c>
      <c r="F41" s="63" t="n">
        <v>5.464</v>
      </c>
      <c r="G41" s="63" t="n">
        <v>6.312</v>
      </c>
      <c r="H41" s="63" t="n">
        <v>5.756</v>
      </c>
      <c r="I41" s="63" t="n">
        <v>5.644</v>
      </c>
      <c r="J41" s="63" t="n">
        <v>5.668</v>
      </c>
      <c r="K41" s="63" t="n">
        <v>5.216</v>
      </c>
      <c r="L41" s="63" t="n">
        <v>6.724</v>
      </c>
      <c r="M41" s="63" t="n">
        <v>5.7</v>
      </c>
      <c r="N41" s="63" t="n">
        <v>5.74</v>
      </c>
      <c r="O41" s="63" t="n">
        <v>6.208</v>
      </c>
      <c r="P41" s="63" t="n">
        <v>5.344</v>
      </c>
      <c r="Q41" s="63" t="n">
        <v>5.92</v>
      </c>
      <c r="R41" s="63" t="n">
        <v>7.76</v>
      </c>
      <c r="S41" s="63" t="n">
        <v>8.572</v>
      </c>
      <c r="T41" s="63" t="n">
        <v>6.496</v>
      </c>
      <c r="U41" s="63" t="n">
        <v>7.84</v>
      </c>
      <c r="V41" s="63" t="n">
        <v>8.652</v>
      </c>
      <c r="W41" s="63" t="n">
        <v>7.804</v>
      </c>
      <c r="X41" s="63" t="n">
        <v>10.772</v>
      </c>
      <c r="Y41" s="63" t="n">
        <v>10.424</v>
      </c>
      <c r="Z41" s="63" t="n">
        <v>10.012</v>
      </c>
      <c r="AA41" s="63" t="n">
        <v>9.76</v>
      </c>
      <c r="AB41" s="63" t="n">
        <v>10.592</v>
      </c>
      <c r="AC41" s="63" t="n">
        <v>11.108</v>
      </c>
      <c r="AD41" s="63" t="n">
        <v>10.716</v>
      </c>
      <c r="AE41" s="63" t="n">
        <v>10.652</v>
      </c>
      <c r="AF41" s="63" t="n">
        <v>11.804</v>
      </c>
      <c r="AG41" s="63" t="n">
        <v>10.7</v>
      </c>
      <c r="AH41" s="63" t="n">
        <v>10.968</v>
      </c>
      <c r="AI41" s="63" t="n">
        <v>11.528</v>
      </c>
      <c r="AJ41" s="63" t="n">
        <v>11.908</v>
      </c>
      <c r="AK41" s="63" t="n">
        <v>12.528</v>
      </c>
      <c r="AL41" s="63" t="n">
        <v>13.592</v>
      </c>
      <c r="AM41" s="63" t="n">
        <v>13.048</v>
      </c>
      <c r="AN41" s="63" t="n">
        <v>14.292</v>
      </c>
      <c r="AO41" s="63" t="n">
        <v>15.752</v>
      </c>
      <c r="AP41" s="63" t="n">
        <v>16.26</v>
      </c>
      <c r="AQ41" s="63" t="n">
        <v>16.536</v>
      </c>
      <c r="AR41" s="63" t="n">
        <v>15.916</v>
      </c>
      <c r="AS41" s="63" t="n">
        <v>16.628</v>
      </c>
      <c r="AT41" s="63" t="n">
        <v>16.092</v>
      </c>
      <c r="AU41" s="63" t="n">
        <v>15.716</v>
      </c>
      <c r="AV41" s="63" t="n">
        <v>14.828</v>
      </c>
      <c r="AW41" s="63" t="n">
        <v>15.012</v>
      </c>
      <c r="AX41" s="63" t="n">
        <v>13.852</v>
      </c>
      <c r="AY41" s="63" t="n">
        <v>14.552</v>
      </c>
      <c r="AZ41" s="63" t="n">
        <v>14.544</v>
      </c>
      <c r="BA41" s="63" t="n">
        <v>14.484</v>
      </c>
      <c r="BB41" s="63" t="n">
        <v>15.9</v>
      </c>
      <c r="BC41" s="63" t="n">
        <v>14.2</v>
      </c>
      <c r="BD41" s="63" t="n">
        <v>15.904</v>
      </c>
      <c r="BE41" s="63" t="n">
        <v>15.768</v>
      </c>
      <c r="BF41" s="63" t="n">
        <v>16.556</v>
      </c>
      <c r="BG41" s="63" t="n">
        <v>17.236</v>
      </c>
      <c r="BH41" s="63" t="n">
        <v>18.092</v>
      </c>
      <c r="BI41" s="63" t="n">
        <v>18.824</v>
      </c>
      <c r="BJ41" s="63" t="n">
        <v>17.044</v>
      </c>
      <c r="BK41" s="63" t="n">
        <v>19.408</v>
      </c>
      <c r="BL41" s="63" t="n">
        <v>20.036</v>
      </c>
      <c r="BM41" s="63" t="n">
        <v>21.184</v>
      </c>
      <c r="BN41" s="63" t="n">
        <v>19.72</v>
      </c>
      <c r="BO41" s="63" t="n">
        <v>20.556</v>
      </c>
      <c r="BP41" s="63" t="n">
        <v>21.284</v>
      </c>
      <c r="BQ41" s="63" t="n">
        <v>18.32</v>
      </c>
      <c r="BR41" s="63" t="n">
        <v>18.76</v>
      </c>
      <c r="BS41" s="63" t="n">
        <v>19.56</v>
      </c>
      <c r="BT41" s="63" t="n">
        <v>18.828</v>
      </c>
      <c r="BU41" s="63" t="n">
        <v>18.696</v>
      </c>
      <c r="BV41" s="63" t="n">
        <v>18.972</v>
      </c>
      <c r="BW41" s="63" t="n">
        <v>19.836</v>
      </c>
      <c r="BX41" s="63" t="n">
        <v>20.388</v>
      </c>
      <c r="BY41" s="63" t="n">
        <v>19.284</v>
      </c>
      <c r="BZ41" s="63" t="n">
        <v>20.192</v>
      </c>
      <c r="CA41" s="63" t="n">
        <v>19.936</v>
      </c>
      <c r="CB41" s="63" t="n">
        <v>18.832</v>
      </c>
      <c r="CC41" s="63" t="n">
        <v>20.492</v>
      </c>
      <c r="CD41" s="63" t="n">
        <v>21.448</v>
      </c>
      <c r="CE41" s="63" t="n">
        <v>20.184</v>
      </c>
      <c r="CF41" s="63" t="n">
        <v>20.508</v>
      </c>
      <c r="CG41" s="63" t="n">
        <v>21.188</v>
      </c>
      <c r="CH41" s="63" t="n">
        <v>21.552</v>
      </c>
      <c r="CI41" s="63" t="n">
        <v>21.612</v>
      </c>
      <c r="CJ41" s="63" t="n">
        <v>21.056</v>
      </c>
      <c r="CK41" s="63" t="n">
        <v>20.612</v>
      </c>
      <c r="CL41" s="63" t="n">
        <v>21.388</v>
      </c>
      <c r="CM41" s="63" t="n">
        <v>22.8</v>
      </c>
      <c r="CN41" s="63" t="n">
        <v>22.288</v>
      </c>
      <c r="CO41" s="63" t="n">
        <v>23.064</v>
      </c>
      <c r="CP41" s="63" t="n">
        <v>21.784</v>
      </c>
      <c r="CQ41" s="63" t="n">
        <v>22.472</v>
      </c>
      <c r="CR41" s="63" t="n">
        <v>24.884</v>
      </c>
      <c r="CS41" s="63" t="n">
        <v>24.764</v>
      </c>
      <c r="CT41" s="63" t="n">
        <v>23.632</v>
      </c>
      <c r="CU41" s="63" t="n">
        <v>23.952</v>
      </c>
      <c r="CV41" s="63" t="n">
        <v>25.152</v>
      </c>
      <c r="CW41" s="63" t="n">
        <v>26.476</v>
      </c>
      <c r="CX41" s="63" t="n">
        <v>27.744</v>
      </c>
      <c r="CY41" s="63" t="n">
        <v>28.028</v>
      </c>
      <c r="CZ41" s="63" t="n">
        <v>26.448</v>
      </c>
      <c r="DA41" s="63" t="n">
        <v>26.816</v>
      </c>
      <c r="DB41" s="63" t="n">
        <v>29.136</v>
      </c>
      <c r="DC41" s="63" t="n">
        <v>27.904</v>
      </c>
      <c r="DD41" s="63" t="n">
        <v>27.116</v>
      </c>
      <c r="DE41" s="63" t="n">
        <v>28.72</v>
      </c>
      <c r="DF41" s="63" t="n">
        <v>28.4</v>
      </c>
      <c r="DG41" s="63" t="n">
        <v>29.016</v>
      </c>
      <c r="DH41" s="63" t="n">
        <v>29.084</v>
      </c>
      <c r="DI41" s="63" t="n">
        <v>28.744</v>
      </c>
      <c r="DJ41" s="63" t="n">
        <v>27.052</v>
      </c>
      <c r="DK41" s="63" t="n">
        <v>27.336</v>
      </c>
      <c r="DL41" s="63" t="n">
        <v>29.104</v>
      </c>
      <c r="DM41" s="63" t="n">
        <v>31.232</v>
      </c>
      <c r="DN41" s="63" t="n">
        <v>27.78</v>
      </c>
      <c r="DO41" s="63" t="n">
        <v>32.192</v>
      </c>
      <c r="DP41" s="63" t="n">
        <v>34.264</v>
      </c>
      <c r="DQ41" s="63" t="n">
        <v>34.124</v>
      </c>
      <c r="DR41" s="63" t="n">
        <v>35.572</v>
      </c>
      <c r="DS41" s="63" t="n">
        <v>36.04</v>
      </c>
      <c r="DT41" s="63" t="n">
        <v>35.728</v>
      </c>
      <c r="DU41" s="63" t="n">
        <v>39.26</v>
      </c>
      <c r="DV41" s="63" t="n">
        <v>40.316</v>
      </c>
      <c r="DW41" s="63" t="n">
        <v>43.008</v>
      </c>
      <c r="DX41" s="63" t="n">
        <v>42.668</v>
      </c>
      <c r="DY41" s="63" t="n">
        <v>43.008</v>
      </c>
      <c r="DZ41" s="63" t="n">
        <v>50.609</v>
      </c>
      <c r="EA41" s="63" t="n">
        <v>45.405</v>
      </c>
      <c r="EB41" s="63" t="n">
        <v>41.342</v>
      </c>
      <c r="EC41" s="63" t="n">
        <v>44.814</v>
      </c>
      <c r="ED41" s="63" t="n">
        <v>43.171</v>
      </c>
      <c r="EE41" s="63" t="n">
        <v>48.719</v>
      </c>
      <c r="EF41" s="63" t="n">
        <v>46.443</v>
      </c>
      <c r="EG41" s="63" t="n">
        <v>45.507</v>
      </c>
      <c r="EH41" s="63" t="n">
        <v>47.601</v>
      </c>
      <c r="EI41" s="63" t="n">
        <v>44.213</v>
      </c>
      <c r="EJ41" s="63" t="n">
        <v>50.413</v>
      </c>
      <c r="EK41" s="63" t="n">
        <v>44.947</v>
      </c>
      <c r="EL41" s="63" t="n">
        <v>49.943</v>
      </c>
      <c r="EM41" s="63" t="n">
        <v>51.172</v>
      </c>
      <c r="EN41" s="63" t="n">
        <v>47.383</v>
      </c>
      <c r="EO41" s="63" t="n">
        <v>49.225</v>
      </c>
      <c r="EP41" s="63" t="n">
        <v>53.557</v>
      </c>
      <c r="EQ41" s="63" t="n">
        <v>53.237</v>
      </c>
      <c r="ER41" s="63" t="n">
        <v>52.165</v>
      </c>
      <c r="ES41" s="63" t="n">
        <v>51.704</v>
      </c>
      <c r="ET41" s="63" t="n">
        <v>50.937</v>
      </c>
      <c r="EU41" s="63" t="n">
        <v>56.121</v>
      </c>
      <c r="EV41" s="63" t="n">
        <v>55.528</v>
      </c>
      <c r="EW41" s="63" t="n">
        <v>54.619</v>
      </c>
      <c r="EX41" s="63" t="n">
        <v>56.613</v>
      </c>
      <c r="EY41" s="63" t="n">
        <v>58.842</v>
      </c>
      <c r="EZ41" s="63" t="n">
        <v>56.868</v>
      </c>
      <c r="FA41" s="63" t="n">
        <v>58.177</v>
      </c>
      <c r="FB41" s="63" t="n">
        <v>58.334</v>
      </c>
      <c r="FC41" s="63" t="n">
        <v>59.643</v>
      </c>
      <c r="FD41" s="63" t="n">
        <v>67.126</v>
      </c>
      <c r="FE41" s="63" t="n">
        <v>68.543</v>
      </c>
      <c r="FF41" s="63" t="n">
        <v>64.721</v>
      </c>
      <c r="FG41" s="63" t="n">
        <v>73.737</v>
      </c>
      <c r="FH41" s="63" t="n">
        <v>74.821</v>
      </c>
      <c r="FI41" s="63" t="n">
        <v>75.022</v>
      </c>
      <c r="FJ41" s="63" t="n">
        <v>70.503</v>
      </c>
      <c r="FK41" s="63" t="n">
        <v>69.145</v>
      </c>
      <c r="FL41" s="63" t="n">
        <v>65.916</v>
      </c>
      <c r="FM41" s="63" t="n">
        <v>70.531</v>
      </c>
      <c r="FN41" s="63" t="n">
        <v>67.107</v>
      </c>
      <c r="FO41" s="63" t="n">
        <v>67.67</v>
      </c>
      <c r="FP41" s="63" t="n">
        <v>65.88</v>
      </c>
      <c r="FQ41" s="63" t="n">
        <v>65.507</v>
      </c>
      <c r="FR41" s="63" t="n">
        <v>67.564</v>
      </c>
      <c r="FS41" s="63" t="n">
        <v>63.979</v>
      </c>
      <c r="FT41" s="63" t="n">
        <v>68.014</v>
      </c>
      <c r="FU41" s="63" t="n">
        <v>65.742</v>
      </c>
      <c r="FV41" s="63" t="n">
        <v>65.276</v>
      </c>
      <c r="FW41" s="63" t="n">
        <v>67.164</v>
      </c>
      <c r="FX41" s="63" t="n">
        <v>68.84</v>
      </c>
      <c r="FY41" s="63" t="n">
        <v>61.403</v>
      </c>
      <c r="FZ41" s="63" t="n">
        <v>63.534</v>
      </c>
      <c r="GA41" s="63" t="n">
        <v>62.907</v>
      </c>
      <c r="GB41" s="63" t="n">
        <v>66.76</v>
      </c>
      <c r="GC41" s="63" t="n">
        <v>64.462</v>
      </c>
      <c r="GD41" s="63" t="n">
        <v>66.301</v>
      </c>
      <c r="GE41" s="63" t="n">
        <v>67.191</v>
      </c>
      <c r="GF41" s="63" t="n">
        <v>68.578</v>
      </c>
      <c r="GG41" s="63" t="n">
        <v>66.981</v>
      </c>
      <c r="GH41" s="63" t="n">
        <v>67.223</v>
      </c>
      <c r="GI41" s="63" t="n">
        <v>69.479</v>
      </c>
      <c r="GJ41" s="63" t="n">
        <v>64.624</v>
      </c>
      <c r="GK41" s="63" t="n">
        <v>65.737</v>
      </c>
      <c r="GL41" s="63" t="n">
        <v>65.109</v>
      </c>
      <c r="GM41" s="63" t="n">
        <v>65.993</v>
      </c>
      <c r="GN41" s="63" t="n">
        <v>70.103</v>
      </c>
      <c r="GO41" s="63" t="n">
        <v>66.3</v>
      </c>
      <c r="GP41" s="63" t="n">
        <v>67.445</v>
      </c>
      <c r="GQ41" s="63" t="n">
        <v>67.729</v>
      </c>
      <c r="GR41" s="63" t="n">
        <v>70.806</v>
      </c>
      <c r="GS41" s="63" t="n">
        <v>72.367</v>
      </c>
      <c r="GT41" s="63" t="n">
        <v>75.579</v>
      </c>
      <c r="GU41" s="63" t="n">
        <v>76.015</v>
      </c>
      <c r="GV41" s="63" t="n">
        <v>78.872</v>
      </c>
      <c r="GW41" s="63" t="n">
        <v>75.819</v>
      </c>
      <c r="GX41" s="63" t="n">
        <v>73.662</v>
      </c>
      <c r="GY41" s="63" t="n">
        <v>75.066</v>
      </c>
      <c r="GZ41" s="63" t="n">
        <v>69.345</v>
      </c>
      <c r="HA41" s="63" t="n">
        <v>72.477</v>
      </c>
      <c r="HB41" s="63" t="n">
        <v>72.529</v>
      </c>
      <c r="HC41" t="n">
        <v>436.405</v>
      </c>
      <c r="HD41" t="n">
        <v>140.262</v>
      </c>
      <c r="HE41" t="n">
        <v>75.937</v>
      </c>
    </row>
    <row r="42">
      <c r="A42" s="63" t="s">
        <v>2476</v>
      </c>
      <c r="B42" s="63" t="n">
        <v>4.7</v>
      </c>
      <c r="C42" s="63" t="n">
        <v>4.8</v>
      </c>
      <c r="D42" s="63" t="n">
        <v>4.7</v>
      </c>
      <c r="E42" s="63" t="n">
        <v>4.8</v>
      </c>
      <c r="F42" s="63" t="n">
        <v>4.7</v>
      </c>
      <c r="G42" s="63" t="n">
        <v>4.8</v>
      </c>
      <c r="H42" s="63" t="n">
        <v>4.5</v>
      </c>
      <c r="I42" s="63" t="n">
        <v>4.6</v>
      </c>
      <c r="J42" s="63" t="n">
        <v>6.1</v>
      </c>
      <c r="K42" s="63" t="n">
        <v>6.2</v>
      </c>
      <c r="L42" s="63" t="n">
        <v>7.1</v>
      </c>
      <c r="M42" s="63" t="n">
        <v>7</v>
      </c>
      <c r="N42" s="63" t="n">
        <v>5.9</v>
      </c>
      <c r="O42" s="63" t="n">
        <v>5.6</v>
      </c>
      <c r="P42" s="63" t="n">
        <v>4.6</v>
      </c>
      <c r="Q42" s="63" t="n">
        <v>4.5</v>
      </c>
      <c r="R42" s="63" t="n">
        <v>3.5</v>
      </c>
      <c r="S42" s="63" t="n">
        <v>2.8</v>
      </c>
      <c r="T42" s="63" t="n">
        <v>3.1</v>
      </c>
      <c r="U42" s="63" t="n">
        <v>3.5</v>
      </c>
      <c r="V42" s="63" t="n">
        <v>4.1</v>
      </c>
      <c r="W42" s="63" t="n">
        <v>4.1</v>
      </c>
      <c r="X42" s="63" t="n">
        <v>4.4</v>
      </c>
      <c r="Y42" s="63" t="n">
        <v>4.8</v>
      </c>
      <c r="Z42" s="63" t="n">
        <v>5</v>
      </c>
      <c r="AA42" s="63" t="n">
        <v>4.7</v>
      </c>
      <c r="AB42" s="63" t="n">
        <v>4.9</v>
      </c>
      <c r="AC42" s="63" t="n">
        <v>5.3</v>
      </c>
      <c r="AD42" s="63" t="n">
        <v>5.6</v>
      </c>
      <c r="AE42" s="63" t="n">
        <v>5.7</v>
      </c>
      <c r="AF42" s="63" t="n">
        <v>6.2</v>
      </c>
      <c r="AG42" s="63" t="n">
        <v>10.1</v>
      </c>
      <c r="AH42" s="63" t="n">
        <v>8.5</v>
      </c>
      <c r="AI42" s="63" t="n">
        <v>8.1</v>
      </c>
      <c r="AJ42" s="63" t="n">
        <v>8</v>
      </c>
      <c r="AK42" s="63" t="n">
        <v>10.1</v>
      </c>
      <c r="AL42" s="63" t="n">
        <v>8.1</v>
      </c>
      <c r="AM42" s="63" t="n">
        <v>8.5</v>
      </c>
      <c r="AN42" s="63" t="n">
        <v>7.8</v>
      </c>
      <c r="AO42" s="63" t="n">
        <v>8.5</v>
      </c>
      <c r="AP42" s="63" t="n">
        <v>8.9</v>
      </c>
      <c r="AQ42" s="63" t="n">
        <v>9.3</v>
      </c>
      <c r="AR42" s="63" t="n">
        <v>9.7</v>
      </c>
      <c r="AS42" s="63" t="n">
        <v>9.9</v>
      </c>
      <c r="AT42" s="63" t="n">
        <v>10.2</v>
      </c>
      <c r="AU42" s="63" t="n">
        <v>10.3</v>
      </c>
      <c r="AV42" s="63" t="n">
        <v>10.7</v>
      </c>
      <c r="AW42" s="63" t="n">
        <v>13.1</v>
      </c>
      <c r="AX42" s="63" t="n">
        <v>13.6</v>
      </c>
      <c r="AY42" s="63" t="n">
        <v>13.2</v>
      </c>
      <c r="AZ42" s="63" t="n">
        <v>12.6</v>
      </c>
      <c r="BA42" s="63" t="n">
        <v>19</v>
      </c>
      <c r="BB42" s="63" t="n">
        <v>19.4</v>
      </c>
      <c r="BC42" s="63" t="n">
        <v>21.1</v>
      </c>
      <c r="BD42" s="63" t="n">
        <v>21.8</v>
      </c>
      <c r="BE42" s="63" t="n">
        <v>21.1</v>
      </c>
      <c r="BF42" s="63" t="n">
        <v>20.8</v>
      </c>
      <c r="BG42" s="63" t="n">
        <v>20.6</v>
      </c>
      <c r="BH42" s="63" t="n">
        <v>20.5</v>
      </c>
      <c r="BI42" s="63" t="n">
        <v>20.8</v>
      </c>
      <c r="BJ42" s="63" t="n">
        <v>20.8</v>
      </c>
      <c r="BK42" s="63" t="n">
        <v>20.7</v>
      </c>
      <c r="BL42" s="63" t="n">
        <v>21</v>
      </c>
      <c r="BM42" s="63" t="n">
        <v>21.7</v>
      </c>
      <c r="BN42" s="63" t="n">
        <v>22.8</v>
      </c>
      <c r="BO42" s="63" t="n">
        <v>23.9</v>
      </c>
      <c r="BP42" s="63" t="n">
        <v>25.1</v>
      </c>
      <c r="BQ42" s="63" t="n">
        <v>26.5</v>
      </c>
      <c r="BR42" s="63" t="n">
        <v>28</v>
      </c>
      <c r="BS42" s="63" t="n">
        <v>30.2</v>
      </c>
      <c r="BT42" s="63" t="n">
        <v>31</v>
      </c>
      <c r="BU42" s="63" t="n">
        <v>30.8</v>
      </c>
      <c r="BV42" s="63" t="n">
        <v>30</v>
      </c>
      <c r="BW42" s="63" t="n">
        <v>29.5</v>
      </c>
      <c r="BX42" s="63" t="n">
        <v>28.9</v>
      </c>
      <c r="BY42" s="63" t="n">
        <v>28.2</v>
      </c>
      <c r="BZ42" s="63" t="n">
        <v>27.6</v>
      </c>
      <c r="CA42" s="63" t="n">
        <v>27</v>
      </c>
      <c r="CB42" s="63" t="n">
        <v>26.7</v>
      </c>
      <c r="CC42" s="63" t="n">
        <v>26.9</v>
      </c>
      <c r="CD42" s="63" t="n">
        <v>26.8</v>
      </c>
      <c r="CE42" s="63" t="n">
        <v>26.6</v>
      </c>
      <c r="CF42" s="63" t="n">
        <v>26.6</v>
      </c>
      <c r="CG42" s="63" t="n">
        <v>26.6</v>
      </c>
      <c r="CH42" s="63" t="n">
        <v>26.7</v>
      </c>
      <c r="CI42" s="63" t="n">
        <v>26.8</v>
      </c>
      <c r="CJ42" s="63" t="n">
        <v>27.1</v>
      </c>
      <c r="CK42" s="63" t="n">
        <v>27.7</v>
      </c>
      <c r="CL42" s="63" t="n">
        <v>28.2</v>
      </c>
      <c r="CM42" s="63" t="n">
        <v>28.8</v>
      </c>
      <c r="CN42" s="63" t="n">
        <v>30</v>
      </c>
      <c r="CO42" s="63" t="n">
        <v>31.8</v>
      </c>
      <c r="CP42" s="63" t="n">
        <v>35.1</v>
      </c>
      <c r="CQ42" s="63" t="n">
        <v>37.2</v>
      </c>
      <c r="CR42" s="63" t="n">
        <v>37.3</v>
      </c>
      <c r="CS42" s="63" t="n">
        <v>35.7</v>
      </c>
      <c r="CT42" s="63" t="n">
        <v>33.2</v>
      </c>
      <c r="CU42" s="63" t="n">
        <v>32</v>
      </c>
      <c r="CV42" s="63" t="n">
        <v>31.6</v>
      </c>
      <c r="CW42" s="63" t="n">
        <v>31.9</v>
      </c>
      <c r="CX42" s="63" t="n">
        <v>33.6</v>
      </c>
      <c r="CY42" s="63" t="n">
        <v>34.3</v>
      </c>
      <c r="CZ42" s="63" t="n">
        <v>34.8</v>
      </c>
      <c r="DA42" s="63" t="n">
        <v>35.2</v>
      </c>
      <c r="DB42" s="63" t="n">
        <v>35.2</v>
      </c>
      <c r="DC42" s="63" t="n">
        <v>35.1</v>
      </c>
      <c r="DD42" s="63" t="n">
        <v>34.9</v>
      </c>
      <c r="DE42" s="63" t="n">
        <v>34.4</v>
      </c>
      <c r="DF42" s="63" t="n">
        <v>34</v>
      </c>
      <c r="DG42" s="63" t="n">
        <v>33.2</v>
      </c>
      <c r="DH42" s="63" t="n">
        <v>33</v>
      </c>
      <c r="DI42" s="63" t="n">
        <v>33.3</v>
      </c>
      <c r="DJ42" s="63" t="n">
        <v>33.4</v>
      </c>
      <c r="DK42" s="63" t="n">
        <v>34.6</v>
      </c>
      <c r="DL42" s="63" t="n">
        <v>36.3</v>
      </c>
      <c r="DM42" s="63" t="n">
        <v>39.4</v>
      </c>
      <c r="DN42" s="63" t="n">
        <v>42</v>
      </c>
      <c r="DO42" s="63" t="n">
        <v>44.6</v>
      </c>
      <c r="DP42" s="63" t="n">
        <v>46</v>
      </c>
      <c r="DQ42" s="63" t="n">
        <v>46.5</v>
      </c>
      <c r="DR42" s="63" t="n">
        <v>44.6</v>
      </c>
      <c r="DS42" s="63" t="n">
        <v>45</v>
      </c>
      <c r="DT42" s="63" t="n">
        <v>45.3</v>
      </c>
      <c r="DU42" s="63" t="n">
        <v>46.4</v>
      </c>
      <c r="DV42" s="63" t="n">
        <v>47.2</v>
      </c>
      <c r="DW42" s="63" t="n">
        <v>47.6</v>
      </c>
      <c r="DX42" s="63" t="n">
        <v>66.3</v>
      </c>
      <c r="DY42" s="63" t="n">
        <v>43.1</v>
      </c>
      <c r="DZ42" s="63" t="n">
        <v>40.7</v>
      </c>
      <c r="EA42" s="63" t="n">
        <v>39.2</v>
      </c>
      <c r="EB42" s="63" t="n">
        <v>39.7</v>
      </c>
      <c r="EC42" s="63" t="n">
        <v>42.3</v>
      </c>
      <c r="ED42" s="63" t="n">
        <v>47</v>
      </c>
      <c r="EE42" s="63" t="n">
        <v>56.8</v>
      </c>
      <c r="EF42" s="63" t="n">
        <v>46.9</v>
      </c>
      <c r="EG42" s="63" t="n">
        <v>45.1</v>
      </c>
      <c r="EH42" s="63" t="n">
        <v>43.9</v>
      </c>
      <c r="EI42" s="63" t="n">
        <v>43.3</v>
      </c>
      <c r="EJ42" s="63" t="n">
        <v>45</v>
      </c>
      <c r="EK42" s="63" t="n">
        <v>51.9</v>
      </c>
      <c r="EL42" s="63" t="n">
        <v>56.4</v>
      </c>
      <c r="EM42" s="63" t="n">
        <v>60.3</v>
      </c>
      <c r="EN42" s="63" t="n">
        <v>61.6</v>
      </c>
      <c r="EO42" s="63" t="n">
        <v>63.9</v>
      </c>
      <c r="EP42" s="63" t="n">
        <v>55.4</v>
      </c>
      <c r="EQ42" s="63" t="n">
        <v>51.2</v>
      </c>
      <c r="ER42" s="63" t="n">
        <v>49.5</v>
      </c>
      <c r="ES42" s="63" t="n">
        <v>48.3</v>
      </c>
      <c r="ET42" s="63" t="n">
        <v>47.6</v>
      </c>
      <c r="EU42" s="63" t="n">
        <v>47.5</v>
      </c>
      <c r="EV42" s="63" t="n">
        <v>47.2</v>
      </c>
      <c r="EW42" s="63" t="n">
        <v>47.5</v>
      </c>
      <c r="EX42" s="63" t="n">
        <v>48</v>
      </c>
      <c r="EY42" s="63" t="n">
        <v>48.7</v>
      </c>
      <c r="EZ42" s="63" t="n">
        <v>49.8</v>
      </c>
      <c r="FA42" s="63" t="n">
        <v>51.8</v>
      </c>
      <c r="FB42" s="63" t="n">
        <v>53.4</v>
      </c>
      <c r="FC42" s="63" t="n">
        <v>54.3</v>
      </c>
      <c r="FD42" s="63" t="n">
        <v>65.9</v>
      </c>
      <c r="FE42" s="63" t="n">
        <v>54.3</v>
      </c>
      <c r="FF42" s="63" t="n">
        <v>53.2</v>
      </c>
      <c r="FG42" s="63" t="n">
        <v>53.4</v>
      </c>
      <c r="FH42" s="63" t="n">
        <v>54.4</v>
      </c>
      <c r="FI42" s="63" t="n">
        <v>56</v>
      </c>
      <c r="FJ42" s="63" t="n">
        <v>58</v>
      </c>
      <c r="FK42" s="63" t="n">
        <v>59.5</v>
      </c>
      <c r="FL42" s="63" t="n">
        <v>59.7</v>
      </c>
      <c r="FM42" s="63" t="n">
        <v>60.6</v>
      </c>
      <c r="FN42" s="63" t="n">
        <v>57.9</v>
      </c>
      <c r="FO42" s="63" t="n">
        <v>57.6</v>
      </c>
      <c r="FP42" s="63" t="n">
        <v>55.8</v>
      </c>
      <c r="FQ42" s="63" t="n">
        <v>58.9</v>
      </c>
      <c r="FR42" s="63" t="n">
        <v>58.9</v>
      </c>
      <c r="FS42" s="63" t="n">
        <v>59.6</v>
      </c>
      <c r="FT42" s="63" t="n">
        <v>59.5</v>
      </c>
      <c r="FU42" s="63" t="n">
        <v>58.9</v>
      </c>
      <c r="FV42" s="63" t="n">
        <v>58.2</v>
      </c>
      <c r="FW42" s="63" t="n">
        <v>58</v>
      </c>
      <c r="FX42" s="63" t="n">
        <v>57.7</v>
      </c>
      <c r="FY42" s="63" t="n">
        <v>56.5</v>
      </c>
      <c r="FZ42" s="63" t="n">
        <v>55.5</v>
      </c>
      <c r="GA42" s="63" t="n">
        <v>55.9</v>
      </c>
      <c r="GB42" s="63" t="n">
        <v>57.2</v>
      </c>
      <c r="GC42" s="63" t="n">
        <v>58.1</v>
      </c>
      <c r="GD42" s="63" t="n">
        <v>60.2</v>
      </c>
      <c r="GE42" s="63" t="n">
        <v>61.8</v>
      </c>
      <c r="GF42" s="63" t="n">
        <v>62.5</v>
      </c>
      <c r="GG42" s="63" t="n">
        <v>60.4</v>
      </c>
      <c r="GH42" s="63" t="n">
        <v>58.8</v>
      </c>
      <c r="GI42" s="63" t="n">
        <v>57.5</v>
      </c>
      <c r="GJ42" s="63" t="n">
        <v>61.4</v>
      </c>
      <c r="GK42" s="63" t="n">
        <v>59.6</v>
      </c>
      <c r="GL42" s="63" t="n">
        <v>58.1</v>
      </c>
      <c r="GM42" s="63" t="n">
        <v>57.7</v>
      </c>
      <c r="GN42" s="63" t="n">
        <v>57.3</v>
      </c>
      <c r="GO42" s="63" t="n">
        <v>77.9</v>
      </c>
      <c r="GP42" s="63" t="n">
        <v>68.5</v>
      </c>
      <c r="GQ42" s="63" t="n">
        <v>58.3</v>
      </c>
      <c r="GR42" s="63" t="n">
        <v>80.6</v>
      </c>
      <c r="GS42" s="63" t="n">
        <v>82.1</v>
      </c>
      <c r="GT42" s="63" t="n">
        <v>80</v>
      </c>
      <c r="GU42" s="63" t="n">
        <v>975.7</v>
      </c>
      <c r="GV42" s="63" t="n">
        <v>1108.8</v>
      </c>
      <c r="GW42" s="63" t="n">
        <v>462.2</v>
      </c>
      <c r="GX42" s="63" t="n">
        <v>387.4</v>
      </c>
      <c r="GY42" s="63" t="n">
        <v>693.9</v>
      </c>
      <c r="GZ42" s="63" t="n">
        <v>545.6</v>
      </c>
      <c r="HA42" s="63" t="n">
        <v>288.3</v>
      </c>
      <c r="HB42" s="63" t="n">
        <v>144.5</v>
      </c>
      <c r="HC42" t="n">
        <v>122.9</v>
      </c>
      <c r="HD42" t="n">
        <v>113.8</v>
      </c>
      <c r="HE42" t="n">
        <v>110.8</v>
      </c>
    </row>
    <row r="43">
      <c r="A43" s="63" t="s">
        <v>2477</v>
      </c>
      <c r="B43" s="63" t="n">
        <v>0</v>
      </c>
      <c r="C43" s="63" t="n">
        <v>0</v>
      </c>
      <c r="D43" s="63" t="n">
        <v>0</v>
      </c>
      <c r="E43" s="63" t="n">
        <v>0</v>
      </c>
      <c r="F43" s="63" t="n">
        <v>0</v>
      </c>
      <c r="G43" s="63" t="n">
        <v>0</v>
      </c>
      <c r="H43" s="63" t="n">
        <v>0</v>
      </c>
      <c r="I43" s="63" t="n">
        <v>0</v>
      </c>
      <c r="J43" s="63" t="n">
        <v>0</v>
      </c>
      <c r="K43" s="63" t="n">
        <v>0.1</v>
      </c>
      <c r="L43" s="63" t="n">
        <v>0.1</v>
      </c>
      <c r="M43" s="63" t="n">
        <v>0.1</v>
      </c>
      <c r="N43" s="63" t="n">
        <v>0.1</v>
      </c>
      <c r="O43" s="63" t="n">
        <v>0.1</v>
      </c>
      <c r="P43" s="63" t="n">
        <v>0.1</v>
      </c>
      <c r="Q43" s="63" t="n">
        <v>0.1</v>
      </c>
      <c r="R43" s="63" t="n">
        <v>0.1</v>
      </c>
      <c r="S43" s="63" t="n">
        <v>0.1</v>
      </c>
      <c r="T43" s="63" t="n">
        <v>0.1</v>
      </c>
      <c r="U43" s="63" t="n">
        <v>0.1</v>
      </c>
      <c r="V43" s="63" t="n">
        <v>0.1</v>
      </c>
      <c r="W43" s="63" t="n">
        <v>0.2</v>
      </c>
      <c r="X43" s="63" t="n">
        <v>0.2</v>
      </c>
      <c r="Y43" s="63" t="n">
        <v>0.2</v>
      </c>
      <c r="Z43" s="63" t="n">
        <v>0.2</v>
      </c>
      <c r="AA43" s="63" t="n">
        <v>0.2</v>
      </c>
      <c r="AB43" s="63" t="n">
        <v>0.2</v>
      </c>
      <c r="AC43" s="63" t="n">
        <v>0.2</v>
      </c>
      <c r="AD43" s="63" t="n">
        <v>0.2</v>
      </c>
      <c r="AE43" s="63" t="n">
        <v>0.2</v>
      </c>
      <c r="AF43" s="63" t="n">
        <v>0.2</v>
      </c>
      <c r="AG43" s="63" t="n">
        <v>0.2</v>
      </c>
      <c r="AH43" s="63" t="n">
        <v>0.2</v>
      </c>
      <c r="AI43" s="63" t="n">
        <v>0.2</v>
      </c>
      <c r="AJ43" s="63" t="n">
        <v>0.2</v>
      </c>
      <c r="AK43" s="63" t="n">
        <v>0.3</v>
      </c>
      <c r="AL43" s="63" t="n">
        <v>0.3</v>
      </c>
      <c r="AM43" s="63" t="n">
        <v>0.3</v>
      </c>
      <c r="AN43" s="63" t="n">
        <v>0.3</v>
      </c>
      <c r="AO43" s="63" t="n">
        <v>0.3</v>
      </c>
      <c r="AP43" s="63" t="n">
        <v>0.3</v>
      </c>
      <c r="AQ43" s="63" t="n">
        <v>0.3</v>
      </c>
      <c r="AR43" s="63" t="n">
        <v>0.4</v>
      </c>
      <c r="AS43" s="63" t="n">
        <v>0.4</v>
      </c>
      <c r="AT43" s="63" t="n">
        <v>0.4</v>
      </c>
      <c r="AU43" s="63" t="n">
        <v>0.4</v>
      </c>
      <c r="AV43" s="63" t="n">
        <v>0.4</v>
      </c>
      <c r="AW43" s="63" t="n">
        <v>0.4</v>
      </c>
      <c r="AX43" s="63" t="n">
        <v>0.4</v>
      </c>
      <c r="AY43" s="63" t="n">
        <v>0.5</v>
      </c>
      <c r="AZ43" s="63" t="n">
        <v>0.5</v>
      </c>
      <c r="BA43" s="63" t="n">
        <v>0.5</v>
      </c>
      <c r="BB43" s="63" t="n">
        <v>0.5</v>
      </c>
      <c r="BC43" s="63" t="n">
        <v>0.4</v>
      </c>
      <c r="BD43" s="63" t="n">
        <v>0.4</v>
      </c>
      <c r="BE43" s="63" t="n">
        <v>0.4</v>
      </c>
      <c r="BF43" s="63" t="n">
        <v>0.4</v>
      </c>
      <c r="BG43" s="63" t="n">
        <v>0.4</v>
      </c>
      <c r="BH43" s="63" t="n">
        <v>0.4</v>
      </c>
      <c r="BI43" s="63" t="n">
        <v>0.4</v>
      </c>
      <c r="BJ43" s="63" t="n">
        <v>0.3</v>
      </c>
      <c r="BK43" s="63" t="n">
        <v>0.3</v>
      </c>
      <c r="BL43" s="63" t="n">
        <v>0.3</v>
      </c>
      <c r="BM43" s="63" t="n">
        <v>0.3</v>
      </c>
      <c r="BN43" s="63" t="n">
        <v>0.3</v>
      </c>
      <c r="BO43" s="63" t="n">
        <v>0.3</v>
      </c>
      <c r="BP43" s="63" t="n">
        <v>0.3</v>
      </c>
      <c r="BQ43" s="63" t="n">
        <v>0.3</v>
      </c>
      <c r="BR43" s="63" t="n">
        <v>0.3</v>
      </c>
      <c r="BS43" s="63" t="n">
        <v>0.3</v>
      </c>
      <c r="BT43" s="63" t="n">
        <v>0.3</v>
      </c>
      <c r="BU43" s="63" t="n">
        <v>0.3</v>
      </c>
      <c r="BV43" s="63" t="n">
        <v>0.3</v>
      </c>
      <c r="BW43" s="63" t="n">
        <v>0.3</v>
      </c>
      <c r="BX43" s="63" t="n">
        <v>0.4</v>
      </c>
      <c r="BY43" s="63" t="n">
        <v>0.4</v>
      </c>
      <c r="BZ43" s="63" t="n">
        <v>0.4</v>
      </c>
      <c r="CA43" s="63" t="n">
        <v>0.4</v>
      </c>
      <c r="CB43" s="63" t="n">
        <v>0.4</v>
      </c>
      <c r="CC43" s="63" t="n">
        <v>0.4</v>
      </c>
      <c r="CD43" s="63" t="n">
        <v>0.4</v>
      </c>
      <c r="CE43" s="63" t="n">
        <v>0.4</v>
      </c>
      <c r="CF43" s="63" t="n">
        <v>0.4</v>
      </c>
      <c r="CG43" s="63" t="n">
        <v>0.4</v>
      </c>
      <c r="CH43" s="63" t="n">
        <v>0.4</v>
      </c>
      <c r="CI43" s="63" t="n">
        <v>0.4</v>
      </c>
      <c r="CJ43" s="63" t="n">
        <v>0.4</v>
      </c>
      <c r="CK43" s="63" t="n">
        <v>0.4</v>
      </c>
      <c r="CL43" s="63" t="n">
        <v>0.4</v>
      </c>
      <c r="CM43" s="63" t="n">
        <v>0.4</v>
      </c>
      <c r="CN43" s="63" t="n">
        <v>0.4</v>
      </c>
      <c r="CO43" s="63" t="n">
        <v>0.4</v>
      </c>
      <c r="CP43" s="63" t="n">
        <v>0.4</v>
      </c>
      <c r="CQ43" s="63" t="n">
        <v>0.4</v>
      </c>
      <c r="CR43" s="63" t="n">
        <v>0.4</v>
      </c>
      <c r="CS43" s="63" t="n">
        <v>0.4</v>
      </c>
      <c r="CT43" s="63" t="n">
        <v>0.4</v>
      </c>
      <c r="CU43" s="63" t="n">
        <v>0.3</v>
      </c>
      <c r="CV43" s="63" t="n">
        <v>0.3</v>
      </c>
      <c r="CW43" s="63" t="n">
        <v>0.3</v>
      </c>
      <c r="CX43" s="63" t="n">
        <v>0.3</v>
      </c>
      <c r="CY43" s="63" t="n">
        <v>0.3</v>
      </c>
      <c r="CZ43" s="63" t="n">
        <v>0.3</v>
      </c>
      <c r="DA43" s="63" t="n">
        <v>0.3</v>
      </c>
      <c r="DB43" s="63" t="n">
        <v>0.3</v>
      </c>
      <c r="DC43" s="63" t="n">
        <v>0.3</v>
      </c>
      <c r="DD43" s="63" t="n">
        <v>0.3</v>
      </c>
      <c r="DE43" s="63" t="n">
        <v>0.4</v>
      </c>
      <c r="DF43" s="63" t="n">
        <v>0.4</v>
      </c>
      <c r="DG43" s="63" t="n">
        <v>0.4</v>
      </c>
      <c r="DH43" s="63" t="n">
        <v>0.4</v>
      </c>
      <c r="DI43" s="63" t="n">
        <v>0.5</v>
      </c>
      <c r="DJ43" s="63" t="n">
        <v>0.5</v>
      </c>
      <c r="DK43" s="63" t="n">
        <v>0.5</v>
      </c>
      <c r="DL43" s="63" t="n">
        <v>0.4</v>
      </c>
      <c r="DM43" s="63" t="n">
        <v>0.4</v>
      </c>
      <c r="DN43" s="63" t="n">
        <v>0.4</v>
      </c>
      <c r="DO43" s="63" t="n">
        <v>0.4</v>
      </c>
      <c r="DP43" s="63" t="n">
        <v>0.4</v>
      </c>
      <c r="DQ43" s="63" t="n">
        <v>0.4</v>
      </c>
      <c r="DR43" s="63" t="n">
        <v>0.5</v>
      </c>
      <c r="DS43" s="63" t="n">
        <v>0.5</v>
      </c>
      <c r="DT43" s="63" t="n">
        <v>0.6</v>
      </c>
      <c r="DU43" s="63" t="n">
        <v>0.6</v>
      </c>
      <c r="DV43" s="63" t="n">
        <v>8</v>
      </c>
      <c r="DW43" s="63" t="n">
        <v>14.4</v>
      </c>
      <c r="DX43" s="63" t="n">
        <v>4.8</v>
      </c>
      <c r="DY43" s="63" t="n">
        <v>3.4</v>
      </c>
      <c r="DZ43" s="63" t="n">
        <v>1.8</v>
      </c>
      <c r="EA43" s="63" t="n">
        <v>0.6</v>
      </c>
      <c r="EB43" s="63" t="n">
        <v>1.7</v>
      </c>
      <c r="EC43" s="63" t="n">
        <v>-0.4</v>
      </c>
      <c r="ED43" s="63" t="n">
        <v>0.1</v>
      </c>
      <c r="EE43" s="63" t="n">
        <v>0.3</v>
      </c>
      <c r="EF43" s="63" t="n">
        <v>-1</v>
      </c>
      <c r="EG43" s="63" t="n">
        <v>0.9</v>
      </c>
      <c r="EH43" s="63" t="n">
        <v>0.4</v>
      </c>
      <c r="EI43" s="63" t="n">
        <v>0.4</v>
      </c>
      <c r="EJ43" s="63" t="n">
        <v>0.4</v>
      </c>
      <c r="EK43" s="63" t="n">
        <v>0.4</v>
      </c>
      <c r="EL43" s="63" t="n">
        <v>0.4</v>
      </c>
      <c r="EM43" s="63" t="n">
        <v>0.4</v>
      </c>
      <c r="EN43" s="63" t="n">
        <v>0.4</v>
      </c>
      <c r="EO43" s="63" t="n">
        <v>0.4</v>
      </c>
      <c r="EP43" s="63" t="n">
        <v>0.4</v>
      </c>
      <c r="EQ43" s="63" t="n">
        <v>0.4</v>
      </c>
      <c r="ER43" s="63" t="n">
        <v>0.4</v>
      </c>
      <c r="ES43" s="63" t="n">
        <v>0.4</v>
      </c>
      <c r="ET43" s="63" t="n">
        <v>1.9</v>
      </c>
      <c r="EU43" s="63" t="n">
        <v>10.7</v>
      </c>
      <c r="EV43" s="63" t="n">
        <v>8.8</v>
      </c>
      <c r="EW43" s="63" t="n">
        <v>7.2</v>
      </c>
      <c r="EX43" s="63" t="n">
        <v>4</v>
      </c>
      <c r="EY43" s="63" t="n">
        <v>2.9</v>
      </c>
      <c r="EZ43" s="63" t="n">
        <v>2.2</v>
      </c>
      <c r="FA43" s="63" t="n">
        <v>2.8</v>
      </c>
      <c r="FB43" s="63" t="n">
        <v>2</v>
      </c>
      <c r="FC43" s="63" t="n">
        <v>1.2</v>
      </c>
      <c r="FD43" s="63" t="n">
        <v>1.2</v>
      </c>
      <c r="FE43" s="63" t="n">
        <v>1.2</v>
      </c>
      <c r="FF43" s="63" t="n">
        <v>1.6</v>
      </c>
      <c r="FG43" s="63" t="n">
        <v>2.1</v>
      </c>
      <c r="FH43" s="63" t="n">
        <v>1.6</v>
      </c>
      <c r="FI43" s="63" t="n">
        <v>1</v>
      </c>
      <c r="FJ43" s="63" t="n">
        <v>0.9</v>
      </c>
      <c r="FK43" s="63" t="n">
        <v>0.4</v>
      </c>
      <c r="FL43" s="63" t="n">
        <v>0.4</v>
      </c>
      <c r="FM43" s="63" t="n">
        <v>0.4</v>
      </c>
      <c r="FN43" s="63" t="n">
        <v>0.5</v>
      </c>
      <c r="FO43" s="63" t="n">
        <v>0.5</v>
      </c>
      <c r="FP43" s="63" t="n">
        <v>0.5</v>
      </c>
      <c r="FQ43" s="63" t="n">
        <v>0.5</v>
      </c>
      <c r="FR43" s="63" t="n">
        <v>0.5</v>
      </c>
      <c r="FS43" s="63" t="n">
        <v>0.5</v>
      </c>
      <c r="FT43" s="63" t="n">
        <v>0.5</v>
      </c>
      <c r="FU43" s="63" t="n">
        <v>0.5</v>
      </c>
      <c r="FV43" s="63" t="n">
        <v>0.5</v>
      </c>
      <c r="FW43" s="63" t="n">
        <v>0.5</v>
      </c>
      <c r="FX43" s="63" t="n">
        <v>0.5</v>
      </c>
      <c r="FY43" s="63" t="n">
        <v>0.5</v>
      </c>
      <c r="FZ43" s="63" t="n">
        <v>0.5</v>
      </c>
      <c r="GA43" s="63" t="n">
        <v>0.5</v>
      </c>
      <c r="GB43" s="63" t="n">
        <v>0.5</v>
      </c>
      <c r="GC43" s="63" t="n">
        <v>0.5</v>
      </c>
      <c r="GD43" s="63" t="n">
        <v>0.5</v>
      </c>
      <c r="GE43" s="63" t="n">
        <v>0.5</v>
      </c>
      <c r="GF43" s="63" t="n">
        <v>0.5</v>
      </c>
      <c r="GG43" s="63" t="n">
        <v>0.5</v>
      </c>
      <c r="GH43" s="63" t="n">
        <v>0.5</v>
      </c>
      <c r="GI43" s="63" t="n">
        <v>0.6</v>
      </c>
      <c r="GJ43" s="63" t="n">
        <v>0.6</v>
      </c>
      <c r="GK43" s="63" t="n">
        <v>0.6</v>
      </c>
      <c r="GL43" s="63" t="n">
        <v>0.6</v>
      </c>
      <c r="GM43" s="63" t="n">
        <v>0.6</v>
      </c>
      <c r="GN43" s="63" t="n">
        <v>0.6</v>
      </c>
      <c r="GO43" s="63" t="n">
        <v>0.6</v>
      </c>
      <c r="GP43" s="63" t="n">
        <v>0.6</v>
      </c>
      <c r="GQ43" s="63" t="n">
        <v>0.6</v>
      </c>
      <c r="GR43" s="63" t="n">
        <v>0.6</v>
      </c>
      <c r="GS43" s="63" t="n">
        <v>0.6</v>
      </c>
      <c r="GT43" s="63" t="n">
        <v>0.6</v>
      </c>
      <c r="GU43" s="63" t="n">
        <v>0.6</v>
      </c>
      <c r="GV43" s="63" t="n">
        <v>0.6</v>
      </c>
      <c r="GW43" s="63" t="n">
        <v>0.6</v>
      </c>
      <c r="GX43" s="63" t="n">
        <v>2.5</v>
      </c>
      <c r="GY43" s="63" t="n">
        <v>8.6</v>
      </c>
      <c r="GZ43" s="63" t="n">
        <v>0.7</v>
      </c>
      <c r="HA43" s="63" t="n">
        <v>0.7</v>
      </c>
      <c r="HB43" s="63" t="n">
        <v>0.7</v>
      </c>
      <c r="HC43" t="n">
        <v>0.7</v>
      </c>
      <c r="HD43" t="n">
        <v>0.7</v>
      </c>
      <c r="HE43" t="n">
        <v>0.7</v>
      </c>
    </row>
    <row r="44">
      <c r="A44" s="63" t="s">
        <v>2478</v>
      </c>
      <c r="B44" s="63" t="n">
        <v>4.7</v>
      </c>
      <c r="C44" s="63" t="n">
        <v>4.8</v>
      </c>
      <c r="D44" s="63" t="n">
        <v>4.7</v>
      </c>
      <c r="E44" s="63" t="n">
        <v>4.8</v>
      </c>
      <c r="F44" s="63" t="n">
        <v>4.8</v>
      </c>
      <c r="G44" s="63" t="n">
        <v>4.8</v>
      </c>
      <c r="H44" s="63" t="n">
        <v>4.5</v>
      </c>
      <c r="I44" s="63" t="n">
        <v>4.6</v>
      </c>
      <c r="J44" s="63" t="n">
        <v>6.1</v>
      </c>
      <c r="K44" s="63" t="n">
        <v>6.2</v>
      </c>
      <c r="L44" s="63" t="n">
        <v>7.2</v>
      </c>
      <c r="M44" s="63" t="n">
        <v>7.1</v>
      </c>
      <c r="N44" s="63" t="n">
        <v>5.9</v>
      </c>
      <c r="O44" s="63" t="n">
        <v>5.7</v>
      </c>
      <c r="P44" s="63" t="n">
        <v>4.7</v>
      </c>
      <c r="Q44" s="63" t="n">
        <v>4.6</v>
      </c>
      <c r="R44" s="63" t="n">
        <v>3.6</v>
      </c>
      <c r="S44" s="63" t="n">
        <v>2.9</v>
      </c>
      <c r="T44" s="63" t="n">
        <v>3.2</v>
      </c>
      <c r="U44" s="63" t="n">
        <v>3.6</v>
      </c>
      <c r="V44" s="63" t="n">
        <v>4.2</v>
      </c>
      <c r="W44" s="63" t="n">
        <v>4.3</v>
      </c>
      <c r="X44" s="63" t="n">
        <v>4.6</v>
      </c>
      <c r="Y44" s="63" t="n">
        <v>4.9</v>
      </c>
      <c r="Z44" s="63" t="n">
        <v>5.1</v>
      </c>
      <c r="AA44" s="63" t="n">
        <v>4.8</v>
      </c>
      <c r="AB44" s="63" t="n">
        <v>5.1</v>
      </c>
      <c r="AC44" s="63" t="n">
        <v>5.5</v>
      </c>
      <c r="AD44" s="63" t="n">
        <v>5.8</v>
      </c>
      <c r="AE44" s="63" t="n">
        <v>5.9</v>
      </c>
      <c r="AF44" s="63" t="n">
        <v>6.4</v>
      </c>
      <c r="AG44" s="63" t="n">
        <v>10.3</v>
      </c>
      <c r="AH44" s="63" t="n">
        <v>8.7</v>
      </c>
      <c r="AI44" s="63" t="n">
        <v>8.4</v>
      </c>
      <c r="AJ44" s="63" t="n">
        <v>8.3</v>
      </c>
      <c r="AK44" s="63" t="n">
        <v>10.4</v>
      </c>
      <c r="AL44" s="63" t="n">
        <v>8.4</v>
      </c>
      <c r="AM44" s="63" t="n">
        <v>8.8</v>
      </c>
      <c r="AN44" s="63" t="n">
        <v>8.1</v>
      </c>
      <c r="AO44" s="63" t="n">
        <v>8.9</v>
      </c>
      <c r="AP44" s="63" t="n">
        <v>9.2</v>
      </c>
      <c r="AQ44" s="63" t="n">
        <v>9.6</v>
      </c>
      <c r="AR44" s="63" t="n">
        <v>10.1</v>
      </c>
      <c r="AS44" s="63" t="n">
        <v>10.3</v>
      </c>
      <c r="AT44" s="63" t="n">
        <v>10.6</v>
      </c>
      <c r="AU44" s="63" t="n">
        <v>10.7</v>
      </c>
      <c r="AV44" s="63" t="n">
        <v>11.1</v>
      </c>
      <c r="AW44" s="63" t="n">
        <v>13.5</v>
      </c>
      <c r="AX44" s="63" t="n">
        <v>14</v>
      </c>
      <c r="AY44" s="63" t="n">
        <v>13.6</v>
      </c>
      <c r="AZ44" s="63" t="n">
        <v>13</v>
      </c>
      <c r="BA44" s="63" t="n">
        <v>19.4</v>
      </c>
      <c r="BB44" s="63" t="n">
        <v>19.9</v>
      </c>
      <c r="BC44" s="63" t="n">
        <v>21.6</v>
      </c>
      <c r="BD44" s="63" t="n">
        <v>22.2</v>
      </c>
      <c r="BE44" s="63" t="n">
        <v>21.5</v>
      </c>
      <c r="BF44" s="63" t="n">
        <v>21.2</v>
      </c>
      <c r="BG44" s="63" t="n">
        <v>21</v>
      </c>
      <c r="BH44" s="63" t="n">
        <v>20.9</v>
      </c>
      <c r="BI44" s="63" t="n">
        <v>21.2</v>
      </c>
      <c r="BJ44" s="63" t="n">
        <v>21.1</v>
      </c>
      <c r="BK44" s="63" t="n">
        <v>21</v>
      </c>
      <c r="BL44" s="63" t="n">
        <v>21.3</v>
      </c>
      <c r="BM44" s="63" t="n">
        <v>22</v>
      </c>
      <c r="BN44" s="63" t="n">
        <v>23.1</v>
      </c>
      <c r="BO44" s="63" t="n">
        <v>24.2</v>
      </c>
      <c r="BP44" s="63" t="n">
        <v>25.5</v>
      </c>
      <c r="BQ44" s="63" t="n">
        <v>26.8</v>
      </c>
      <c r="BR44" s="63" t="n">
        <v>28.3</v>
      </c>
      <c r="BS44" s="63" t="n">
        <v>30.4</v>
      </c>
      <c r="BT44" s="63" t="n">
        <v>31.3</v>
      </c>
      <c r="BU44" s="63" t="n">
        <v>31.1</v>
      </c>
      <c r="BV44" s="63" t="n">
        <v>30.4</v>
      </c>
      <c r="BW44" s="63" t="n">
        <v>29.8</v>
      </c>
      <c r="BX44" s="63" t="n">
        <v>29.2</v>
      </c>
      <c r="BY44" s="63" t="n">
        <v>28.6</v>
      </c>
      <c r="BZ44" s="63" t="n">
        <v>28</v>
      </c>
      <c r="CA44" s="63" t="n">
        <v>27.4</v>
      </c>
      <c r="CB44" s="63" t="n">
        <v>27.1</v>
      </c>
      <c r="CC44" s="63" t="n">
        <v>27.3</v>
      </c>
      <c r="CD44" s="63" t="n">
        <v>27.1</v>
      </c>
      <c r="CE44" s="63" t="n">
        <v>27</v>
      </c>
      <c r="CF44" s="63" t="n">
        <v>26.9</v>
      </c>
      <c r="CG44" s="63" t="n">
        <v>27</v>
      </c>
      <c r="CH44" s="63" t="n">
        <v>27.1</v>
      </c>
      <c r="CI44" s="63" t="n">
        <v>27.2</v>
      </c>
      <c r="CJ44" s="63" t="n">
        <v>27.5</v>
      </c>
      <c r="CK44" s="63" t="n">
        <v>28.1</v>
      </c>
      <c r="CL44" s="63" t="n">
        <v>28.6</v>
      </c>
      <c r="CM44" s="63" t="n">
        <v>29.2</v>
      </c>
      <c r="CN44" s="63" t="n">
        <v>30.4</v>
      </c>
      <c r="CO44" s="63" t="n">
        <v>32.2</v>
      </c>
      <c r="CP44" s="63" t="n">
        <v>35.5</v>
      </c>
      <c r="CQ44" s="63" t="n">
        <v>37.6</v>
      </c>
      <c r="CR44" s="63" t="n">
        <v>37.7</v>
      </c>
      <c r="CS44" s="63" t="n">
        <v>36</v>
      </c>
      <c r="CT44" s="63" t="n">
        <v>33.6</v>
      </c>
      <c r="CU44" s="63" t="n">
        <v>32.4</v>
      </c>
      <c r="CV44" s="63" t="n">
        <v>31.9</v>
      </c>
      <c r="CW44" s="63" t="n">
        <v>32.2</v>
      </c>
      <c r="CX44" s="63" t="n">
        <v>34</v>
      </c>
      <c r="CY44" s="63" t="n">
        <v>34.6</v>
      </c>
      <c r="CZ44" s="63" t="n">
        <v>35.1</v>
      </c>
      <c r="DA44" s="63" t="n">
        <v>35.5</v>
      </c>
      <c r="DB44" s="63" t="n">
        <v>35.5</v>
      </c>
      <c r="DC44" s="63" t="n">
        <v>35.4</v>
      </c>
      <c r="DD44" s="63" t="n">
        <v>35.2</v>
      </c>
      <c r="DE44" s="63" t="n">
        <v>34.8</v>
      </c>
      <c r="DF44" s="63" t="n">
        <v>34.4</v>
      </c>
      <c r="DG44" s="63" t="n">
        <v>33.6</v>
      </c>
      <c r="DH44" s="63" t="n">
        <v>33.4</v>
      </c>
      <c r="DI44" s="63" t="n">
        <v>33.8</v>
      </c>
      <c r="DJ44" s="63" t="n">
        <v>33.8</v>
      </c>
      <c r="DK44" s="63" t="n">
        <v>35</v>
      </c>
      <c r="DL44" s="63" t="n">
        <v>36.8</v>
      </c>
      <c r="DM44" s="63" t="n">
        <v>39.9</v>
      </c>
      <c r="DN44" s="63" t="n">
        <v>42.4</v>
      </c>
      <c r="DO44" s="63" t="n">
        <v>45</v>
      </c>
      <c r="DP44" s="63" t="n">
        <v>46.4</v>
      </c>
      <c r="DQ44" s="63" t="n">
        <v>46.9</v>
      </c>
      <c r="DR44" s="63" t="n">
        <v>45.1</v>
      </c>
      <c r="DS44" s="63" t="n">
        <v>45.5</v>
      </c>
      <c r="DT44" s="63" t="n">
        <v>45.8</v>
      </c>
      <c r="DU44" s="63" t="n">
        <v>47</v>
      </c>
      <c r="DV44" s="63" t="n">
        <v>55.2</v>
      </c>
      <c r="DW44" s="63" t="n">
        <v>62</v>
      </c>
      <c r="DX44" s="63" t="n">
        <v>71.2</v>
      </c>
      <c r="DY44" s="63" t="n">
        <v>46.4</v>
      </c>
      <c r="DZ44" s="63" t="n">
        <v>42.6</v>
      </c>
      <c r="EA44" s="63" t="n">
        <v>39.8</v>
      </c>
      <c r="EB44" s="63" t="n">
        <v>41.3</v>
      </c>
      <c r="EC44" s="63" t="n">
        <v>41.9</v>
      </c>
      <c r="ED44" s="63" t="n">
        <v>47.1</v>
      </c>
      <c r="EE44" s="63" t="n">
        <v>57.1</v>
      </c>
      <c r="EF44" s="63" t="n">
        <v>45.9</v>
      </c>
      <c r="EG44" s="63" t="n">
        <v>46</v>
      </c>
      <c r="EH44" s="63" t="n">
        <v>44.2</v>
      </c>
      <c r="EI44" s="63" t="n">
        <v>43.7</v>
      </c>
      <c r="EJ44" s="63" t="n">
        <v>45.4</v>
      </c>
      <c r="EK44" s="63" t="n">
        <v>52.3</v>
      </c>
      <c r="EL44" s="63" t="n">
        <v>56.7</v>
      </c>
      <c r="EM44" s="63" t="n">
        <v>60.7</v>
      </c>
      <c r="EN44" s="63" t="n">
        <v>62</v>
      </c>
      <c r="EO44" s="63" t="n">
        <v>64.2</v>
      </c>
      <c r="EP44" s="63" t="n">
        <v>55.7</v>
      </c>
      <c r="EQ44" s="63" t="n">
        <v>51.5</v>
      </c>
      <c r="ER44" s="63" t="n">
        <v>49.9</v>
      </c>
      <c r="ES44" s="63" t="n">
        <v>48.7</v>
      </c>
      <c r="ET44" s="63" t="n">
        <v>49.5</v>
      </c>
      <c r="EU44" s="63" t="n">
        <v>58.2</v>
      </c>
      <c r="EV44" s="63" t="n">
        <v>55.9</v>
      </c>
      <c r="EW44" s="63" t="n">
        <v>54.7</v>
      </c>
      <c r="EX44" s="63" t="n">
        <v>51.9</v>
      </c>
      <c r="EY44" s="63" t="n">
        <v>51.7</v>
      </c>
      <c r="EZ44" s="63" t="n">
        <v>52</v>
      </c>
      <c r="FA44" s="63" t="n">
        <v>54.6</v>
      </c>
      <c r="FB44" s="63" t="n">
        <v>55.4</v>
      </c>
      <c r="FC44" s="63" t="n">
        <v>55.5</v>
      </c>
      <c r="FD44" s="63" t="n">
        <v>67.1</v>
      </c>
      <c r="FE44" s="63" t="n">
        <v>55.5</v>
      </c>
      <c r="FF44" s="63" t="n">
        <v>54.8</v>
      </c>
      <c r="FG44" s="63" t="n">
        <v>55.5</v>
      </c>
      <c r="FH44" s="63" t="n">
        <v>56</v>
      </c>
      <c r="FI44" s="63" t="n">
        <v>56.9</v>
      </c>
      <c r="FJ44" s="63" t="n">
        <v>58.9</v>
      </c>
      <c r="FK44" s="63" t="n">
        <v>59.9</v>
      </c>
      <c r="FL44" s="63" t="n">
        <v>60.2</v>
      </c>
      <c r="FM44" s="63" t="n">
        <v>61.1</v>
      </c>
      <c r="FN44" s="63" t="n">
        <v>58.4</v>
      </c>
      <c r="FO44" s="63" t="n">
        <v>58.1</v>
      </c>
      <c r="FP44" s="63" t="n">
        <v>56.3</v>
      </c>
      <c r="FQ44" s="63" t="n">
        <v>59.4</v>
      </c>
      <c r="FR44" s="63" t="n">
        <v>59.4</v>
      </c>
      <c r="FS44" s="63" t="n">
        <v>60.1</v>
      </c>
      <c r="FT44" s="63" t="n">
        <v>60</v>
      </c>
      <c r="FU44" s="63" t="n">
        <v>59.4</v>
      </c>
      <c r="FV44" s="63" t="n">
        <v>58.7</v>
      </c>
      <c r="FW44" s="63" t="n">
        <v>58.5</v>
      </c>
      <c r="FX44" s="63" t="n">
        <v>58.2</v>
      </c>
      <c r="FY44" s="63" t="n">
        <v>57</v>
      </c>
      <c r="FZ44" s="63" t="n">
        <v>56</v>
      </c>
      <c r="GA44" s="63" t="n">
        <v>56.4</v>
      </c>
      <c r="GB44" s="63" t="n">
        <v>57.7</v>
      </c>
      <c r="GC44" s="63" t="n">
        <v>58.7</v>
      </c>
      <c r="GD44" s="63" t="n">
        <v>60.7</v>
      </c>
      <c r="GE44" s="63" t="n">
        <v>62.4</v>
      </c>
      <c r="GF44" s="63" t="n">
        <v>63</v>
      </c>
      <c r="GG44" s="63" t="n">
        <v>60.9</v>
      </c>
      <c r="GH44" s="63" t="n">
        <v>59.4</v>
      </c>
      <c r="GI44" s="63" t="n">
        <v>58</v>
      </c>
      <c r="GJ44" s="63" t="n">
        <v>61.9</v>
      </c>
      <c r="GK44" s="63" t="n">
        <v>60.2</v>
      </c>
      <c r="GL44" s="63" t="n">
        <v>58.7</v>
      </c>
      <c r="GM44" s="63" t="n">
        <v>58.2</v>
      </c>
      <c r="GN44" s="63" t="n">
        <v>57.8</v>
      </c>
      <c r="GO44" s="63" t="n">
        <v>78.5</v>
      </c>
      <c r="GP44" s="63" t="n">
        <v>69.1</v>
      </c>
      <c r="GQ44" s="63" t="n">
        <v>58.9</v>
      </c>
      <c r="GR44" s="63" t="n">
        <v>81.2</v>
      </c>
      <c r="GS44" s="63" t="n">
        <v>82.7</v>
      </c>
      <c r="GT44" s="63" t="n">
        <v>80.6</v>
      </c>
      <c r="GU44" s="63" t="n">
        <v>976.3</v>
      </c>
      <c r="GV44" s="63" t="n">
        <v>1109.4</v>
      </c>
      <c r="GW44" s="63" t="n">
        <v>462.8</v>
      </c>
      <c r="GX44" s="63" t="n">
        <v>390</v>
      </c>
      <c r="GY44" s="63" t="n">
        <v>702.5</v>
      </c>
      <c r="GZ44" s="63" t="n">
        <v>546.3</v>
      </c>
      <c r="HA44" s="63" t="n">
        <v>289</v>
      </c>
      <c r="HB44" s="63" t="n">
        <v>145.2</v>
      </c>
      <c r="HC44" t="n">
        <v>123.5</v>
      </c>
      <c r="HD44" t="n">
        <v>114.5</v>
      </c>
      <c r="HE44" t="n">
        <v>111.5</v>
      </c>
    </row>
    <row r="45">
      <c r="A45" s="63" t="s">
        <v>2479</v>
      </c>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c r="FG45" s="63"/>
      <c r="FH45" s="63"/>
      <c r="FI45" s="63"/>
      <c r="FJ45" s="63"/>
      <c r="FK45" s="63"/>
      <c r="FL45" s="63"/>
      <c r="FM45" s="63"/>
      <c r="FN45" s="63"/>
      <c r="FO45" s="63"/>
      <c r="FP45" s="63"/>
      <c r="FQ45" s="63"/>
      <c r="FR45" s="63"/>
      <c r="FS45" s="63"/>
      <c r="FT45" s="63"/>
      <c r="FU45" s="63"/>
      <c r="FV45" s="63"/>
      <c r="FW45" s="63"/>
      <c r="FX45" s="63"/>
      <c r="FY45" s="63"/>
      <c r="FZ45" s="63"/>
      <c r="GA45" s="63"/>
      <c r="GB45" s="63"/>
      <c r="GC45" s="63"/>
      <c r="GD45" s="63"/>
      <c r="GE45" s="63"/>
      <c r="GF45" s="63"/>
      <c r="GG45" s="63"/>
      <c r="GH45" s="63"/>
      <c r="GI45" s="63"/>
      <c r="GJ45" s="63"/>
      <c r="GK45" s="63"/>
      <c r="GL45" s="63"/>
      <c r="GM45" s="63"/>
      <c r="GN45" s="63"/>
      <c r="GO45" s="63"/>
      <c r="GP45" s="63"/>
      <c r="GQ45" s="63"/>
      <c r="GR45" s="63"/>
      <c r="GS45" s="63"/>
      <c r="GT45" s="63"/>
      <c r="GU45" s="63" t="n">
        <v>1078.1</v>
      </c>
      <c r="GV45" s="63" t="n">
        <v>15.6</v>
      </c>
      <c r="GW45" s="63" t="n">
        <v>5</v>
      </c>
      <c r="GX45" s="63" t="n">
        <v>1933.7</v>
      </c>
      <c r="GY45" s="63" t="n">
        <v>290.1</v>
      </c>
      <c r="GZ45" s="63" t="n">
        <v>38.9</v>
      </c>
      <c r="HA45" s="63" t="n">
        <v>14.2</v>
      </c>
      <c r="HB45" s="63" t="n">
        <v>0</v>
      </c>
      <c r="HC45" t="n">
        <v>0</v>
      </c>
      <c r="HD45" t="n">
        <v>0</v>
      </c>
      <c r="HE45" t="n">
        <v>0</v>
      </c>
    </row>
    <row r="46">
      <c r="A46" s="63" t="s">
        <v>2480</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c r="GC46" s="63"/>
      <c r="GD46" s="63"/>
      <c r="GE46" s="63"/>
      <c r="GF46" s="63"/>
      <c r="GG46" s="63"/>
      <c r="GH46" s="63"/>
      <c r="GI46" s="63"/>
      <c r="GJ46" s="63"/>
      <c r="GK46" s="63"/>
      <c r="GL46" s="63"/>
      <c r="GM46" s="63"/>
      <c r="GN46" s="63"/>
      <c r="GO46" s="63"/>
      <c r="GP46" s="63"/>
      <c r="GQ46" s="63"/>
      <c r="GR46" s="63"/>
      <c r="GS46" s="63"/>
      <c r="GT46" s="63"/>
      <c r="GU46" s="63" t="n">
        <v>9.6</v>
      </c>
      <c r="GV46" s="63" t="n">
        <v>14.4</v>
      </c>
      <c r="GW46" s="63" t="n">
        <v>14.3</v>
      </c>
      <c r="GX46" s="63" t="n">
        <v>15</v>
      </c>
      <c r="GY46" s="63" t="n">
        <v>15.3</v>
      </c>
      <c r="GZ46" s="63" t="n">
        <v>15.6</v>
      </c>
      <c r="HA46" s="63" t="n">
        <v>15.7</v>
      </c>
      <c r="HB46" s="63" t="n">
        <v>15.8</v>
      </c>
      <c r="HC46" t="n">
        <v>7.9</v>
      </c>
      <c r="HD46" t="n">
        <v>0</v>
      </c>
      <c r="HE46" t="n">
        <v>0</v>
      </c>
    </row>
    <row r="47">
      <c r="A47" s="63" t="s">
        <v>2481</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c r="GC47" s="63"/>
      <c r="GD47" s="63"/>
      <c r="GE47" s="63"/>
      <c r="GF47" s="63"/>
      <c r="GG47" s="63"/>
      <c r="GH47" s="63"/>
      <c r="GI47" s="63"/>
      <c r="GJ47" s="63"/>
      <c r="GK47" s="63"/>
      <c r="GL47" s="63"/>
      <c r="GM47" s="63"/>
      <c r="GN47" s="63"/>
      <c r="GO47" s="63"/>
      <c r="GP47" s="63"/>
      <c r="GQ47" s="63"/>
      <c r="GR47" s="63"/>
      <c r="GS47" s="63"/>
      <c r="GT47" s="63"/>
      <c r="GU47" s="63" t="n">
        <v>57.2</v>
      </c>
      <c r="GV47" s="63" t="n">
        <v>81.2</v>
      </c>
      <c r="GW47" s="63" t="n">
        <v>24.4</v>
      </c>
      <c r="GX47" s="63" t="n">
        <v>11.7</v>
      </c>
      <c r="GY47" s="63" t="n">
        <v>28.5</v>
      </c>
      <c r="GZ47" s="63" t="n">
        <v>18.8</v>
      </c>
      <c r="HA47" s="63" t="n">
        <v>1.6</v>
      </c>
      <c r="HB47" s="63" t="n">
        <v>0</v>
      </c>
      <c r="HC47" t="n">
        <v>0</v>
      </c>
      <c r="HD47" t="n">
        <v>0</v>
      </c>
      <c r="HE47" t="n">
        <v>0</v>
      </c>
    </row>
    <row r="48">
      <c r="A48" s="63" t="s">
        <v>2482</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c r="FG48" s="63"/>
      <c r="FH48" s="63"/>
      <c r="FI48" s="63"/>
      <c r="FJ48" s="63"/>
      <c r="FK48" s="63"/>
      <c r="FL48" s="63"/>
      <c r="FM48" s="63"/>
      <c r="FN48" s="63"/>
      <c r="FO48" s="63"/>
      <c r="FP48" s="63"/>
      <c r="FQ48" s="63"/>
      <c r="FR48" s="63"/>
      <c r="FS48" s="63"/>
      <c r="FT48" s="63"/>
      <c r="FU48" s="63"/>
      <c r="FV48" s="63"/>
      <c r="FW48" s="63"/>
      <c r="FX48" s="63"/>
      <c r="FY48" s="63"/>
      <c r="FZ48" s="63"/>
      <c r="GA48" s="63"/>
      <c r="GB48" s="63"/>
      <c r="GC48" s="63"/>
      <c r="GD48" s="63"/>
      <c r="GE48" s="63"/>
      <c r="GF48" s="63"/>
      <c r="GG48" s="63"/>
      <c r="GH48" s="63"/>
      <c r="GI48" s="63"/>
      <c r="GJ48" s="63"/>
      <c r="GK48" s="63"/>
      <c r="GL48" s="63"/>
      <c r="GM48" s="63"/>
      <c r="GN48" s="63"/>
      <c r="GO48" s="63"/>
      <c r="GP48" s="63"/>
      <c r="GQ48" s="63"/>
      <c r="GR48" s="63"/>
      <c r="GS48" s="63"/>
      <c r="GT48" s="63" t="n">
        <v>1.5</v>
      </c>
      <c r="GU48" s="63" t="n">
        <v>160.9</v>
      </c>
      <c r="GV48" s="63" t="n">
        <v>58.4</v>
      </c>
      <c r="GW48" s="63" t="n">
        <v>34.5</v>
      </c>
      <c r="GX48" s="63" t="n">
        <v>21.4</v>
      </c>
      <c r="GY48" s="63" t="n">
        <v>13.3</v>
      </c>
      <c r="GZ48" s="63" t="n">
        <v>18.7</v>
      </c>
      <c r="HA48" s="63" t="n">
        <v>32.2</v>
      </c>
      <c r="HB48" s="63" t="n">
        <v>26.9</v>
      </c>
      <c r="HC48" t="n">
        <v>20</v>
      </c>
      <c r="HD48" t="n">
        <v>8.1</v>
      </c>
      <c r="HE48" t="n">
        <v>4.9</v>
      </c>
    </row>
    <row r="49">
      <c r="A49" s="63" t="s">
        <v>2483</v>
      </c>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t="n">
        <v>576.9</v>
      </c>
      <c r="GV49" s="63" t="n">
        <v>819.5</v>
      </c>
      <c r="GW49" s="63" t="n">
        <v>246.3</v>
      </c>
      <c r="GX49" s="63" t="n">
        <v>197</v>
      </c>
      <c r="GY49" s="63" t="n">
        <v>441.2</v>
      </c>
      <c r="GZ49" s="63" t="n">
        <v>276.7</v>
      </c>
      <c r="HA49" s="63" t="n">
        <v>28.2</v>
      </c>
      <c r="HB49" s="63" t="n">
        <v>0</v>
      </c>
      <c r="HC49" t="n">
        <v>0</v>
      </c>
      <c r="HD49" t="n">
        <v>0</v>
      </c>
      <c r="HE49" t="n">
        <v>0</v>
      </c>
    </row>
    <row r="50">
      <c r="A50" s="63" t="s">
        <v>2484</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t="n">
        <v>63.8</v>
      </c>
      <c r="GV50" s="63" t="n">
        <v>15</v>
      </c>
      <c r="GW50" s="63" t="n">
        <v>0.1</v>
      </c>
      <c r="GX50" s="63" t="n">
        <v>38</v>
      </c>
      <c r="GY50" s="63" t="n">
        <v>47.3</v>
      </c>
      <c r="GZ50" s="63" t="n">
        <v>0.7</v>
      </c>
      <c r="HA50" s="63" t="n">
        <v>0</v>
      </c>
      <c r="HB50" s="63" t="n">
        <v>0.3</v>
      </c>
      <c r="HC50" t="n">
        <v>0.2</v>
      </c>
      <c r="HD50" t="n">
        <v>0.3</v>
      </c>
      <c r="HE50" t="n">
        <v>0.4</v>
      </c>
    </row>
    <row r="51">
      <c r="A51" s="63" t="s">
        <v>2485</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c r="FG51" s="63"/>
      <c r="FH51" s="63"/>
      <c r="FI51" s="63"/>
      <c r="FJ51" s="63"/>
      <c r="FK51" s="63"/>
      <c r="FL51" s="63"/>
      <c r="FM51" s="63"/>
      <c r="FN51" s="63"/>
      <c r="FO51" s="63"/>
      <c r="FP51" s="63"/>
      <c r="FQ51" s="63"/>
      <c r="FR51" s="63"/>
      <c r="FS51" s="63"/>
      <c r="FT51" s="63"/>
      <c r="FU51" s="63"/>
      <c r="FV51" s="63"/>
      <c r="FW51" s="63"/>
      <c r="FX51" s="63"/>
      <c r="FY51" s="63"/>
      <c r="FZ51" s="63"/>
      <c r="GA51" s="63"/>
      <c r="GB51" s="63"/>
      <c r="GC51" s="63"/>
      <c r="GD51" s="63"/>
      <c r="GE51" s="63"/>
      <c r="GF51" s="63"/>
      <c r="GG51" s="63"/>
      <c r="GH51" s="63"/>
      <c r="GI51" s="63"/>
      <c r="GJ51" s="63"/>
      <c r="GK51" s="63"/>
      <c r="GL51" s="63"/>
      <c r="GM51" s="63"/>
      <c r="GN51" s="63"/>
      <c r="GO51" s="63"/>
      <c r="GP51" s="63"/>
      <c r="GQ51" s="63"/>
      <c r="GR51" s="63"/>
      <c r="GS51" s="63"/>
      <c r="GT51" s="63"/>
      <c r="GU51" s="63" t="n">
        <v>73.3</v>
      </c>
      <c r="GV51" s="63" t="n">
        <v>73.3</v>
      </c>
      <c r="GW51" s="63" t="n">
        <v>73.3</v>
      </c>
      <c r="GX51" s="63" t="n">
        <v>39.8</v>
      </c>
      <c r="GY51" s="63" t="n">
        <v>43</v>
      </c>
      <c r="GZ51" s="63" t="n">
        <v>45.7</v>
      </c>
      <c r="HA51" s="63" t="n">
        <v>51.5</v>
      </c>
      <c r="HB51" s="63" t="n">
        <v>0</v>
      </c>
      <c r="HC51" t="n">
        <v>0</v>
      </c>
      <c r="HD51" t="n">
        <v>0</v>
      </c>
      <c r="HE51" t="n">
        <v>0</v>
      </c>
    </row>
    <row r="52">
      <c r="A52" s="63" t="s">
        <v>2486</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c r="FG52" s="63"/>
      <c r="FH52" s="63"/>
      <c r="FI52" s="63"/>
      <c r="FJ52" s="63"/>
      <c r="FK52" s="63"/>
      <c r="FL52" s="63"/>
      <c r="FM52" s="63"/>
      <c r="FN52" s="63"/>
      <c r="FO52" s="63"/>
      <c r="FP52" s="63"/>
      <c r="FQ52" s="63"/>
      <c r="FR52" s="63"/>
      <c r="FS52" s="63"/>
      <c r="FT52" s="63"/>
      <c r="FU52" s="63"/>
      <c r="FV52" s="63"/>
      <c r="FW52" s="63"/>
      <c r="FX52" s="63"/>
      <c r="FY52" s="63"/>
      <c r="FZ52" s="63"/>
      <c r="GA52" s="63"/>
      <c r="GB52" s="63"/>
      <c r="GC52" s="63"/>
      <c r="GD52" s="63"/>
      <c r="GE52" s="63"/>
      <c r="GF52" s="63"/>
      <c r="GG52" s="63"/>
      <c r="GH52" s="63"/>
      <c r="GI52" s="63"/>
      <c r="GJ52" s="63"/>
      <c r="GK52" s="63"/>
      <c r="GL52" s="63"/>
      <c r="GM52" s="63"/>
      <c r="GN52" s="63"/>
      <c r="GO52" s="63"/>
      <c r="GP52" s="63"/>
      <c r="GQ52" s="63"/>
      <c r="GR52" s="63"/>
      <c r="GS52" s="63"/>
      <c r="GT52" s="63"/>
      <c r="GU52" s="63" t="n">
        <v>22</v>
      </c>
      <c r="GV52" s="63" t="n">
        <v>25.3</v>
      </c>
      <c r="GW52" s="63" t="n">
        <v>11.8</v>
      </c>
      <c r="GX52" s="63" t="n">
        <v>11.9</v>
      </c>
      <c r="GY52" s="63" t="n">
        <v>11.3</v>
      </c>
      <c r="GZ52" s="63" t="n">
        <v>13.6</v>
      </c>
      <c r="HA52" s="63" t="n">
        <v>19</v>
      </c>
      <c r="HB52" s="63" t="n">
        <v>21.8</v>
      </c>
      <c r="HC52" t="n">
        <v>22.3</v>
      </c>
      <c r="HD52" t="n">
        <v>20.2</v>
      </c>
      <c r="HE52" t="n">
        <v>15.8</v>
      </c>
    </row>
    <row r="53">
      <c r="A53" s="63" t="s">
        <v>2487</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c r="FG53" s="63"/>
      <c r="FH53" s="63"/>
      <c r="FI53" s="63"/>
      <c r="FJ53" s="63"/>
      <c r="FK53" s="63"/>
      <c r="FL53" s="63"/>
      <c r="FM53" s="63"/>
      <c r="FN53" s="63"/>
      <c r="FO53" s="63"/>
      <c r="FP53" s="63"/>
      <c r="FQ53" s="63"/>
      <c r="FR53" s="63"/>
      <c r="FS53" s="63"/>
      <c r="FT53" s="63"/>
      <c r="FU53" s="63"/>
      <c r="FV53" s="63"/>
      <c r="FW53" s="63"/>
      <c r="FX53" s="63"/>
      <c r="FY53" s="63"/>
      <c r="FZ53" s="63"/>
      <c r="GA53" s="63"/>
      <c r="GB53" s="63"/>
      <c r="GC53" s="63"/>
      <c r="GD53" s="63"/>
      <c r="GE53" s="63"/>
      <c r="GF53" s="63"/>
      <c r="GG53" s="63"/>
      <c r="GH53" s="63"/>
      <c r="GI53" s="63"/>
      <c r="GJ53" s="63"/>
      <c r="GK53" s="63"/>
      <c r="GL53" s="63"/>
      <c r="GM53" s="63"/>
      <c r="GN53" s="63"/>
      <c r="GO53" s="63"/>
      <c r="GP53" s="63"/>
      <c r="GQ53" s="63"/>
      <c r="GR53" s="63"/>
      <c r="GS53" s="63"/>
      <c r="GT53" s="63"/>
      <c r="GU53" s="63" t="n">
        <v>16.9</v>
      </c>
      <c r="GV53" s="63" t="n">
        <v>18.4</v>
      </c>
      <c r="GW53" s="63" t="n">
        <v>46.2</v>
      </c>
      <c r="GX53" s="63" t="n">
        <v>0.9</v>
      </c>
      <c r="GY53" s="63" t="n">
        <v>14.1</v>
      </c>
      <c r="GZ53" s="63" t="n">
        <v>8.6</v>
      </c>
      <c r="HA53" s="63" t="n">
        <v>1.2</v>
      </c>
      <c r="HB53" s="63" t="n">
        <v>0.6</v>
      </c>
      <c r="HC53" t="n">
        <v>0</v>
      </c>
      <c r="HD53" t="n">
        <v>0</v>
      </c>
      <c r="HE53" t="n">
        <v>0</v>
      </c>
    </row>
    <row r="54">
      <c r="A54" s="63" t="s">
        <v>2488</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c r="FG54" s="63"/>
      <c r="FH54" s="63"/>
      <c r="FI54" s="63"/>
      <c r="FJ54" s="63"/>
      <c r="FK54" s="63"/>
      <c r="FL54" s="63"/>
      <c r="FM54" s="63"/>
      <c r="FN54" s="63"/>
      <c r="FO54" s="63"/>
      <c r="FP54" s="63"/>
      <c r="FQ54" s="63"/>
      <c r="FR54" s="63"/>
      <c r="FS54" s="63"/>
      <c r="FT54" s="63"/>
      <c r="FU54" s="63"/>
      <c r="FV54" s="63"/>
      <c r="FW54" s="63"/>
      <c r="FX54" s="63"/>
      <c r="FY54" s="63"/>
      <c r="FZ54" s="63"/>
      <c r="GA54" s="63"/>
      <c r="GB54" s="63"/>
      <c r="GC54" s="63"/>
      <c r="GD54" s="63"/>
      <c r="GE54" s="63"/>
      <c r="GF54" s="63"/>
      <c r="GG54" s="63"/>
      <c r="GH54" s="63"/>
      <c r="GI54" s="63"/>
      <c r="GJ54" s="63"/>
      <c r="GK54" s="63"/>
      <c r="GL54" s="63"/>
      <c r="GM54" s="63"/>
      <c r="GN54" s="63"/>
      <c r="GO54" s="63"/>
      <c r="GP54" s="63"/>
      <c r="GQ54" s="63"/>
      <c r="GR54" s="63"/>
      <c r="GS54" s="63"/>
      <c r="GT54" s="63"/>
      <c r="GU54" s="63" t="n">
        <v>96.6</v>
      </c>
      <c r="GV54" s="63" t="n">
        <v>35.1</v>
      </c>
      <c r="GW54" s="63" t="n">
        <v>20.7</v>
      </c>
      <c r="GX54" s="63" t="n">
        <v>15.4</v>
      </c>
      <c r="GY54" s="63" t="n">
        <v>9.6</v>
      </c>
      <c r="GZ54" s="63" t="n">
        <v>13.5</v>
      </c>
      <c r="HA54" s="63" t="n">
        <v>23.2</v>
      </c>
      <c r="HB54" s="63" t="n">
        <v>19.3</v>
      </c>
      <c r="HC54" t="n">
        <v>14.4</v>
      </c>
      <c r="HD54" t="n">
        <v>5.9</v>
      </c>
      <c r="HE54" t="n">
        <v>3.6</v>
      </c>
    </row>
    <row r="55">
      <c r="A55" s="63" t="s">
        <v>2489</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t="n">
        <v>140</v>
      </c>
      <c r="GV55" s="63" t="n">
        <v>140</v>
      </c>
      <c r="GW55" s="63" t="n">
        <v>140</v>
      </c>
      <c r="GX55" s="63" t="n">
        <v>4.8</v>
      </c>
      <c r="GY55" s="63" t="n">
        <v>4.4</v>
      </c>
      <c r="GZ55" s="63" t="n">
        <v>5.3</v>
      </c>
      <c r="HA55" s="63" t="n">
        <v>4.7</v>
      </c>
      <c r="HB55" s="63" t="n">
        <v>0</v>
      </c>
      <c r="HC55" t="n">
        <v>0</v>
      </c>
      <c r="HD55" t="n">
        <v>0</v>
      </c>
      <c r="HE55" t="n">
        <v>0</v>
      </c>
    </row>
    <row r="56">
      <c r="A56" s="63" t="s">
        <v>2490</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c r="FG56" s="63"/>
      <c r="FH56" s="63"/>
      <c r="FI56" s="63"/>
      <c r="FJ56" s="63"/>
      <c r="FK56" s="63"/>
      <c r="FL56" s="63"/>
      <c r="FM56" s="63"/>
      <c r="FN56" s="63"/>
      <c r="FO56" s="63"/>
      <c r="FP56" s="63"/>
      <c r="FQ56" s="63"/>
      <c r="FR56" s="63"/>
      <c r="FS56" s="63"/>
      <c r="FT56" s="63"/>
      <c r="FU56" s="63"/>
      <c r="FV56" s="63"/>
      <c r="FW56" s="63"/>
      <c r="FX56" s="63"/>
      <c r="FY56" s="63"/>
      <c r="FZ56" s="63"/>
      <c r="GA56" s="63"/>
      <c r="GB56" s="63"/>
      <c r="GC56" s="63"/>
      <c r="GD56" s="63"/>
      <c r="GE56" s="63"/>
      <c r="GF56" s="63"/>
      <c r="GG56" s="63"/>
      <c r="GH56" s="63"/>
      <c r="GI56" s="63"/>
      <c r="GJ56" s="63"/>
      <c r="GK56" s="63"/>
      <c r="GL56" s="63"/>
      <c r="GM56" s="63"/>
      <c r="GN56" s="63"/>
      <c r="GO56" s="63"/>
      <c r="GP56" s="63"/>
      <c r="GQ56" s="63"/>
      <c r="GR56" s="63"/>
      <c r="GS56" s="63"/>
      <c r="GT56" s="63"/>
      <c r="GU56" s="63" t="n">
        <v>597.9</v>
      </c>
      <c r="GV56" s="63" t="n">
        <v>0</v>
      </c>
      <c r="GW56" s="63" t="n">
        <v>0</v>
      </c>
      <c r="GX56" s="63" t="n">
        <v>0</v>
      </c>
      <c r="GY56" s="63" t="n">
        <v>785.9</v>
      </c>
      <c r="GZ56" s="63" t="n">
        <v>187.9</v>
      </c>
      <c r="HA56" s="63" t="n">
        <v>9.2</v>
      </c>
      <c r="HB56" s="63" t="n">
        <v>0.6</v>
      </c>
      <c r="HC56" t="n">
        <v>0</v>
      </c>
      <c r="HD56" t="n">
        <v>0</v>
      </c>
      <c r="HE56" t="n">
        <v>0</v>
      </c>
    </row>
    <row r="57">
      <c r="A57" s="63" t="s">
        <v>2491</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t="n">
        <v>28.4</v>
      </c>
      <c r="GV57" s="63" t="n">
        <v>15.8</v>
      </c>
      <c r="GW57" s="63" t="n">
        <v>15.2</v>
      </c>
      <c r="GX57" s="63" t="n">
        <v>28.9</v>
      </c>
      <c r="GY57" s="63" t="n">
        <v>67.6</v>
      </c>
      <c r="GZ57" s="63" t="n">
        <v>80.7</v>
      </c>
      <c r="HA57" s="63" t="n">
        <v>87.2</v>
      </c>
      <c r="HB57" s="63" t="n">
        <v>72.4</v>
      </c>
      <c r="HC57" t="n">
        <v>85.9</v>
      </c>
      <c r="HD57" t="n">
        <v>68.3</v>
      </c>
      <c r="HE57" t="n">
        <v>64</v>
      </c>
    </row>
    <row r="58">
      <c r="A58" s="63" t="s">
        <v>2492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c r="FG58" s="63"/>
      <c r="FH58" s="63"/>
      <c r="FI58" s="63"/>
      <c r="FJ58" s="63"/>
      <c r="FK58" s="63"/>
      <c r="FL58" s="63"/>
      <c r="FM58" s="63"/>
      <c r="FN58" s="63"/>
      <c r="FO58" s="63"/>
      <c r="FP58" s="63"/>
      <c r="FQ58" s="63"/>
      <c r="FR58" s="63"/>
      <c r="FS58" s="63"/>
      <c r="FT58" s="63"/>
      <c r="FU58" s="63"/>
      <c r="FV58" s="63"/>
      <c r="FW58" s="63"/>
      <c r="FX58" s="63"/>
      <c r="FY58" s="63"/>
      <c r="FZ58" s="63"/>
      <c r="GA58" s="63"/>
      <c r="GB58" s="63"/>
      <c r="GC58" s="63"/>
      <c r="GD58" s="63"/>
      <c r="GE58" s="63"/>
      <c r="GF58" s="63"/>
      <c r="GG58" s="63"/>
      <c r="GH58" s="63"/>
      <c r="GI58" s="63"/>
      <c r="GJ58" s="63"/>
      <c r="GK58" s="63"/>
      <c r="GL58" s="63"/>
      <c r="GM58" s="63"/>
      <c r="GN58" s="63"/>
      <c r="GO58" s="63"/>
      <c r="GP58" s="63"/>
      <c r="GQ58" s="63"/>
      <c r="GR58" s="63"/>
      <c r="GS58" s="63"/>
      <c r="GT58" s="63"/>
      <c r="GU58" s="63" t="n">
        <v>64.4</v>
      </c>
      <c r="GV58" s="63" t="n">
        <v>23.4</v>
      </c>
      <c r="GW58" s="63" t="n">
        <v>13.8</v>
      </c>
      <c r="GX58" s="63" t="n">
        <v>12</v>
      </c>
      <c r="GY58" s="63" t="n">
        <v>7.5</v>
      </c>
      <c r="GZ58" s="63" t="n">
        <v>10.5</v>
      </c>
      <c r="HA58" s="63" t="n">
        <v>18</v>
      </c>
      <c r="HB58" s="63" t="n">
        <v>15</v>
      </c>
      <c r="HC58" t="n">
        <v>11.2</v>
      </c>
      <c r="HD58" t="n">
        <v>7.5</v>
      </c>
      <c r="HE58" t="n">
        <v>6.2</v>
      </c>
    </row>
    <row r="59">
      <c r="A59" s="63" t="s">
        <v>2493</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t="n">
        <v>6.3</v>
      </c>
      <c r="GV59" s="63" t="n">
        <v>26.7</v>
      </c>
      <c r="GW59" s="63" t="n">
        <v>82.1</v>
      </c>
      <c r="GX59" s="63" t="n">
        <v>94.7</v>
      </c>
      <c r="GY59" s="63" t="n">
        <v>92.1</v>
      </c>
      <c r="GZ59" s="63" t="n">
        <v>51.6</v>
      </c>
      <c r="HA59" s="63" t="n">
        <v>2.8</v>
      </c>
      <c r="HB59" s="63" t="n">
        <v>0.8</v>
      </c>
      <c r="HC59" t="n">
        <v>0.5</v>
      </c>
      <c r="HD59" t="n">
        <v>0.3</v>
      </c>
      <c r="HE59" t="n">
        <v>0.2</v>
      </c>
    </row>
    <row r="60">
      <c r="A60" s="63" t="s">
        <v>2494</v>
      </c>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c r="FG60" s="63"/>
      <c r="FH60" s="63"/>
      <c r="FI60" s="63"/>
      <c r="FJ60" s="63"/>
      <c r="FK60" s="63"/>
      <c r="FL60" s="63"/>
      <c r="FM60" s="63"/>
      <c r="FN60" s="63"/>
      <c r="FO60" s="63"/>
      <c r="FP60" s="63"/>
      <c r="FQ60" s="63"/>
      <c r="FR60" s="63"/>
      <c r="FS60" s="63"/>
      <c r="FT60" s="63"/>
      <c r="FU60" s="63"/>
      <c r="FV60" s="63"/>
      <c r="FW60" s="63"/>
      <c r="FX60" s="63"/>
      <c r="FY60" s="63"/>
      <c r="FZ60" s="63"/>
      <c r="GA60" s="63"/>
      <c r="GB60" s="63"/>
      <c r="GC60" s="63"/>
      <c r="GD60" s="63"/>
      <c r="GE60" s="63"/>
      <c r="GF60" s="63"/>
      <c r="GG60" s="63"/>
      <c r="GH60" s="63"/>
      <c r="GI60" s="63"/>
      <c r="GJ60" s="63"/>
      <c r="GK60" s="63"/>
      <c r="GL60" s="63"/>
      <c r="GM60" s="63"/>
      <c r="GN60" s="63"/>
      <c r="GO60" s="63"/>
      <c r="GP60" s="63"/>
      <c r="GQ60" s="63"/>
      <c r="GR60" s="63"/>
      <c r="GS60" s="63"/>
      <c r="GT60" s="63"/>
      <c r="GU60" s="63" t="n">
        <v>74.4</v>
      </c>
      <c r="GV60" s="63" t="n">
        <v>138.3</v>
      </c>
      <c r="GW60" s="63" t="n">
        <v>106.8</v>
      </c>
      <c r="GX60" s="63" t="n">
        <v>89.2</v>
      </c>
      <c r="GY60" s="63" t="n">
        <v>72.3</v>
      </c>
      <c r="GZ60" s="63" t="n">
        <v>43.5</v>
      </c>
      <c r="HA60" s="63" t="n">
        <v>2.1</v>
      </c>
      <c r="HB60" s="63" t="n">
        <v>0.8</v>
      </c>
      <c r="HC60" t="n">
        <v>0.4</v>
      </c>
      <c r="HD60" t="n">
        <v>0.2</v>
      </c>
      <c r="HE60" t="n">
        <v>0.1</v>
      </c>
    </row>
    <row r="61">
      <c r="A61" s="63" t="s">
        <v>2495</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c r="FG61" s="63"/>
      <c r="FH61" s="63"/>
      <c r="FI61" s="63"/>
      <c r="FJ61" s="63"/>
      <c r="FK61" s="63"/>
      <c r="FL61" s="63"/>
      <c r="FM61" s="63"/>
      <c r="FN61" s="63"/>
      <c r="FO61" s="63"/>
      <c r="FP61" s="63"/>
      <c r="FQ61" s="63"/>
      <c r="FR61" s="63"/>
      <c r="FS61" s="63"/>
      <c r="FT61" s="63"/>
      <c r="FU61" s="63"/>
      <c r="FV61" s="63"/>
      <c r="FW61" s="63"/>
      <c r="FX61" s="63"/>
      <c r="FY61" s="63"/>
      <c r="FZ61" s="63"/>
      <c r="GA61" s="63"/>
      <c r="GB61" s="63"/>
      <c r="GC61" s="63"/>
      <c r="GD61" s="63"/>
      <c r="GE61" s="63"/>
      <c r="GF61" s="63"/>
      <c r="GG61" s="63"/>
      <c r="GH61" s="63"/>
      <c r="GI61" s="63"/>
      <c r="GJ61" s="63"/>
      <c r="GK61" s="63"/>
      <c r="GL61" s="63"/>
      <c r="GM61" s="63"/>
      <c r="GN61" s="63"/>
      <c r="GO61" s="63"/>
      <c r="GP61" s="63"/>
      <c r="GQ61" s="63"/>
      <c r="GR61" s="63"/>
      <c r="GS61" s="63"/>
      <c r="GT61" s="63"/>
      <c r="GU61" s="63" t="n">
        <v>698.9</v>
      </c>
      <c r="GV61" s="63" t="n">
        <v>413.9</v>
      </c>
      <c r="GW61" s="63" t="n">
        <v>14.7</v>
      </c>
      <c r="GX61" s="63" t="n">
        <v>288.2</v>
      </c>
      <c r="GY61" s="63" t="n">
        <v>233.3</v>
      </c>
      <c r="GZ61" s="63" t="n">
        <v>110.5</v>
      </c>
      <c r="HA61" s="63" t="n">
        <v>0</v>
      </c>
      <c r="HB61" s="63" t="n">
        <v>0</v>
      </c>
      <c r="HC61" t="n">
        <v>0</v>
      </c>
      <c r="HD61" t="n">
        <v>0</v>
      </c>
      <c r="HE61" t="n">
        <v>0</v>
      </c>
    </row>
    <row r="62">
      <c r="A62" s="63" t="s">
        <v>2496</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c r="FG62" s="63"/>
      <c r="FH62" s="63"/>
      <c r="FI62" s="63"/>
      <c r="FJ62" s="63"/>
      <c r="FK62" s="63"/>
      <c r="FL62" s="63"/>
      <c r="FM62" s="63"/>
      <c r="FN62" s="63"/>
      <c r="FO62" s="63"/>
      <c r="FP62" s="63"/>
      <c r="FQ62" s="63"/>
      <c r="FR62" s="63"/>
      <c r="FS62" s="63"/>
      <c r="FT62" s="63"/>
      <c r="FU62" s="63"/>
      <c r="FV62" s="63"/>
      <c r="FW62" s="63"/>
      <c r="FX62" s="63"/>
      <c r="FY62" s="63"/>
      <c r="FZ62" s="63"/>
      <c r="GA62" s="63"/>
      <c r="GB62" s="63"/>
      <c r="GC62" s="63"/>
      <c r="GD62" s="63"/>
      <c r="GE62" s="63"/>
      <c r="GF62" s="63"/>
      <c r="GG62" s="63"/>
      <c r="GH62" s="63"/>
      <c r="GI62" s="63"/>
      <c r="GJ62" s="63"/>
      <c r="GK62" s="63"/>
      <c r="GL62" s="63"/>
      <c r="GM62" s="63"/>
      <c r="GN62" s="63"/>
      <c r="GO62" s="63"/>
      <c r="GP62" s="63"/>
      <c r="GQ62" s="63"/>
      <c r="GR62" s="63"/>
      <c r="GS62" s="63"/>
      <c r="GT62" s="63"/>
      <c r="GU62" s="63" t="n">
        <v>779.6</v>
      </c>
      <c r="GV62" s="63" t="n">
        <v>582.4</v>
      </c>
      <c r="GW62" s="63" t="n">
        <v>216.6</v>
      </c>
      <c r="GX62" s="63" t="n">
        <v>497.6</v>
      </c>
      <c r="GY62" s="63" t="n">
        <v>401.5</v>
      </c>
      <c r="GZ62" s="63" t="n">
        <v>207.5</v>
      </c>
      <c r="HA62" s="63" t="n">
        <v>5.5</v>
      </c>
      <c r="HB62" s="63" t="n">
        <v>1.8</v>
      </c>
      <c r="HC62" t="n">
        <v>1</v>
      </c>
      <c r="HD62" t="n">
        <v>0.5</v>
      </c>
      <c r="HE62" t="n">
        <v>0.3</v>
      </c>
    </row>
    <row r="63">
      <c r="A63" s="63" t="s">
        <v>2497</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c r="FG63" s="63"/>
      <c r="FH63" s="63"/>
      <c r="FI63" s="63"/>
      <c r="FJ63" s="63"/>
      <c r="FK63" s="63"/>
      <c r="FL63" s="63"/>
      <c r="FM63" s="63"/>
      <c r="FN63" s="63"/>
      <c r="FO63" s="63"/>
      <c r="FP63" s="63"/>
      <c r="FQ63" s="63"/>
      <c r="FR63" s="63"/>
      <c r="FS63" s="63"/>
      <c r="FT63" s="63"/>
      <c r="FU63" s="63"/>
      <c r="FV63" s="63"/>
      <c r="FW63" s="63"/>
      <c r="FX63" s="63"/>
      <c r="FY63" s="63"/>
      <c r="FZ63" s="63"/>
      <c r="GA63" s="63"/>
      <c r="GB63" s="63"/>
      <c r="GC63" s="63"/>
      <c r="GD63" s="63"/>
      <c r="GE63" s="63"/>
      <c r="GF63" s="63"/>
      <c r="GG63" s="63"/>
      <c r="GH63" s="63"/>
      <c r="GI63" s="63"/>
      <c r="GJ63" s="63"/>
      <c r="GK63" s="63"/>
      <c r="GL63" s="63"/>
      <c r="GM63" s="63"/>
      <c r="GN63" s="63"/>
      <c r="GO63" s="63"/>
      <c r="GP63" s="63"/>
      <c r="GQ63" s="63"/>
      <c r="GR63" s="63"/>
      <c r="GS63" s="63"/>
      <c r="GT63" s="63"/>
      <c r="GU63" s="63" t="n">
        <v>0.1</v>
      </c>
      <c r="GV63" s="63" t="n">
        <v>3.7</v>
      </c>
      <c r="GW63" s="63" t="n">
        <v>12.9</v>
      </c>
      <c r="GX63" s="63" t="n">
        <v>25.5</v>
      </c>
      <c r="GY63" s="63" t="n">
        <v>3.8</v>
      </c>
      <c r="GZ63" s="63" t="n">
        <v>1.8</v>
      </c>
      <c r="HA63" s="63" t="n">
        <v>0.6</v>
      </c>
      <c r="HB63" s="63" t="n">
        <v>0.2</v>
      </c>
      <c r="HC63" t="n">
        <v>0.1</v>
      </c>
      <c r="HD63" t="n">
        <v>0</v>
      </c>
      <c r="HE63" t="n">
        <v>0</v>
      </c>
    </row>
    <row r="64">
      <c r="A64" s="63" t="s">
        <v>2498</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c r="FG64" s="63"/>
      <c r="FH64" s="63"/>
      <c r="FI64" s="63"/>
      <c r="FJ64" s="63"/>
      <c r="FK64" s="63"/>
      <c r="FL64" s="63"/>
      <c r="FM64" s="63"/>
      <c r="FN64" s="63"/>
      <c r="FO64" s="63"/>
      <c r="FP64" s="63"/>
      <c r="FQ64" s="63"/>
      <c r="FR64" s="63"/>
      <c r="FS64" s="63"/>
      <c r="FT64" s="63"/>
      <c r="FU64" s="63"/>
      <c r="FV64" s="63"/>
      <c r="FW64" s="63"/>
      <c r="FX64" s="63"/>
      <c r="FY64" s="63"/>
      <c r="FZ64" s="63"/>
      <c r="GA64" s="63"/>
      <c r="GB64" s="63"/>
      <c r="GC64" s="63"/>
      <c r="GD64" s="63"/>
      <c r="GE64" s="63"/>
      <c r="GF64" s="63"/>
      <c r="GG64" s="63"/>
      <c r="GH64" s="63"/>
      <c r="GI64" s="63"/>
      <c r="GJ64" s="63"/>
      <c r="GK64" s="63"/>
      <c r="GL64" s="63"/>
      <c r="GM64" s="63"/>
      <c r="GN64" s="63"/>
      <c r="GO64" s="63"/>
      <c r="GP64" s="63"/>
      <c r="GQ64" s="63"/>
      <c r="GR64" s="63"/>
      <c r="GS64" s="63"/>
      <c r="GT64" s="63"/>
      <c r="GU64" s="63"/>
      <c r="GV64" s="63" t="n">
        <v>106.2</v>
      </c>
      <c r="GW64" s="63" t="n">
        <v>35.9</v>
      </c>
      <c r="GX64" s="63" t="n">
        <v>1.6</v>
      </c>
      <c r="GY64" s="63" t="n">
        <v>0.6</v>
      </c>
      <c r="GZ64" s="63" t="n">
        <v>0.1</v>
      </c>
      <c r="HA64" s="63" t="n">
        <v>0</v>
      </c>
      <c r="HB64" s="63" t="n">
        <v>0</v>
      </c>
      <c r="HC64" t="n">
        <v>0</v>
      </c>
      <c r="HD64" t="n">
        <v>0</v>
      </c>
      <c r="HE64" t="n">
        <v>0</v>
      </c>
    </row>
    <row r="65">
      <c r="A65" s="63" t="s">
        <v>2499</v>
      </c>
      <c r="B65" s="63" t="n">
        <v>5.7</v>
      </c>
      <c r="C65" s="63" t="n">
        <v>5.4</v>
      </c>
      <c r="D65" s="63" t="n">
        <v>4.9</v>
      </c>
      <c r="E65" s="63" t="n">
        <v>5.1</v>
      </c>
      <c r="F65" s="63" t="n">
        <v>5.6</v>
      </c>
      <c r="G65" s="63" t="n">
        <v>6.4</v>
      </c>
      <c r="H65" s="63" t="n">
        <v>5.9</v>
      </c>
      <c r="I65" s="63" t="n">
        <v>5.8</v>
      </c>
      <c r="J65" s="63" t="n">
        <v>5.9</v>
      </c>
      <c r="K65" s="63" t="n">
        <v>5.5</v>
      </c>
      <c r="L65" s="63" t="n">
        <v>7</v>
      </c>
      <c r="M65" s="63" t="n">
        <v>5.9</v>
      </c>
      <c r="N65" s="63" t="n">
        <v>5.9</v>
      </c>
      <c r="O65" s="63" t="n">
        <v>6.4</v>
      </c>
      <c r="P65" s="63" t="n">
        <v>5.5</v>
      </c>
      <c r="Q65" s="63" t="n">
        <v>6.1</v>
      </c>
      <c r="R65" s="63" t="n">
        <v>8</v>
      </c>
      <c r="S65" s="63" t="n">
        <v>8.8</v>
      </c>
      <c r="T65" s="63" t="n">
        <v>6.7</v>
      </c>
      <c r="U65" s="63" t="n">
        <v>8.1</v>
      </c>
      <c r="V65" s="63" t="n">
        <v>9</v>
      </c>
      <c r="W65" s="63" t="n">
        <v>8.1</v>
      </c>
      <c r="X65" s="63" t="n">
        <v>11.1</v>
      </c>
      <c r="Y65" s="63" t="n">
        <v>10.7</v>
      </c>
      <c r="Z65" s="63" t="n">
        <v>10.3</v>
      </c>
      <c r="AA65" s="63" t="n">
        <v>10</v>
      </c>
      <c r="AB65" s="63" t="n">
        <v>10.8</v>
      </c>
      <c r="AC65" s="63" t="n">
        <v>11.3</v>
      </c>
      <c r="AD65" s="63" t="n">
        <v>10.9</v>
      </c>
      <c r="AE65" s="63" t="n">
        <v>10.9</v>
      </c>
      <c r="AF65" s="63" t="n">
        <v>12.1</v>
      </c>
      <c r="AG65" s="63" t="n">
        <v>10.9</v>
      </c>
      <c r="AH65" s="63" t="n">
        <v>11.2</v>
      </c>
      <c r="AI65" s="63" t="n">
        <v>11.8</v>
      </c>
      <c r="AJ65" s="63" t="n">
        <v>12.2</v>
      </c>
      <c r="AK65" s="63" t="n">
        <v>12.8</v>
      </c>
      <c r="AL65" s="63" t="n">
        <v>13.9</v>
      </c>
      <c r="AM65" s="63" t="n">
        <v>13.4</v>
      </c>
      <c r="AN65" s="63" t="n">
        <v>14.7</v>
      </c>
      <c r="AO65" s="63" t="n">
        <v>16.1</v>
      </c>
      <c r="AP65" s="63" t="n">
        <v>16.7</v>
      </c>
      <c r="AQ65" s="63" t="n">
        <v>16.9</v>
      </c>
      <c r="AR65" s="63" t="n">
        <v>16.3</v>
      </c>
      <c r="AS65" s="63" t="n">
        <v>17.1</v>
      </c>
      <c r="AT65" s="63" t="n">
        <v>16.4</v>
      </c>
      <c r="AU65" s="63" t="n">
        <v>16</v>
      </c>
      <c r="AV65" s="63" t="n">
        <v>15.1</v>
      </c>
      <c r="AW65" s="63" t="n">
        <v>15.4</v>
      </c>
      <c r="AX65" s="63" t="n">
        <v>14.2</v>
      </c>
      <c r="AY65" s="63" t="n">
        <v>14.9</v>
      </c>
      <c r="AZ65" s="63" t="n">
        <v>14.8</v>
      </c>
      <c r="BA65" s="63" t="n">
        <v>14.7</v>
      </c>
      <c r="BB65" s="63" t="n">
        <v>16.1</v>
      </c>
      <c r="BC65" s="63" t="n">
        <v>14.3</v>
      </c>
      <c r="BD65" s="63" t="n">
        <v>16</v>
      </c>
      <c r="BE65" s="63" t="n">
        <v>15.9</v>
      </c>
      <c r="BF65" s="63" t="n">
        <v>16.7</v>
      </c>
      <c r="BG65" s="63" t="n">
        <v>17.3</v>
      </c>
      <c r="BH65" s="63" t="n">
        <v>18.2</v>
      </c>
      <c r="BI65" s="63" t="n">
        <v>18.9</v>
      </c>
      <c r="BJ65" s="63" t="n">
        <v>17.2</v>
      </c>
      <c r="BK65" s="63" t="n">
        <v>19.6</v>
      </c>
      <c r="BL65" s="63" t="n">
        <v>20.2</v>
      </c>
      <c r="BM65" s="63" t="n">
        <v>21.3</v>
      </c>
      <c r="BN65" s="63" t="n">
        <v>19.8</v>
      </c>
      <c r="BO65" s="63" t="n">
        <v>20.7</v>
      </c>
      <c r="BP65" s="63" t="n">
        <v>21.4</v>
      </c>
      <c r="BQ65" s="63" t="n">
        <v>18.4</v>
      </c>
      <c r="BR65" s="63" t="n">
        <v>18.9</v>
      </c>
      <c r="BS65" s="63" t="n">
        <v>19.7</v>
      </c>
      <c r="BT65" s="63" t="n">
        <v>19</v>
      </c>
      <c r="BU65" s="63" t="n">
        <v>18.8</v>
      </c>
      <c r="BV65" s="63" t="n">
        <v>19.1</v>
      </c>
      <c r="BW65" s="63" t="n">
        <v>20</v>
      </c>
      <c r="BX65" s="63" t="n">
        <v>20.5</v>
      </c>
      <c r="BY65" s="63" t="n">
        <v>19.4</v>
      </c>
      <c r="BZ65" s="63" t="n">
        <v>20.3</v>
      </c>
      <c r="CA65" s="63" t="n">
        <v>20.1</v>
      </c>
      <c r="CB65" s="63" t="n">
        <v>19</v>
      </c>
      <c r="CC65" s="63" t="n">
        <v>21.5</v>
      </c>
      <c r="CD65" s="63" t="n">
        <v>22.3</v>
      </c>
      <c r="CE65" s="63" t="n">
        <v>20.3</v>
      </c>
      <c r="CF65" s="63" t="n">
        <v>20.7</v>
      </c>
      <c r="CG65" s="63" t="n">
        <v>49.5</v>
      </c>
      <c r="CH65" s="63" t="n">
        <v>26</v>
      </c>
      <c r="CI65" s="63" t="n">
        <v>22.2</v>
      </c>
      <c r="CJ65" s="63" t="n">
        <v>37.1</v>
      </c>
      <c r="CK65" s="63" t="n">
        <v>20.8</v>
      </c>
      <c r="CL65" s="63" t="n">
        <v>21.6</v>
      </c>
      <c r="CM65" s="63" t="n">
        <v>23.2</v>
      </c>
      <c r="CN65" s="63" t="n">
        <v>22.5</v>
      </c>
      <c r="CO65" s="63" t="n">
        <v>23.2</v>
      </c>
      <c r="CP65" s="63" t="n">
        <v>24.4</v>
      </c>
      <c r="CQ65" s="63" t="n">
        <v>22.6</v>
      </c>
      <c r="CR65" s="63" t="n">
        <v>25.3</v>
      </c>
      <c r="CS65" s="63" t="n">
        <v>24.9</v>
      </c>
      <c r="CT65" s="63" t="n">
        <v>23.8</v>
      </c>
      <c r="CU65" s="63" t="n">
        <v>27.5</v>
      </c>
      <c r="CV65" s="63" t="n">
        <v>26.2</v>
      </c>
      <c r="CW65" s="63" t="n">
        <v>26.7</v>
      </c>
      <c r="CX65" s="63" t="n">
        <v>27.9</v>
      </c>
      <c r="CY65" s="63" t="n">
        <v>28.2</v>
      </c>
      <c r="CZ65" s="63" t="n">
        <v>28.4</v>
      </c>
      <c r="DA65" s="63" t="n">
        <v>27</v>
      </c>
      <c r="DB65" s="63" t="n">
        <v>29.3</v>
      </c>
      <c r="DC65" s="63" t="n">
        <v>28.1</v>
      </c>
      <c r="DD65" s="63" t="n">
        <v>27.3</v>
      </c>
      <c r="DE65" s="63" t="n">
        <v>28.9</v>
      </c>
      <c r="DF65" s="63" t="n">
        <v>28.6</v>
      </c>
      <c r="DG65" s="63" t="n">
        <v>29.5</v>
      </c>
      <c r="DH65" s="63" t="n">
        <v>29.7</v>
      </c>
      <c r="DI65" s="63" t="n">
        <v>29</v>
      </c>
      <c r="DJ65" s="63" t="n">
        <v>27.3</v>
      </c>
      <c r="DK65" s="63" t="n">
        <v>27.5</v>
      </c>
      <c r="DL65" s="63" t="n">
        <v>29.4</v>
      </c>
      <c r="DM65" s="63" t="n">
        <v>31.5</v>
      </c>
      <c r="DN65" s="63" t="n">
        <v>29.2</v>
      </c>
      <c r="DO65" s="63" t="n">
        <v>33.9</v>
      </c>
      <c r="DP65" s="63" t="n">
        <v>35.9</v>
      </c>
      <c r="DQ65" s="63" t="n">
        <v>56.3</v>
      </c>
      <c r="DR65" s="63" t="n">
        <v>38</v>
      </c>
      <c r="DS65" s="63" t="n">
        <v>37.9</v>
      </c>
      <c r="DT65" s="63" t="n">
        <v>39.4</v>
      </c>
      <c r="DU65" s="63" t="n">
        <v>49.6</v>
      </c>
      <c r="DV65" s="63" t="n">
        <v>40.9</v>
      </c>
      <c r="DW65" s="63" t="n">
        <v>43.8</v>
      </c>
      <c r="DX65" s="63" t="n">
        <v>44.3</v>
      </c>
      <c r="DY65" s="63" t="n">
        <v>45.3</v>
      </c>
      <c r="DZ65" s="63" t="n">
        <v>59.6</v>
      </c>
      <c r="EA65" s="63" t="n">
        <v>47.2</v>
      </c>
      <c r="EB65" s="63" t="n">
        <v>43.2</v>
      </c>
      <c r="EC65" s="63" t="n">
        <v>63.5</v>
      </c>
      <c r="ED65" s="63" t="n">
        <v>65.7</v>
      </c>
      <c r="EE65" s="63" t="n">
        <v>75.5</v>
      </c>
      <c r="EF65" s="63" t="n">
        <v>71.5</v>
      </c>
      <c r="EG65" s="63" t="n">
        <v>66.4</v>
      </c>
      <c r="EH65" s="63" t="n">
        <v>75.3</v>
      </c>
      <c r="EI65" s="63" t="n">
        <v>65.2</v>
      </c>
      <c r="EJ65" s="63" t="n">
        <v>74.7</v>
      </c>
      <c r="EK65" s="63" t="n">
        <v>70.2</v>
      </c>
      <c r="EL65" s="63" t="n">
        <v>90.6</v>
      </c>
      <c r="EM65" s="63" t="n">
        <v>75</v>
      </c>
      <c r="EN65" s="63" t="n">
        <v>141.5</v>
      </c>
      <c r="EO65" s="63" t="n">
        <v>82.9</v>
      </c>
      <c r="EP65" s="63" t="n">
        <v>80.5</v>
      </c>
      <c r="EQ65" s="63" t="n">
        <v>77.5</v>
      </c>
      <c r="ER65" s="63" t="n">
        <v>74.8</v>
      </c>
      <c r="ES65" s="63" t="n">
        <v>73.9</v>
      </c>
      <c r="ET65" s="63" t="n">
        <v>90.3</v>
      </c>
      <c r="EU65" s="63" t="n">
        <v>86.5</v>
      </c>
      <c r="EV65" s="63" t="n">
        <v>86.3</v>
      </c>
      <c r="EW65" s="63" t="n">
        <v>80.4</v>
      </c>
      <c r="EX65" s="63" t="n">
        <v>87</v>
      </c>
      <c r="EY65" s="63" t="n">
        <v>81.4</v>
      </c>
      <c r="EZ65" s="63" t="n">
        <v>91.2</v>
      </c>
      <c r="FA65" s="63" t="n">
        <v>348.6</v>
      </c>
      <c r="FB65" s="63" t="n">
        <v>301.2</v>
      </c>
      <c r="FC65" s="63" t="n">
        <v>226</v>
      </c>
      <c r="FD65" s="63" t="n">
        <v>144.9</v>
      </c>
      <c r="FE65" s="63" t="n">
        <v>178.4</v>
      </c>
      <c r="FF65" s="63" t="n">
        <v>164.3</v>
      </c>
      <c r="FG65" s="63" t="n">
        <v>195.8</v>
      </c>
      <c r="FH65" s="63" t="n">
        <v>122.5</v>
      </c>
      <c r="FI65" s="63" t="n">
        <v>110</v>
      </c>
      <c r="FJ65" s="63" t="n">
        <v>110.2</v>
      </c>
      <c r="FK65" s="63" t="n">
        <v>142.2</v>
      </c>
      <c r="FL65" s="63" t="n">
        <v>122.8</v>
      </c>
      <c r="FM65" s="63" t="n">
        <v>149.7</v>
      </c>
      <c r="FN65" s="63" t="n">
        <v>110.8</v>
      </c>
      <c r="FO65" s="63" t="n">
        <v>93</v>
      </c>
      <c r="FP65" s="63" t="n">
        <v>90.7</v>
      </c>
      <c r="FQ65" s="63" t="n">
        <v>125.3</v>
      </c>
      <c r="FR65" s="63" t="n">
        <v>91.2</v>
      </c>
      <c r="FS65" s="63" t="n">
        <v>84.4</v>
      </c>
      <c r="FT65" s="63" t="n">
        <v>85.3</v>
      </c>
      <c r="FU65" s="63" t="n">
        <v>79.7</v>
      </c>
      <c r="FV65" s="63" t="n">
        <v>86.8</v>
      </c>
      <c r="FW65" s="63" t="n">
        <v>84.1</v>
      </c>
      <c r="FX65" s="63" t="n">
        <v>83</v>
      </c>
      <c r="FY65" s="63" t="n">
        <v>80.8</v>
      </c>
      <c r="FZ65" s="63" t="n">
        <v>83.2</v>
      </c>
      <c r="GA65" s="63" t="n">
        <v>77.1</v>
      </c>
      <c r="GB65" s="63" t="n">
        <v>83.9</v>
      </c>
      <c r="GC65" s="63" t="n">
        <v>76.4</v>
      </c>
      <c r="GD65" s="63" t="n">
        <v>80.9</v>
      </c>
      <c r="GE65" s="63" t="n">
        <v>77.2</v>
      </c>
      <c r="GF65" s="63" t="n">
        <v>79.6</v>
      </c>
      <c r="GG65" s="63" t="n">
        <v>84.5</v>
      </c>
      <c r="GH65" s="63" t="n">
        <v>84.3</v>
      </c>
      <c r="GI65" s="63" t="n">
        <v>85.5</v>
      </c>
      <c r="GJ65" s="63" t="n">
        <v>116.5</v>
      </c>
      <c r="GK65" s="63" t="n">
        <v>81</v>
      </c>
      <c r="GL65" s="63" t="n">
        <v>79</v>
      </c>
      <c r="GM65" s="63" t="n">
        <v>86.3</v>
      </c>
      <c r="GN65" s="63" t="n">
        <v>85.1</v>
      </c>
      <c r="GO65" s="63" t="n">
        <v>82.9</v>
      </c>
      <c r="GP65" s="63" t="n">
        <v>85.9</v>
      </c>
      <c r="GQ65" s="63" t="n">
        <v>78.8</v>
      </c>
      <c r="GR65" s="63" t="n">
        <v>82.2</v>
      </c>
      <c r="GS65" s="63" t="n">
        <v>133.9</v>
      </c>
      <c r="GT65" s="63" t="n">
        <v>95.4</v>
      </c>
      <c r="GU65" s="63" t="n">
        <v>92.8</v>
      </c>
      <c r="GV65" s="63" t="n">
        <v>92.2</v>
      </c>
      <c r="GW65" s="63" t="n">
        <v>89.3</v>
      </c>
      <c r="GX65" s="63" t="n">
        <v>319.3</v>
      </c>
      <c r="GY65" s="63" t="n">
        <v>87.2</v>
      </c>
      <c r="GZ65" s="63" t="n">
        <v>98.4</v>
      </c>
      <c r="HA65" s="63" t="n">
        <v>89.1</v>
      </c>
      <c r="HB65" s="63" t="n">
        <v>89.1</v>
      </c>
      <c r="HC65" t="n">
        <v>460.7</v>
      </c>
      <c r="HD65" t="n">
        <v>206.4</v>
      </c>
      <c r="HE65" t="n">
        <v>108.8</v>
      </c>
    </row>
    <row r="66">
      <c r="A66" s="63" t="s">
        <v>2500</v>
      </c>
      <c r="B66" s="63" t="n">
        <v>0.584</v>
      </c>
      <c r="C66" s="63" t="n">
        <v>0.98</v>
      </c>
      <c r="D66" s="63" t="n">
        <v>1.256</v>
      </c>
      <c r="E66" s="63" t="n">
        <v>1.592</v>
      </c>
      <c r="F66" s="63" t="n">
        <v>1.62</v>
      </c>
      <c r="G66" s="63" t="n">
        <v>1.6</v>
      </c>
      <c r="H66" s="63" t="n">
        <v>1.7</v>
      </c>
      <c r="I66" s="63" t="n">
        <v>1.872</v>
      </c>
      <c r="J66" s="63" t="n">
        <v>1.832</v>
      </c>
      <c r="K66" s="63" t="n">
        <v>1.824</v>
      </c>
      <c r="L66" s="63" t="n">
        <v>2.108</v>
      </c>
      <c r="M66" s="63" t="n">
        <v>2.156</v>
      </c>
      <c r="N66" s="63" t="n">
        <v>2.156</v>
      </c>
      <c r="O66" s="63" t="n">
        <v>2.144</v>
      </c>
      <c r="P66" s="63" t="n">
        <v>2.248</v>
      </c>
      <c r="Q66" s="63" t="n">
        <v>2.288</v>
      </c>
      <c r="R66" s="63" t="n">
        <v>3.064</v>
      </c>
      <c r="S66" s="63" t="n">
        <v>3.16</v>
      </c>
      <c r="T66" s="63" t="n">
        <v>3.62</v>
      </c>
      <c r="U66" s="63" t="n">
        <v>3.888</v>
      </c>
      <c r="V66" s="63" t="n">
        <v>4.364</v>
      </c>
      <c r="W66" s="63" t="n">
        <v>4.512</v>
      </c>
      <c r="X66" s="63" t="n">
        <v>4.832</v>
      </c>
      <c r="Y66" s="63" t="n">
        <v>4.68</v>
      </c>
      <c r="Z66" s="63" t="n">
        <v>4.768</v>
      </c>
      <c r="AA66" s="63" t="n">
        <v>4.676</v>
      </c>
      <c r="AB66" s="63" t="n">
        <v>4.416</v>
      </c>
      <c r="AC66" s="63" t="n">
        <v>4.532</v>
      </c>
      <c r="AD66" s="63" t="n">
        <v>4.496</v>
      </c>
      <c r="AE66" s="63" t="n">
        <v>4.316</v>
      </c>
      <c r="AF66" s="63" t="n">
        <v>4.38</v>
      </c>
      <c r="AG66" s="63" t="n">
        <v>4.384</v>
      </c>
      <c r="AH66" s="63" t="n">
        <v>4.584</v>
      </c>
      <c r="AI66" s="63" t="n">
        <v>4.488</v>
      </c>
      <c r="AJ66" s="63" t="n">
        <v>4.672</v>
      </c>
      <c r="AK66" s="63" t="n">
        <v>4.596</v>
      </c>
      <c r="AL66" s="63" t="n">
        <v>5.424</v>
      </c>
      <c r="AM66" s="63" t="n">
        <v>5.78</v>
      </c>
      <c r="AN66" s="63" t="n">
        <v>6.88</v>
      </c>
      <c r="AO66" s="63" t="n">
        <v>7.244</v>
      </c>
      <c r="AP66" s="63" t="n">
        <v>7.764</v>
      </c>
      <c r="AQ66" s="63" t="n">
        <v>8.14</v>
      </c>
      <c r="AR66" s="63" t="n">
        <v>8.44</v>
      </c>
      <c r="AS66" s="63" t="n">
        <v>8.512</v>
      </c>
      <c r="AT66" s="63" t="n">
        <v>10.144</v>
      </c>
      <c r="AU66" s="63" t="n">
        <v>10.272</v>
      </c>
      <c r="AV66" s="63" t="n">
        <v>10.16</v>
      </c>
      <c r="AW66" s="63" t="n">
        <v>9.684</v>
      </c>
      <c r="AX66" s="63" t="n">
        <v>9.296</v>
      </c>
      <c r="AY66" s="63" t="n">
        <v>9.432</v>
      </c>
      <c r="AZ66" s="63" t="n">
        <v>9.676</v>
      </c>
      <c r="BA66" s="63" t="n">
        <v>11.18</v>
      </c>
      <c r="BB66" s="63" t="n">
        <v>11.288</v>
      </c>
      <c r="BC66" s="63" t="n">
        <v>11.124</v>
      </c>
      <c r="BD66" s="63" t="n">
        <v>10.964</v>
      </c>
      <c r="BE66" s="63" t="n">
        <v>10.888</v>
      </c>
      <c r="BF66" s="63" t="n">
        <v>10.8</v>
      </c>
      <c r="BG66" s="63" t="n">
        <v>10.624</v>
      </c>
      <c r="BH66" s="63" t="n">
        <v>10.432</v>
      </c>
      <c r="BI66" s="63" t="n">
        <v>10.82</v>
      </c>
      <c r="BJ66" s="63" t="n">
        <v>10.784</v>
      </c>
      <c r="BK66" s="63" t="n">
        <v>10.72</v>
      </c>
      <c r="BL66" s="63" t="n">
        <v>10.612</v>
      </c>
      <c r="BM66" s="63" t="n">
        <v>10.644</v>
      </c>
      <c r="BN66" s="63" t="n">
        <v>10.488</v>
      </c>
      <c r="BO66" s="63" t="n">
        <v>10.564</v>
      </c>
      <c r="BP66" s="63" t="n">
        <v>10.576</v>
      </c>
      <c r="BQ66" s="63" t="n">
        <v>10.584</v>
      </c>
      <c r="BR66" s="63" t="n">
        <v>10.54</v>
      </c>
      <c r="BS66" s="63" t="n">
        <v>10.488</v>
      </c>
      <c r="BT66" s="63" t="n">
        <v>10.312</v>
      </c>
      <c r="BU66" s="63" t="n">
        <v>11.088</v>
      </c>
      <c r="BV66" s="63" t="n">
        <v>11.176</v>
      </c>
      <c r="BW66" s="63" t="n">
        <v>11.132</v>
      </c>
      <c r="BX66" s="63" t="n">
        <v>11.052</v>
      </c>
      <c r="BY66" s="63" t="n">
        <v>11.492</v>
      </c>
      <c r="BZ66" s="63" t="n">
        <v>11.656</v>
      </c>
      <c r="CA66" s="63" t="n">
        <v>11.712</v>
      </c>
      <c r="CB66" s="63" t="n">
        <v>11.784</v>
      </c>
      <c r="CC66" s="63" t="n">
        <v>14.148</v>
      </c>
      <c r="CD66" s="63" t="n">
        <v>13.984</v>
      </c>
      <c r="CE66" s="63" t="n">
        <v>14.216</v>
      </c>
      <c r="CF66" s="63" t="n">
        <v>14.404</v>
      </c>
      <c r="CG66" s="63" t="n">
        <v>16.36</v>
      </c>
      <c r="CH66" s="63" t="n">
        <v>16.996</v>
      </c>
      <c r="CI66" s="63" t="n">
        <v>17.636</v>
      </c>
      <c r="CJ66" s="63" t="n">
        <v>18.092</v>
      </c>
      <c r="CK66" s="63" t="n">
        <v>20.332</v>
      </c>
      <c r="CL66" s="63" t="n">
        <v>20.596</v>
      </c>
      <c r="CM66" s="63" t="n">
        <v>20.932</v>
      </c>
      <c r="CN66" s="63" t="n">
        <v>21.792</v>
      </c>
      <c r="CO66" s="63" t="n">
        <v>21.86</v>
      </c>
      <c r="CP66" s="63" t="n">
        <v>21.82</v>
      </c>
      <c r="CQ66" s="63" t="n">
        <v>22.14</v>
      </c>
      <c r="CR66" s="63" t="n">
        <v>22.204</v>
      </c>
      <c r="CS66" s="63" t="n">
        <v>22.68</v>
      </c>
      <c r="CT66" s="63" t="n">
        <v>23.06</v>
      </c>
      <c r="CU66" s="63" t="n">
        <v>22.58</v>
      </c>
      <c r="CV66" s="63" t="n">
        <v>22.504</v>
      </c>
      <c r="CW66" s="63" t="n">
        <v>23.224</v>
      </c>
      <c r="CX66" s="63" t="n">
        <v>22.716</v>
      </c>
      <c r="CY66" s="63" t="n">
        <v>22.384</v>
      </c>
      <c r="CZ66" s="63" t="n">
        <v>22.052</v>
      </c>
      <c r="DA66" s="63" t="n">
        <v>22.636</v>
      </c>
      <c r="DB66" s="63" t="n">
        <v>22.564</v>
      </c>
      <c r="DC66" s="63" t="n">
        <v>22.236</v>
      </c>
      <c r="DD66" s="63" t="n">
        <v>21.852</v>
      </c>
      <c r="DE66" s="63" t="n">
        <v>21.16</v>
      </c>
      <c r="DF66" s="63" t="n">
        <v>20.04</v>
      </c>
      <c r="DG66" s="63" t="n">
        <v>19.076</v>
      </c>
      <c r="DH66" s="63" t="n">
        <v>18.144</v>
      </c>
      <c r="DI66" s="63" t="n">
        <v>17.668</v>
      </c>
      <c r="DJ66" s="63" t="n">
        <v>17.124</v>
      </c>
      <c r="DK66" s="63" t="n">
        <v>16.58</v>
      </c>
      <c r="DL66" s="63" t="n">
        <v>15.976</v>
      </c>
      <c r="DM66" s="63" t="n">
        <v>16.18</v>
      </c>
      <c r="DN66" s="63" t="n">
        <v>15.788</v>
      </c>
      <c r="DO66" s="63" t="n">
        <v>15.464</v>
      </c>
      <c r="DP66" s="63" t="n">
        <v>15.284</v>
      </c>
      <c r="DQ66" s="63" t="n">
        <v>15.356</v>
      </c>
      <c r="DR66" s="63" t="n">
        <v>13.616</v>
      </c>
      <c r="DS66" s="63" t="n">
        <v>14.896</v>
      </c>
      <c r="DT66" s="63" t="n">
        <v>14.84</v>
      </c>
      <c r="DU66" s="63" t="n">
        <v>14.908</v>
      </c>
      <c r="DV66" s="63" t="n">
        <v>15.1</v>
      </c>
      <c r="DW66" s="63" t="n">
        <v>15.536</v>
      </c>
      <c r="DX66" s="63" t="n">
        <v>15.996</v>
      </c>
      <c r="DY66" s="63" t="n">
        <v>17.236</v>
      </c>
      <c r="DZ66" s="63" t="n">
        <v>17.898</v>
      </c>
      <c r="EA66" s="63" t="n">
        <v>18.222</v>
      </c>
      <c r="EB66" s="63" t="n">
        <v>18.485</v>
      </c>
      <c r="EC66" s="63" t="n">
        <v>19.842</v>
      </c>
      <c r="ED66" s="63" t="n">
        <v>20.652</v>
      </c>
      <c r="EE66" s="63" t="n">
        <v>21.759</v>
      </c>
      <c r="EF66" s="63" t="n">
        <v>22.788</v>
      </c>
      <c r="EG66" s="63" t="n">
        <v>23.299</v>
      </c>
      <c r="EH66" s="63" t="n">
        <v>24.086</v>
      </c>
      <c r="EI66" s="63" t="n">
        <v>24.969</v>
      </c>
      <c r="EJ66" s="63" t="n">
        <v>25.888</v>
      </c>
      <c r="EK66" s="63" t="n">
        <v>28.839</v>
      </c>
      <c r="EL66" s="63" t="n">
        <v>27.844</v>
      </c>
      <c r="EM66" s="63" t="n">
        <v>28.237</v>
      </c>
      <c r="EN66" s="63" t="n">
        <v>29.613</v>
      </c>
      <c r="EO66" s="63" t="n">
        <v>32.274</v>
      </c>
      <c r="EP66" s="63" t="n">
        <v>29.235</v>
      </c>
      <c r="EQ66" s="63" t="n">
        <v>29.264</v>
      </c>
      <c r="ER66" s="63" t="n">
        <v>29.344</v>
      </c>
      <c r="ES66" s="63" t="n">
        <v>29.717</v>
      </c>
      <c r="ET66" s="63" t="n">
        <v>30</v>
      </c>
      <c r="EU66" s="63" t="n">
        <v>30.392</v>
      </c>
      <c r="EV66" s="63" t="n">
        <v>30.74</v>
      </c>
      <c r="EW66" s="63" t="n">
        <v>32.553</v>
      </c>
      <c r="EX66" s="63" t="n">
        <v>33.466</v>
      </c>
      <c r="EY66" s="63" t="n">
        <v>34.607</v>
      </c>
      <c r="EZ66" s="63" t="n">
        <v>37.1</v>
      </c>
      <c r="FA66" s="63" t="n">
        <v>42.964</v>
      </c>
      <c r="FB66" s="63" t="n">
        <v>44.63</v>
      </c>
      <c r="FC66" s="63" t="n">
        <v>55.541</v>
      </c>
      <c r="FD66" s="63" t="n">
        <v>58.195</v>
      </c>
      <c r="FE66" s="63" t="n">
        <v>60.683</v>
      </c>
      <c r="FF66" s="63" t="n">
        <v>63.749</v>
      </c>
      <c r="FG66" s="63" t="n">
        <v>65.743</v>
      </c>
      <c r="FH66" s="63" t="n">
        <v>67.74</v>
      </c>
      <c r="FI66" s="63" t="n">
        <v>68.828</v>
      </c>
      <c r="FJ66" s="63" t="n">
        <v>71.063</v>
      </c>
      <c r="FK66" s="63" t="n">
        <v>72.829</v>
      </c>
      <c r="FL66" s="63" t="n">
        <v>73.527</v>
      </c>
      <c r="FM66" s="63" t="n">
        <v>73.492</v>
      </c>
      <c r="FN66" s="63" t="n">
        <v>74.054</v>
      </c>
      <c r="FO66" s="63" t="n">
        <v>74.348</v>
      </c>
      <c r="FP66" s="63" t="n">
        <v>75.343</v>
      </c>
      <c r="FQ66" s="63" t="n">
        <v>75.66</v>
      </c>
      <c r="FR66" s="63" t="n">
        <v>75.96</v>
      </c>
      <c r="FS66" s="63" t="n">
        <v>76.039</v>
      </c>
      <c r="FT66" s="63" t="n">
        <v>75.214</v>
      </c>
      <c r="FU66" s="63" t="n">
        <v>71.414</v>
      </c>
      <c r="FV66" s="63" t="n">
        <v>69.318</v>
      </c>
      <c r="FW66" s="63" t="n">
        <v>69.354</v>
      </c>
      <c r="FX66" s="63" t="n">
        <v>68.645</v>
      </c>
      <c r="FY66" s="63" t="n">
        <v>70.317</v>
      </c>
      <c r="FZ66" s="63" t="n">
        <v>69.767</v>
      </c>
      <c r="GA66" s="63" t="n">
        <v>69.164</v>
      </c>
      <c r="GB66" s="63" t="n">
        <v>68.382</v>
      </c>
      <c r="GC66" s="63" t="n">
        <v>67.638</v>
      </c>
      <c r="GD66" s="63" t="n">
        <v>67.294</v>
      </c>
      <c r="GE66" s="63" t="n">
        <v>65.413</v>
      </c>
      <c r="GF66" s="63" t="n">
        <v>64.803</v>
      </c>
      <c r="GG66" s="63" t="n">
        <v>64.499</v>
      </c>
      <c r="GH66" s="63" t="n">
        <v>63.667</v>
      </c>
      <c r="GI66" s="63" t="n">
        <v>62.198</v>
      </c>
      <c r="GJ66" s="63" t="n">
        <v>63.705</v>
      </c>
      <c r="GK66" s="63" t="n">
        <v>67.449</v>
      </c>
      <c r="GL66" s="63" t="n">
        <v>59.862</v>
      </c>
      <c r="GM66" s="63" t="n">
        <v>58.299</v>
      </c>
      <c r="GN66" s="63" t="n">
        <v>57.254</v>
      </c>
      <c r="GO66" s="63" t="n">
        <v>57.347</v>
      </c>
      <c r="GP66" s="63" t="n">
        <v>56.009</v>
      </c>
      <c r="GQ66" s="63" t="n">
        <v>54.273</v>
      </c>
      <c r="GR66" s="63" t="n">
        <v>54.104</v>
      </c>
      <c r="GS66" s="63" t="n">
        <v>54.46</v>
      </c>
      <c r="GT66" s="63" t="n">
        <v>59.735</v>
      </c>
      <c r="GU66" s="63" t="n">
        <v>100.118</v>
      </c>
      <c r="GV66" s="63" t="n">
        <v>104.89</v>
      </c>
      <c r="GW66" s="63" t="n">
        <v>114.726</v>
      </c>
      <c r="GX66" s="63" t="n">
        <v>140.754</v>
      </c>
      <c r="GY66" s="63" t="n">
        <v>155.403</v>
      </c>
      <c r="GZ66" s="63" t="n">
        <v>150.172</v>
      </c>
      <c r="HA66" s="63" t="n">
        <v>155.437</v>
      </c>
      <c r="HB66" s="63" t="n">
        <v>135.355</v>
      </c>
      <c r="HC66" t="n">
        <v>118.414</v>
      </c>
      <c r="HD66" t="n">
        <v>111.591</v>
      </c>
      <c r="HE66" t="n">
        <v>126.22</v>
      </c>
    </row>
    <row r="67">
      <c r="A67" s="63" t="s">
        <v>2501</v>
      </c>
      <c r="B67" s="63" t="n">
        <v>38.1</v>
      </c>
      <c r="C67" s="63" t="n">
        <v>38.6333333333333</v>
      </c>
      <c r="D67" s="63" t="n">
        <v>39.0333333333333</v>
      </c>
      <c r="E67" s="63" t="n">
        <v>39.6</v>
      </c>
      <c r="F67" s="63" t="n">
        <v>39.9333333333333</v>
      </c>
      <c r="G67" s="63" t="n">
        <v>40.3</v>
      </c>
      <c r="H67" s="63" t="n">
        <v>40.7</v>
      </c>
      <c r="I67" s="63" t="n">
        <v>41</v>
      </c>
      <c r="J67" s="63" t="n">
        <v>41.3333333333333</v>
      </c>
      <c r="K67" s="63" t="n">
        <v>41.6</v>
      </c>
      <c r="L67" s="63" t="n">
        <v>41.9333333333333</v>
      </c>
      <c r="M67" s="63" t="n">
        <v>42.3666666666667</v>
      </c>
      <c r="N67" s="63" t="n">
        <v>43.0333333333333</v>
      </c>
      <c r="O67" s="63" t="n">
        <v>43.9333333333333</v>
      </c>
      <c r="P67" s="63" t="n">
        <v>44.8</v>
      </c>
      <c r="Q67" s="63" t="n">
        <v>45.9333333333333</v>
      </c>
      <c r="R67" s="63" t="n">
        <v>47.3</v>
      </c>
      <c r="S67" s="63" t="n">
        <v>48.5666666666667</v>
      </c>
      <c r="T67" s="63" t="n">
        <v>49.9333333333333</v>
      </c>
      <c r="U67" s="63" t="n">
        <v>51.4666666666667</v>
      </c>
      <c r="V67" s="63" t="n">
        <v>52.5666666666667</v>
      </c>
      <c r="W67" s="63" t="n">
        <v>53.2</v>
      </c>
      <c r="X67" s="63" t="n">
        <v>54.2666666666667</v>
      </c>
      <c r="Y67" s="63" t="n">
        <v>55.2666666666667</v>
      </c>
      <c r="Z67" s="63" t="n">
        <v>55.9</v>
      </c>
      <c r="AA67" s="63" t="n">
        <v>56.4</v>
      </c>
      <c r="AB67" s="63" t="n">
        <v>57.3</v>
      </c>
      <c r="AC67" s="63" t="n">
        <v>58.1333333333333</v>
      </c>
      <c r="AD67" s="63" t="n">
        <v>59.2</v>
      </c>
      <c r="AE67" s="63" t="n">
        <v>60.2333333333333</v>
      </c>
      <c r="AF67" s="63" t="n">
        <v>61.0666666666667</v>
      </c>
      <c r="AG67" s="63" t="n">
        <v>61.9666666666667</v>
      </c>
      <c r="AH67" s="63" t="n">
        <v>63.0333333333333</v>
      </c>
      <c r="AI67" s="63" t="n">
        <v>64.4666666666667</v>
      </c>
      <c r="AJ67" s="63" t="n">
        <v>65.9666666666667</v>
      </c>
      <c r="AK67" s="63" t="n">
        <v>67.5</v>
      </c>
      <c r="AL67" s="63" t="n">
        <v>69.2</v>
      </c>
      <c r="AM67" s="63" t="n">
        <v>71.4</v>
      </c>
      <c r="AN67" s="63" t="n">
        <v>73.7</v>
      </c>
      <c r="AO67" s="63" t="n">
        <v>76.0333333333333</v>
      </c>
      <c r="AP67" s="63" t="n">
        <v>79.0333333333333</v>
      </c>
      <c r="AQ67" s="63" t="n">
        <v>81.7</v>
      </c>
      <c r="AR67" s="63" t="n">
        <v>83.2333333333333</v>
      </c>
      <c r="AS67" s="63" t="n">
        <v>85.5666666666667</v>
      </c>
      <c r="AT67" s="63" t="n">
        <v>87.9333333333333</v>
      </c>
      <c r="AU67" s="63" t="n">
        <v>89.7666666666667</v>
      </c>
      <c r="AV67" s="63" t="n">
        <v>92.2666666666667</v>
      </c>
      <c r="AW67" s="63" t="n">
        <v>93.7666666666667</v>
      </c>
      <c r="AX67" s="63" t="n">
        <v>94.6</v>
      </c>
      <c r="AY67" s="63" t="n">
        <v>95.9666666666667</v>
      </c>
      <c r="AZ67" s="63" t="n">
        <v>97.6333333333333</v>
      </c>
      <c r="BA67" s="63" t="n">
        <v>97.9333333333333</v>
      </c>
      <c r="BB67" s="63" t="n">
        <v>98</v>
      </c>
      <c r="BC67" s="63" t="n">
        <v>99.1333333333333</v>
      </c>
      <c r="BD67" s="63" t="n">
        <v>100.1</v>
      </c>
      <c r="BE67" s="63" t="n">
        <v>101.1</v>
      </c>
      <c r="BF67" s="63" t="n">
        <v>102.533333333333</v>
      </c>
      <c r="BG67" s="63" t="n">
        <v>103.5</v>
      </c>
      <c r="BH67" s="63" t="n">
        <v>104.4</v>
      </c>
      <c r="BI67" s="63" t="n">
        <v>105.3</v>
      </c>
      <c r="BJ67" s="63" t="n">
        <v>106.266666666667</v>
      </c>
      <c r="BK67" s="63" t="n">
        <v>107.233333333333</v>
      </c>
      <c r="BL67" s="63" t="n">
        <v>107.9</v>
      </c>
      <c r="BM67" s="63" t="n">
        <v>109</v>
      </c>
      <c r="BN67" s="63" t="n">
        <v>109.566666666667</v>
      </c>
      <c r="BO67" s="63" t="n">
        <v>109.033333333333</v>
      </c>
      <c r="BP67" s="63" t="n">
        <v>109.7</v>
      </c>
      <c r="BQ67" s="63" t="n">
        <v>110.466666666667</v>
      </c>
      <c r="BR67" s="63" t="n">
        <v>111.8</v>
      </c>
      <c r="BS67" s="63" t="n">
        <v>113.066666666667</v>
      </c>
      <c r="BT67" s="63" t="n">
        <v>114.266666666667</v>
      </c>
      <c r="BU67" s="63" t="n">
        <v>115.333333333333</v>
      </c>
      <c r="BV67" s="63" t="n">
        <v>116.233333333333</v>
      </c>
      <c r="BW67" s="63" t="n">
        <v>117.566666666667</v>
      </c>
      <c r="BX67" s="63" t="n">
        <v>119</v>
      </c>
      <c r="BY67" s="63" t="n">
        <v>120.3</v>
      </c>
      <c r="BZ67" s="63" t="n">
        <v>121.666666666667</v>
      </c>
      <c r="CA67" s="63" t="n">
        <v>123.633333333333</v>
      </c>
      <c r="CB67" s="63" t="n">
        <v>124.6</v>
      </c>
      <c r="CC67" s="63" t="n">
        <v>125.866666666667</v>
      </c>
      <c r="CD67" s="63" t="n">
        <v>128.033333333333</v>
      </c>
      <c r="CE67" s="63" t="n">
        <v>129.3</v>
      </c>
      <c r="CF67" s="63" t="n">
        <v>131.533333333333</v>
      </c>
      <c r="CG67" s="63" t="n">
        <v>133.766666666667</v>
      </c>
      <c r="CH67" s="63" t="n">
        <v>134.766666666667</v>
      </c>
      <c r="CI67" s="63" t="n">
        <v>135.566666666667</v>
      </c>
      <c r="CJ67" s="63" t="n">
        <v>136.6</v>
      </c>
      <c r="CK67" s="63" t="n">
        <v>137.733333333333</v>
      </c>
      <c r="CL67" s="63" t="n">
        <v>138.666666666667</v>
      </c>
      <c r="CM67" s="63" t="n">
        <v>139.733333333333</v>
      </c>
      <c r="CN67" s="63" t="n">
        <v>140.8</v>
      </c>
      <c r="CO67" s="63" t="n">
        <v>142.033333333333</v>
      </c>
      <c r="CP67" s="63" t="n">
        <v>143.066666666667</v>
      </c>
      <c r="CQ67" s="63" t="n">
        <v>144.1</v>
      </c>
      <c r="CR67" s="63" t="n">
        <v>144.766666666667</v>
      </c>
      <c r="CS67" s="63" t="n">
        <v>145.966666666667</v>
      </c>
      <c r="CT67" s="63" t="n">
        <v>146.7</v>
      </c>
      <c r="CU67" s="63" t="n">
        <v>147.533333333333</v>
      </c>
      <c r="CV67" s="63" t="n">
        <v>148.9</v>
      </c>
      <c r="CW67" s="63" t="n">
        <v>149.766666666667</v>
      </c>
      <c r="CX67" s="63" t="n">
        <v>150.866666666667</v>
      </c>
      <c r="CY67" s="63" t="n">
        <v>152.1</v>
      </c>
      <c r="CZ67" s="63" t="n">
        <v>152.866666666667</v>
      </c>
      <c r="DA67" s="63" t="n">
        <v>153.7</v>
      </c>
      <c r="DB67" s="63" t="n">
        <v>155.066666666667</v>
      </c>
      <c r="DC67" s="63" t="n">
        <v>156.4</v>
      </c>
      <c r="DD67" s="63" t="n">
        <v>157.3</v>
      </c>
      <c r="DE67" s="63" t="n">
        <v>158.666666666667</v>
      </c>
      <c r="DF67" s="63" t="n">
        <v>159.633333333333</v>
      </c>
      <c r="DG67" s="63" t="n">
        <v>160</v>
      </c>
      <c r="DH67" s="63" t="n">
        <v>160.8</v>
      </c>
      <c r="DI67" s="63" t="n">
        <v>161.666666666667</v>
      </c>
      <c r="DJ67" s="63" t="n">
        <v>162</v>
      </c>
      <c r="DK67" s="63" t="n">
        <v>162.533333333333</v>
      </c>
      <c r="DL67" s="63" t="n">
        <v>163.366666666667</v>
      </c>
      <c r="DM67" s="63" t="n">
        <v>164.133333333333</v>
      </c>
      <c r="DN67" s="63" t="n">
        <v>164.733333333333</v>
      </c>
      <c r="DO67" s="63" t="n">
        <v>165.966666666667</v>
      </c>
      <c r="DP67" s="63" t="n">
        <v>167.2</v>
      </c>
      <c r="DQ67" s="63" t="n">
        <v>168.433333333333</v>
      </c>
      <c r="DR67" s="63" t="n">
        <v>170.1</v>
      </c>
      <c r="DS67" s="63" t="n">
        <v>171.433333333333</v>
      </c>
      <c r="DT67" s="63" t="n">
        <v>173</v>
      </c>
      <c r="DU67" s="63" t="n">
        <v>174.233333333333</v>
      </c>
      <c r="DV67" s="63" t="n">
        <v>175.9</v>
      </c>
      <c r="DW67" s="63" t="n">
        <v>177.133333333333</v>
      </c>
      <c r="DX67" s="63" t="n">
        <v>177.633333333333</v>
      </c>
      <c r="DY67" s="63" t="n">
        <v>177.5</v>
      </c>
      <c r="DZ67" s="63" t="n">
        <v>178.066666666667</v>
      </c>
      <c r="EA67" s="63" t="n">
        <v>179.466666666667</v>
      </c>
      <c r="EB67" s="63" t="n">
        <v>180.433333333333</v>
      </c>
      <c r="EC67" s="63" t="n">
        <v>181.5</v>
      </c>
      <c r="ED67" s="63" t="n">
        <v>183.366666666667</v>
      </c>
      <c r="EE67" s="63" t="n">
        <v>183.066666666667</v>
      </c>
      <c r="EF67" s="63" t="n">
        <v>184.433333333333</v>
      </c>
      <c r="EG67" s="63" t="n">
        <v>185.133333333333</v>
      </c>
      <c r="EH67" s="63" t="n">
        <v>186.7</v>
      </c>
      <c r="EI67" s="63" t="n">
        <v>188.166666666667</v>
      </c>
      <c r="EJ67" s="63" t="n">
        <v>189.366666666667</v>
      </c>
      <c r="EK67" s="63" t="n">
        <v>191.4</v>
      </c>
      <c r="EL67" s="63" t="n">
        <v>192.366666666667</v>
      </c>
      <c r="EM67" s="63" t="n">
        <v>193.666666666667</v>
      </c>
      <c r="EN67" s="63" t="n">
        <v>196.6</v>
      </c>
      <c r="EO67" s="63" t="n">
        <v>198.433333333333</v>
      </c>
      <c r="EP67" s="63" t="n">
        <v>199.466666666667</v>
      </c>
      <c r="EQ67" s="63" t="n">
        <v>201.266666666667</v>
      </c>
      <c r="ER67" s="63" t="n">
        <v>203.166666666667</v>
      </c>
      <c r="ES67" s="63" t="n">
        <v>202.333333333333</v>
      </c>
      <c r="ET67" s="63" t="n">
        <v>204.317</v>
      </c>
      <c r="EU67" s="63" t="n">
        <v>206.631</v>
      </c>
      <c r="EV67" s="63" t="n">
        <v>207.939</v>
      </c>
      <c r="EW67" s="63" t="n">
        <v>210.489666666667</v>
      </c>
      <c r="EX67" s="63" t="n">
        <v>212.769666666667</v>
      </c>
      <c r="EY67" s="63" t="n">
        <v>215.537666666667</v>
      </c>
      <c r="EZ67" s="63" t="n">
        <v>218.861</v>
      </c>
      <c r="FA67" s="63" t="n">
        <v>213.848666666667</v>
      </c>
      <c r="FB67" s="63" t="n">
        <v>212.377666666667</v>
      </c>
      <c r="FC67" s="63" t="n">
        <v>213.507</v>
      </c>
      <c r="FD67" s="63" t="n">
        <v>215.344</v>
      </c>
      <c r="FE67" s="63" t="n">
        <v>217.03</v>
      </c>
      <c r="FF67" s="63" t="n">
        <v>217.374</v>
      </c>
      <c r="FG67" s="63" t="n">
        <v>217.297333333333</v>
      </c>
      <c r="FH67" s="63" t="n">
        <v>217.934333333333</v>
      </c>
      <c r="FI67" s="63" t="n">
        <v>219.699</v>
      </c>
      <c r="FJ67" s="63" t="n">
        <v>222.043666666667</v>
      </c>
      <c r="FK67" s="63" t="n">
        <v>224.568333333333</v>
      </c>
      <c r="FL67" s="63" t="n">
        <v>226.032666666667</v>
      </c>
      <c r="FM67" s="63" t="n">
        <v>227.047333333333</v>
      </c>
      <c r="FN67" s="63" t="n">
        <v>228.326</v>
      </c>
      <c r="FO67" s="63" t="n">
        <v>228.808</v>
      </c>
      <c r="FP67" s="63" t="n">
        <v>229.841</v>
      </c>
      <c r="FQ67" s="63" t="n">
        <v>231.369333333333</v>
      </c>
      <c r="FR67" s="63" t="n">
        <v>232.299333333333</v>
      </c>
      <c r="FS67" s="63" t="n">
        <v>232.045</v>
      </c>
      <c r="FT67" s="63" t="n">
        <v>233.3</v>
      </c>
      <c r="FU67" s="63" t="n">
        <v>234.162666666667</v>
      </c>
      <c r="FV67" s="63" t="n">
        <v>235.621</v>
      </c>
      <c r="FW67" s="63" t="n">
        <v>236.872333333333</v>
      </c>
      <c r="FX67" s="63" t="n">
        <v>237.478333333333</v>
      </c>
      <c r="FY67" s="63" t="n">
        <v>236.888333333333</v>
      </c>
      <c r="FZ67" s="63" t="n">
        <v>235.355</v>
      </c>
      <c r="GA67" s="63" t="n">
        <v>236.96</v>
      </c>
      <c r="GB67" s="63" t="n">
        <v>237.855</v>
      </c>
      <c r="GC67" s="63" t="n">
        <v>237.837</v>
      </c>
      <c r="GD67" s="63" t="n">
        <v>237.689333333333</v>
      </c>
      <c r="GE67" s="63" t="n">
        <v>239.590333333333</v>
      </c>
      <c r="GF67" s="63" t="n">
        <v>240.607333333333</v>
      </c>
      <c r="GG67" s="63" t="n">
        <v>242.134666666667</v>
      </c>
      <c r="GH67" s="63" t="n">
        <v>243.838666666667</v>
      </c>
      <c r="GI67" s="63" t="n">
        <v>244.12</v>
      </c>
      <c r="GJ67" s="63" t="n">
        <v>245.287</v>
      </c>
      <c r="GK67" s="63" t="n">
        <v>247.238333333333</v>
      </c>
      <c r="GL67" s="63" t="n">
        <v>249.321666666667</v>
      </c>
      <c r="GM67" s="63" t="n">
        <v>250.679</v>
      </c>
      <c r="GN67" s="63" t="n">
        <v>251.686333333333</v>
      </c>
      <c r="GO67" s="63" t="n">
        <v>252.711</v>
      </c>
      <c r="GP67" s="63" t="n">
        <v>253.414</v>
      </c>
      <c r="GQ67" s="63" t="n">
        <v>255.22</v>
      </c>
      <c r="GR67" s="63" t="n">
        <v>256.085</v>
      </c>
      <c r="GS67" s="63" t="n">
        <v>257.887666666667</v>
      </c>
      <c r="GT67" s="63" t="n">
        <v>258.803</v>
      </c>
      <c r="GU67" s="63" t="n">
        <v>256.315333333333</v>
      </c>
      <c r="GV67" s="63" t="n">
        <v>259.239333333333</v>
      </c>
      <c r="GW67" s="63" t="n">
        <v>261.044666666667</v>
      </c>
      <c r="GX67" s="63" t="n">
        <v>263.734</v>
      </c>
      <c r="GY67" s="63" t="n">
        <v>268.557666666667</v>
      </c>
      <c r="GZ67" s="63" t="n">
        <v>272.887333333333</v>
      </c>
      <c r="HA67" s="63" t="n">
        <v>278.706666666667</v>
      </c>
      <c r="HB67" s="63" t="n">
        <v>284.893666666667</v>
      </c>
      <c r="HC67" t="n">
        <v>291.535666666667</v>
      </c>
      <c r="HD67" t="n">
        <v>295.495666666667</v>
      </c>
      <c r="HE67" t="n">
        <v>298.525</v>
      </c>
    </row>
    <row r="68">
      <c r="A68" s="63" t="s">
        <v>2502</v>
      </c>
      <c r="B68" s="63" t="n">
        <v>38.3</v>
      </c>
      <c r="C68" s="63" t="n">
        <v>38.8333333333333</v>
      </c>
      <c r="D68" s="63" t="n">
        <v>39.2333333333333</v>
      </c>
      <c r="E68" s="63" t="n">
        <v>39.8</v>
      </c>
      <c r="F68" s="63" t="n">
        <v>40.1666666666667</v>
      </c>
      <c r="G68" s="63" t="n">
        <v>40.5333333333333</v>
      </c>
      <c r="H68" s="63" t="n">
        <v>40.9666666666667</v>
      </c>
      <c r="I68" s="63" t="n">
        <v>41.2333333333333</v>
      </c>
      <c r="J68" s="63" t="n">
        <v>41.6</v>
      </c>
      <c r="K68" s="63" t="n">
        <v>41.8</v>
      </c>
      <c r="L68" s="63" t="n">
        <v>42.2</v>
      </c>
      <c r="M68" s="63" t="n">
        <v>42.6333333333333</v>
      </c>
      <c r="N68" s="63" t="n">
        <v>43.2666666666667</v>
      </c>
      <c r="O68" s="63" t="n">
        <v>44.1666666666667</v>
      </c>
      <c r="P68" s="63" t="n">
        <v>45.0666666666667</v>
      </c>
      <c r="Q68" s="63" t="n">
        <v>46.1666666666667</v>
      </c>
      <c r="R68" s="63" t="n">
        <v>47.5666666666667</v>
      </c>
      <c r="S68" s="63" t="n">
        <v>48.7666666666667</v>
      </c>
      <c r="T68" s="63" t="n">
        <v>50.2333333333333</v>
      </c>
      <c r="U68" s="63" t="n">
        <v>51.7666666666667</v>
      </c>
      <c r="V68" s="63" t="n">
        <v>52.8666666666667</v>
      </c>
      <c r="W68" s="63" t="n">
        <v>53.5</v>
      </c>
      <c r="X68" s="63" t="n">
        <v>54.5666666666667</v>
      </c>
      <c r="Y68" s="63" t="n">
        <v>55.5666666666667</v>
      </c>
      <c r="Z68" s="63" t="n">
        <v>56.2333333333333</v>
      </c>
      <c r="AA68" s="63" t="n">
        <v>56.7333333333333</v>
      </c>
      <c r="AB68" s="63" t="n">
        <v>57.6</v>
      </c>
      <c r="AC68" s="63" t="n">
        <v>58.4333333333333</v>
      </c>
      <c r="AD68" s="63" t="n">
        <v>59.5333333333333</v>
      </c>
      <c r="AE68" s="63" t="n">
        <v>60.6</v>
      </c>
      <c r="AF68" s="63" t="n">
        <v>61.4333333333333</v>
      </c>
      <c r="AG68" s="63" t="n">
        <v>62.2666666666667</v>
      </c>
      <c r="AH68" s="63" t="n">
        <v>63.3666666666667</v>
      </c>
      <c r="AI68" s="63" t="n">
        <v>64.7666666666667</v>
      </c>
      <c r="AJ68" s="63" t="n">
        <v>66.2333333333333</v>
      </c>
      <c r="AK68" s="63" t="n">
        <v>67.8333333333333</v>
      </c>
      <c r="AL68" s="63" t="n">
        <v>69.5666666666667</v>
      </c>
      <c r="AM68" s="63" t="n">
        <v>71.9</v>
      </c>
      <c r="AN68" s="63" t="n">
        <v>74.2333333333333</v>
      </c>
      <c r="AO68" s="63" t="n">
        <v>76.5</v>
      </c>
      <c r="AP68" s="63" t="n">
        <v>79.5</v>
      </c>
      <c r="AQ68" s="63" t="n">
        <v>82.2</v>
      </c>
      <c r="AR68" s="63" t="n">
        <v>83.7333333333333</v>
      </c>
      <c r="AS68" s="63" t="n">
        <v>86.1666666666667</v>
      </c>
      <c r="AT68" s="63" t="n">
        <v>88.4666666666667</v>
      </c>
      <c r="AU68" s="63" t="n">
        <v>90.2333333333333</v>
      </c>
      <c r="AV68" s="63" t="n">
        <v>92.7333333333333</v>
      </c>
      <c r="AW68" s="63" t="n">
        <v>94.1666666666667</v>
      </c>
      <c r="AX68" s="63" t="n">
        <v>94.9666666666667</v>
      </c>
      <c r="AY68" s="63" t="n">
        <v>96.2333333333333</v>
      </c>
      <c r="AZ68" s="63" t="n">
        <v>98</v>
      </c>
      <c r="BA68" s="63" t="n">
        <v>98.3333333333333</v>
      </c>
      <c r="BB68" s="63" t="n">
        <v>98.3</v>
      </c>
      <c r="BC68" s="63" t="n">
        <v>99.4333333333333</v>
      </c>
      <c r="BD68" s="63" t="n">
        <v>100.4</v>
      </c>
      <c r="BE68" s="63" t="n">
        <v>101.166666666667</v>
      </c>
      <c r="BF68" s="63" t="n">
        <v>101.933333333333</v>
      </c>
      <c r="BG68" s="63" t="n">
        <v>102.466666666667</v>
      </c>
      <c r="BH68" s="63" t="n">
        <v>103.933333333333</v>
      </c>
      <c r="BI68" s="63" t="n">
        <v>104.8</v>
      </c>
      <c r="BJ68" s="63" t="n">
        <v>105.666666666667</v>
      </c>
      <c r="BK68" s="63" t="n">
        <v>106.633333333333</v>
      </c>
      <c r="BL68" s="63" t="n">
        <v>107.133333333333</v>
      </c>
      <c r="BM68" s="63" t="n">
        <v>108.2</v>
      </c>
      <c r="BN68" s="63" t="n">
        <v>108.666666666667</v>
      </c>
      <c r="BO68" s="63" t="n">
        <v>107.933333333333</v>
      </c>
      <c r="BP68" s="63" t="n">
        <v>108.5</v>
      </c>
      <c r="BQ68" s="63" t="n">
        <v>109.2</v>
      </c>
      <c r="BR68" s="63" t="n">
        <v>110.666666666667</v>
      </c>
      <c r="BS68" s="63" t="n">
        <v>111.966666666667</v>
      </c>
      <c r="BT68" s="63" t="n">
        <v>113.166666666667</v>
      </c>
      <c r="BU68" s="63" t="n">
        <v>114.166666666667</v>
      </c>
      <c r="BV68" s="63" t="n">
        <v>114.933333333333</v>
      </c>
      <c r="BW68" s="63" t="n">
        <v>116.2</v>
      </c>
      <c r="BX68" s="63" t="n">
        <v>117.733333333333</v>
      </c>
      <c r="BY68" s="63" t="n">
        <v>118.933333333333</v>
      </c>
      <c r="BZ68" s="63" t="n">
        <v>120.366666666667</v>
      </c>
      <c r="CA68" s="63" t="n">
        <v>122.4</v>
      </c>
      <c r="CB68" s="63" t="n">
        <v>123.266666666667</v>
      </c>
      <c r="CC68" s="63" t="n">
        <v>124.4</v>
      </c>
      <c r="CD68" s="63" t="n">
        <v>126.566666666667</v>
      </c>
      <c r="CE68" s="63" t="n">
        <v>127.666666666667</v>
      </c>
      <c r="CF68" s="63" t="n">
        <v>129.866666666667</v>
      </c>
      <c r="CG68" s="63" t="n">
        <v>132.1</v>
      </c>
      <c r="CH68" s="63" t="n">
        <v>132.933333333333</v>
      </c>
      <c r="CI68" s="63" t="n">
        <v>133.733333333333</v>
      </c>
      <c r="CJ68" s="63" t="n">
        <v>134.633333333333</v>
      </c>
      <c r="CK68" s="63" t="n">
        <v>135.733333333333</v>
      </c>
      <c r="CL68" s="63" t="n">
        <v>136.533333333333</v>
      </c>
      <c r="CM68" s="63" t="n">
        <v>137.566666666667</v>
      </c>
      <c r="CN68" s="63" t="n">
        <v>138.7</v>
      </c>
      <c r="CO68" s="63" t="n">
        <v>139.8</v>
      </c>
      <c r="CP68" s="63" t="n">
        <v>140.766666666667</v>
      </c>
      <c r="CQ68" s="63" t="n">
        <v>141.733333333333</v>
      </c>
      <c r="CR68" s="63" t="n">
        <v>142.333333333333</v>
      </c>
      <c r="CS68" s="63" t="n">
        <v>143.433333333333</v>
      </c>
      <c r="CT68" s="63" t="n">
        <v>144.033333333333</v>
      </c>
      <c r="CU68" s="63" t="n">
        <v>144.866666666667</v>
      </c>
      <c r="CV68" s="63" t="n">
        <v>146.4</v>
      </c>
      <c r="CW68" s="63" t="n">
        <v>147.266666666667</v>
      </c>
      <c r="CX68" s="63" t="n">
        <v>148.333333333333</v>
      </c>
      <c r="CY68" s="63" t="n">
        <v>149.5</v>
      </c>
      <c r="CZ68" s="63" t="n">
        <v>150.166666666667</v>
      </c>
      <c r="DA68" s="63" t="n">
        <v>151</v>
      </c>
      <c r="DB68" s="63" t="n">
        <v>152.4</v>
      </c>
      <c r="DC68" s="63" t="n">
        <v>153.733333333333</v>
      </c>
      <c r="DD68" s="63" t="n">
        <v>154.566666666667</v>
      </c>
      <c r="DE68" s="63" t="n">
        <v>155.866666666667</v>
      </c>
      <c r="DF68" s="63" t="n">
        <v>156.8</v>
      </c>
      <c r="DG68" s="63" t="n">
        <v>157.1</v>
      </c>
      <c r="DH68" s="63" t="n">
        <v>157.8</v>
      </c>
      <c r="DI68" s="63" t="n">
        <v>158.533333333333</v>
      </c>
      <c r="DJ68" s="63" t="n">
        <v>158.733333333333</v>
      </c>
      <c r="DK68" s="63" t="n">
        <v>159.2</v>
      </c>
      <c r="DL68" s="63" t="n">
        <v>159.966666666667</v>
      </c>
      <c r="DM68" s="63" t="n">
        <v>160.766666666667</v>
      </c>
      <c r="DN68" s="63" t="n">
        <v>161.366666666667</v>
      </c>
      <c r="DO68" s="63" t="n">
        <v>162.533333333333</v>
      </c>
      <c r="DP68" s="63" t="n">
        <v>163.9</v>
      </c>
      <c r="DQ68" s="63" t="n">
        <v>165.2</v>
      </c>
      <c r="DR68" s="63" t="n">
        <v>166.833333333333</v>
      </c>
      <c r="DS68" s="63" t="n">
        <v>168.166666666667</v>
      </c>
      <c r="DT68" s="63" t="n">
        <v>169.7</v>
      </c>
      <c r="DU68" s="63" t="n">
        <v>170.833333333333</v>
      </c>
      <c r="DV68" s="63" t="n">
        <v>172.433333333333</v>
      </c>
      <c r="DW68" s="63" t="n">
        <v>173.733333333333</v>
      </c>
      <c r="DX68" s="63" t="n">
        <v>174.1</v>
      </c>
      <c r="DY68" s="63" t="n">
        <v>173.666666666667</v>
      </c>
      <c r="DZ68" s="63" t="n">
        <v>174.033333333333</v>
      </c>
      <c r="EA68" s="63" t="n">
        <v>175.533333333333</v>
      </c>
      <c r="EB68" s="63" t="n">
        <v>176.5</v>
      </c>
      <c r="EC68" s="63" t="n">
        <v>177.466666666667</v>
      </c>
      <c r="ED68" s="63" t="n">
        <v>179.466666666667</v>
      </c>
      <c r="EE68" s="63" t="n">
        <v>178.933333333333</v>
      </c>
      <c r="EF68" s="63" t="n">
        <v>180.2</v>
      </c>
      <c r="EG68" s="63" t="n">
        <v>180.733333333333</v>
      </c>
      <c r="EH68" s="63" t="n">
        <v>182.333333333333</v>
      </c>
      <c r="EI68" s="63" t="n">
        <v>183.666666666667</v>
      </c>
      <c r="EJ68" s="63" t="n">
        <v>184.866666666667</v>
      </c>
      <c r="EK68" s="63" t="n">
        <v>187.066666666667</v>
      </c>
      <c r="EL68" s="63" t="n">
        <v>187.933333333333</v>
      </c>
      <c r="EM68" s="63" t="n">
        <v>189.233333333333</v>
      </c>
      <c r="EN68" s="63" t="n">
        <v>192.566666666667</v>
      </c>
      <c r="EO68" s="63" t="n">
        <v>194.2</v>
      </c>
      <c r="EP68" s="63" t="n">
        <v>195.133333333333</v>
      </c>
      <c r="EQ68" s="63" t="n">
        <v>196.933333333333</v>
      </c>
      <c r="ER68" s="63" t="n">
        <v>198.8</v>
      </c>
      <c r="ES68" s="63" t="n">
        <v>197.566666666667</v>
      </c>
      <c r="ET68" s="63" t="n">
        <v>199.553</v>
      </c>
      <c r="EU68" s="63" t="n">
        <v>202.077</v>
      </c>
      <c r="EV68" s="63" t="n">
        <v>203.37</v>
      </c>
      <c r="EW68" s="63" t="n">
        <v>206.085666666667</v>
      </c>
      <c r="EX68" s="63" t="n">
        <v>208.516</v>
      </c>
      <c r="EY68" s="63" t="n">
        <v>211.502666666667</v>
      </c>
      <c r="EZ68" s="63" t="n">
        <v>215.13</v>
      </c>
      <c r="FA68" s="63" t="n">
        <v>208.838666666667</v>
      </c>
      <c r="FB68" s="63" t="n">
        <v>206.943333333333</v>
      </c>
      <c r="FC68" s="63" t="n">
        <v>208.390333333333</v>
      </c>
      <c r="FD68" s="63" t="n">
        <v>210.695</v>
      </c>
      <c r="FE68" s="63" t="n">
        <v>212.632666666667</v>
      </c>
      <c r="FF68" s="63" t="n">
        <v>213.237</v>
      </c>
      <c r="FG68" s="63" t="n">
        <v>213.150666666667</v>
      </c>
      <c r="FH68" s="63" t="n">
        <v>213.82</v>
      </c>
      <c r="FI68" s="63" t="n">
        <v>215.764</v>
      </c>
      <c r="FJ68" s="63" t="n">
        <v>218.415666666667</v>
      </c>
      <c r="FK68" s="63" t="n">
        <v>221.287666666667</v>
      </c>
      <c r="FL68" s="63" t="n">
        <v>222.738</v>
      </c>
      <c r="FM68" s="63" t="n">
        <v>223.774666666667</v>
      </c>
      <c r="FN68" s="63" t="n">
        <v>225.087333333333</v>
      </c>
      <c r="FO68" s="63" t="n">
        <v>225.459333333333</v>
      </c>
      <c r="FP68" s="63" t="n">
        <v>226.357</v>
      </c>
      <c r="FQ68" s="63" t="n">
        <v>227.971666666667</v>
      </c>
      <c r="FR68" s="63" t="n">
        <v>228.836666666667</v>
      </c>
      <c r="FS68" s="63" t="n">
        <v>228.409666666667</v>
      </c>
      <c r="FT68" s="63" t="n">
        <v>229.589</v>
      </c>
      <c r="FU68" s="63" t="n">
        <v>230.433666666667</v>
      </c>
      <c r="FV68" s="63" t="n">
        <v>231.95</v>
      </c>
      <c r="FW68" s="63" t="n">
        <v>233.101333333333</v>
      </c>
      <c r="FX68" s="63" t="n">
        <v>233.494333333333</v>
      </c>
      <c r="FY68" s="63" t="n">
        <v>232.431</v>
      </c>
      <c r="FZ68" s="63" t="n">
        <v>230.236666666667</v>
      </c>
      <c r="GA68" s="63" t="n">
        <v>231.957666666667</v>
      </c>
      <c r="GB68" s="63" t="n">
        <v>232.693333333333</v>
      </c>
      <c r="GC68" s="63" t="n">
        <v>232.280333333333</v>
      </c>
      <c r="GD68" s="63" t="n">
        <v>231.781</v>
      </c>
      <c r="GE68" s="63" t="n">
        <v>233.774</v>
      </c>
      <c r="GF68" s="63" t="n">
        <v>234.596666666667</v>
      </c>
      <c r="GG68" s="63" t="n">
        <v>236.140666666667</v>
      </c>
      <c r="GH68" s="63" t="n">
        <v>237.859</v>
      </c>
      <c r="GI68" s="63" t="n">
        <v>237.925333333333</v>
      </c>
      <c r="GJ68" s="63" t="n">
        <v>239.136666666667</v>
      </c>
      <c r="GK68" s="63" t="n">
        <v>241.276333333333</v>
      </c>
      <c r="GL68" s="63" t="n">
        <v>243.415666666667</v>
      </c>
      <c r="GM68" s="63" t="n">
        <v>244.717666666667</v>
      </c>
      <c r="GN68" s="63" t="n">
        <v>245.765333333333</v>
      </c>
      <c r="GO68" s="63" t="n">
        <v>246.649666666667</v>
      </c>
      <c r="GP68" s="63" t="n">
        <v>246.984666666667</v>
      </c>
      <c r="GQ68" s="63" t="n">
        <v>248.834666666667</v>
      </c>
      <c r="GR68" s="63" t="n">
        <v>249.59</v>
      </c>
      <c r="GS68" s="63" t="n">
        <v>251.448</v>
      </c>
      <c r="GT68" s="63" t="n">
        <v>252.174666666667</v>
      </c>
      <c r="GU68" s="63" t="n">
        <v>249.431333333333</v>
      </c>
      <c r="GV68" s="63" t="n">
        <v>252.825333333333</v>
      </c>
      <c r="GW68" s="63" t="n">
        <v>254.742</v>
      </c>
      <c r="GX68" s="63" t="n">
        <v>257.684</v>
      </c>
      <c r="GY68" s="63" t="n">
        <v>262.914</v>
      </c>
      <c r="GZ68" s="63" t="n">
        <v>267.583</v>
      </c>
      <c r="HA68" s="63" t="n">
        <v>273.867</v>
      </c>
      <c r="HB68" s="63" t="n">
        <v>280.424666666667</v>
      </c>
      <c r="HC68" t="n">
        <v>287.167666666667</v>
      </c>
      <c r="HD68" t="n">
        <v>290.808666666667</v>
      </c>
      <c r="HE68" t="n">
        <v>293.317666666667</v>
      </c>
    </row>
    <row r="69">
      <c r="A69" s="63" t="s">
        <v>2503</v>
      </c>
      <c r="B69" s="63" t="n">
        <v>4945.6</v>
      </c>
      <c r="C69" s="63" t="n">
        <v>4986.8</v>
      </c>
      <c r="D69" s="63" t="n">
        <v>5026.8</v>
      </c>
      <c r="E69" s="63" t="n">
        <v>5065.7</v>
      </c>
      <c r="F69" s="63" t="n">
        <v>5104.6</v>
      </c>
      <c r="G69" s="63" t="n">
        <v>5144.4</v>
      </c>
      <c r="H69" s="63" t="n">
        <v>5184.8</v>
      </c>
      <c r="I69" s="63" t="n">
        <v>5225.7</v>
      </c>
      <c r="J69" s="63" t="n">
        <v>5267.4</v>
      </c>
      <c r="K69" s="63" t="n">
        <v>5309.8</v>
      </c>
      <c r="L69" s="63" t="n">
        <v>5352.8</v>
      </c>
      <c r="M69" s="63" t="n">
        <v>5396.5</v>
      </c>
      <c r="N69" s="63" t="n">
        <v>5441.3</v>
      </c>
      <c r="O69" s="63" t="n">
        <v>5488.2</v>
      </c>
      <c r="P69" s="63" t="n">
        <v>5535.6</v>
      </c>
      <c r="Q69" s="63" t="n">
        <v>5584</v>
      </c>
      <c r="R69" s="63" t="n">
        <v>5633.1</v>
      </c>
      <c r="S69" s="63" t="n">
        <v>5682.5</v>
      </c>
      <c r="T69" s="63" t="n">
        <v>5731.3</v>
      </c>
      <c r="U69" s="63" t="n">
        <v>5779.3</v>
      </c>
      <c r="V69" s="63" t="n">
        <v>5826</v>
      </c>
      <c r="W69" s="63" t="n">
        <v>5871.8</v>
      </c>
      <c r="X69" s="63" t="n">
        <v>5917.1</v>
      </c>
      <c r="Y69" s="63" t="n">
        <v>5962.4</v>
      </c>
      <c r="Z69" s="63" t="n">
        <v>6007.7</v>
      </c>
      <c r="AA69" s="63" t="n">
        <v>6053.8</v>
      </c>
      <c r="AB69" s="63" t="n">
        <v>6101.3</v>
      </c>
      <c r="AC69" s="63" t="n">
        <v>6149.5</v>
      </c>
      <c r="AD69" s="63" t="n">
        <v>6199.4</v>
      </c>
      <c r="AE69" s="63" t="n">
        <v>6250.5</v>
      </c>
      <c r="AF69" s="63" t="n">
        <v>6302.3</v>
      </c>
      <c r="AG69" s="63" t="n">
        <v>6355.5</v>
      </c>
      <c r="AH69" s="63" t="n">
        <v>6410.2</v>
      </c>
      <c r="AI69" s="63" t="n">
        <v>6465.9</v>
      </c>
      <c r="AJ69" s="63" t="n">
        <v>6523.1</v>
      </c>
      <c r="AK69" s="63" t="n">
        <v>6581.4</v>
      </c>
      <c r="AL69" s="63" t="n">
        <v>6641.4</v>
      </c>
      <c r="AM69" s="63" t="n">
        <v>6699.4</v>
      </c>
      <c r="AN69" s="63" t="n">
        <v>6758.4</v>
      </c>
      <c r="AO69" s="63" t="n">
        <v>6808.8</v>
      </c>
      <c r="AP69" s="63" t="n">
        <v>6855.4</v>
      </c>
      <c r="AQ69" s="63" t="n">
        <v>6897.4</v>
      </c>
      <c r="AR69" s="63" t="n">
        <v>6934.9</v>
      </c>
      <c r="AS69" s="63" t="n">
        <v>6974.5</v>
      </c>
      <c r="AT69" s="63" t="n">
        <v>7018.3</v>
      </c>
      <c r="AU69" s="63" t="n">
        <v>7065.3</v>
      </c>
      <c r="AV69" s="63" t="n">
        <v>7115</v>
      </c>
      <c r="AW69" s="63" t="n">
        <v>7167.3</v>
      </c>
      <c r="AX69" s="63" t="n">
        <v>7221.5</v>
      </c>
      <c r="AY69" s="63" t="n">
        <v>7277</v>
      </c>
      <c r="AZ69" s="63" t="n">
        <v>7333.6</v>
      </c>
      <c r="BA69" s="63" t="n">
        <v>7391.4</v>
      </c>
      <c r="BB69" s="63" t="n">
        <v>7449.1</v>
      </c>
      <c r="BC69" s="63" t="n">
        <v>7508.3</v>
      </c>
      <c r="BD69" s="63" t="n">
        <v>7569.1</v>
      </c>
      <c r="BE69" s="63" t="n">
        <v>7632.5</v>
      </c>
      <c r="BF69" s="63" t="n">
        <v>7704.6</v>
      </c>
      <c r="BG69" s="63" t="n">
        <v>7772.5</v>
      </c>
      <c r="BH69" s="63" t="n">
        <v>7842</v>
      </c>
      <c r="BI69" s="63" t="n">
        <v>7912.6</v>
      </c>
      <c r="BJ69" s="63" t="n">
        <v>7983.4</v>
      </c>
      <c r="BK69" s="63" t="n">
        <v>8054.4</v>
      </c>
      <c r="BL69" s="63" t="n">
        <v>8125.3</v>
      </c>
      <c r="BM69" s="63" t="n">
        <v>8195.7</v>
      </c>
      <c r="BN69" s="63" t="n">
        <v>8265.5</v>
      </c>
      <c r="BO69" s="63" t="n">
        <v>8335</v>
      </c>
      <c r="BP69" s="63" t="n">
        <v>8404.3</v>
      </c>
      <c r="BQ69" s="63" t="n">
        <v>8473.6</v>
      </c>
      <c r="BR69" s="63" t="n">
        <v>8551.2</v>
      </c>
      <c r="BS69" s="63" t="n">
        <v>8619.5</v>
      </c>
      <c r="BT69" s="63" t="n">
        <v>8687.5</v>
      </c>
      <c r="BU69" s="63" t="n">
        <v>8755.8</v>
      </c>
      <c r="BV69" s="63" t="n">
        <v>8823.7</v>
      </c>
      <c r="BW69" s="63" t="n">
        <v>8891.8</v>
      </c>
      <c r="BX69" s="63" t="n">
        <v>8959.8</v>
      </c>
      <c r="BY69" s="63" t="n">
        <v>9027.8</v>
      </c>
      <c r="BZ69" s="63" t="n">
        <v>9095.4</v>
      </c>
      <c r="CA69" s="63" t="n">
        <v>9162.6</v>
      </c>
      <c r="CB69" s="63" t="n">
        <v>9229.4</v>
      </c>
      <c r="CC69" s="63" t="n">
        <v>9295.9</v>
      </c>
      <c r="CD69" s="63" t="n">
        <v>9361.4</v>
      </c>
      <c r="CE69" s="63" t="n">
        <v>9426.3</v>
      </c>
      <c r="CF69" s="63" t="n">
        <v>9489.7</v>
      </c>
      <c r="CG69" s="63" t="n">
        <v>9552</v>
      </c>
      <c r="CH69" s="63" t="n">
        <v>9613.3</v>
      </c>
      <c r="CI69" s="63" t="n">
        <v>9673.8</v>
      </c>
      <c r="CJ69" s="63" t="n">
        <v>9733.9</v>
      </c>
      <c r="CK69" s="63" t="n">
        <v>9794.3</v>
      </c>
      <c r="CL69" s="63" t="n">
        <v>9855.5</v>
      </c>
      <c r="CM69" s="63" t="n">
        <v>9917.5</v>
      </c>
      <c r="CN69" s="63" t="n">
        <v>9981.2</v>
      </c>
      <c r="CO69" s="63" t="n">
        <v>10046</v>
      </c>
      <c r="CP69" s="63" t="n">
        <v>10111.6</v>
      </c>
      <c r="CQ69" s="63" t="n">
        <v>10178.8</v>
      </c>
      <c r="CR69" s="63" t="n">
        <v>10246.8</v>
      </c>
      <c r="CS69" s="63" t="n">
        <v>10315.5</v>
      </c>
      <c r="CT69" s="63" t="n">
        <v>10384.7</v>
      </c>
      <c r="CU69" s="63" t="n">
        <v>10454.2</v>
      </c>
      <c r="CV69" s="63" t="n">
        <v>10524.6</v>
      </c>
      <c r="CW69" s="63" t="n">
        <v>10595.6</v>
      </c>
      <c r="CX69" s="63" t="n">
        <v>10666.8</v>
      </c>
      <c r="CY69" s="63" t="n">
        <v>10738.7</v>
      </c>
      <c r="CZ69" s="63" t="n">
        <v>10811</v>
      </c>
      <c r="DA69" s="63" t="n">
        <v>10884.9</v>
      </c>
      <c r="DB69" s="63" t="n">
        <v>10960</v>
      </c>
      <c r="DC69" s="63" t="n">
        <v>11040</v>
      </c>
      <c r="DD69" s="63" t="n">
        <v>11126</v>
      </c>
      <c r="DE69" s="63" t="n">
        <v>11217.9</v>
      </c>
      <c r="DF69" s="63" t="n">
        <v>11315.4</v>
      </c>
      <c r="DG69" s="63" t="n">
        <v>11418.1</v>
      </c>
      <c r="DH69" s="63" t="n">
        <v>11526</v>
      </c>
      <c r="DI69" s="63" t="n">
        <v>11638</v>
      </c>
      <c r="DJ69" s="63" t="n">
        <v>11753.4</v>
      </c>
      <c r="DK69" s="63" t="n">
        <v>11872.7</v>
      </c>
      <c r="DL69" s="63" t="n">
        <v>11994.2</v>
      </c>
      <c r="DM69" s="63" t="n">
        <v>12117.9</v>
      </c>
      <c r="DN69" s="63" t="n">
        <v>12244.2</v>
      </c>
      <c r="DO69" s="63" t="n">
        <v>12372.1</v>
      </c>
      <c r="DP69" s="63" t="n">
        <v>12501.7</v>
      </c>
      <c r="DQ69" s="63" t="n">
        <v>12633.8</v>
      </c>
      <c r="DR69" s="63" t="n">
        <v>12767.2</v>
      </c>
      <c r="DS69" s="63" t="n">
        <v>12898</v>
      </c>
      <c r="DT69" s="63" t="n">
        <v>13023.8</v>
      </c>
      <c r="DU69" s="63" t="n">
        <v>13144</v>
      </c>
      <c r="DV69" s="63" t="n">
        <v>13258.5</v>
      </c>
      <c r="DW69" s="63" t="n">
        <v>13367</v>
      </c>
      <c r="DX69" s="63" t="n">
        <v>13469.5</v>
      </c>
      <c r="DY69" s="63" t="n">
        <v>13566.7</v>
      </c>
      <c r="DZ69" s="63" t="n">
        <v>13658.8</v>
      </c>
      <c r="EA69" s="63" t="n">
        <v>13747.6</v>
      </c>
      <c r="EB69" s="63" t="n">
        <v>13834.4</v>
      </c>
      <c r="EC69" s="63" t="n">
        <v>13919.7</v>
      </c>
      <c r="ED69" s="63" t="n">
        <v>14004.8</v>
      </c>
      <c r="EE69" s="63" t="n">
        <v>14090.7</v>
      </c>
      <c r="EF69" s="63" t="n">
        <v>14176.8</v>
      </c>
      <c r="EG69" s="63" t="n">
        <v>14264.3</v>
      </c>
      <c r="EH69" s="63" t="n">
        <v>14354</v>
      </c>
      <c r="EI69" s="63" t="n">
        <v>14445.4</v>
      </c>
      <c r="EJ69" s="63" t="n">
        <v>14539.1</v>
      </c>
      <c r="EK69" s="63" t="n">
        <v>14634.1</v>
      </c>
      <c r="EL69" s="63" t="n">
        <v>14727.5</v>
      </c>
      <c r="EM69" s="63" t="n">
        <v>14818.5</v>
      </c>
      <c r="EN69" s="63" t="n">
        <v>14908.1</v>
      </c>
      <c r="EO69" s="63" t="n">
        <v>14995.6</v>
      </c>
      <c r="EP69" s="63" t="n">
        <v>15080.8</v>
      </c>
      <c r="EQ69" s="63" t="n">
        <v>15164.1</v>
      </c>
      <c r="ER69" s="63" t="n">
        <v>15244</v>
      </c>
      <c r="ES69" s="63" t="n">
        <v>15320.2</v>
      </c>
      <c r="ET69" s="63" t="n">
        <v>15397</v>
      </c>
      <c r="EU69" s="63" t="n">
        <v>15474.8</v>
      </c>
      <c r="EV69" s="63" t="n">
        <v>15553.6</v>
      </c>
      <c r="EW69" s="63" t="n">
        <v>15632.1</v>
      </c>
      <c r="EX69" s="63" t="n">
        <v>15709.9</v>
      </c>
      <c r="EY69" s="63" t="n">
        <v>15785</v>
      </c>
      <c r="EZ69" s="63" t="n">
        <v>15856.9</v>
      </c>
      <c r="FA69" s="63" t="n">
        <v>15924.8</v>
      </c>
      <c r="FB69" s="63" t="n">
        <v>15987.4</v>
      </c>
      <c r="FC69" s="63" t="n">
        <v>16045.8</v>
      </c>
      <c r="FD69" s="63" t="n">
        <v>16100.8</v>
      </c>
      <c r="FE69" s="63" t="n">
        <v>16154</v>
      </c>
      <c r="FF69" s="63" t="n">
        <v>16207.6</v>
      </c>
      <c r="FG69" s="63" t="n">
        <v>16262.5</v>
      </c>
      <c r="FH69" s="63" t="n">
        <v>16320.1</v>
      </c>
      <c r="FI69" s="63" t="n">
        <v>16379.8</v>
      </c>
      <c r="FJ69" s="63" t="n">
        <v>16441.7</v>
      </c>
      <c r="FK69" s="63" t="n">
        <v>16506</v>
      </c>
      <c r="FL69" s="63" t="n">
        <v>16572.6</v>
      </c>
      <c r="FM69" s="63" t="n">
        <v>16641.2</v>
      </c>
      <c r="FN69" s="63" t="n">
        <v>16711.4</v>
      </c>
      <c r="FO69" s="63" t="n">
        <v>16783.9</v>
      </c>
      <c r="FP69" s="63" t="n">
        <v>16858.1</v>
      </c>
      <c r="FQ69" s="63" t="n">
        <v>16933.7</v>
      </c>
      <c r="FR69" s="63" t="n">
        <v>17010.7</v>
      </c>
      <c r="FS69" s="63" t="n">
        <v>17089</v>
      </c>
      <c r="FT69" s="63" t="n">
        <v>17168.1</v>
      </c>
      <c r="FU69" s="63" t="n">
        <v>17248.4</v>
      </c>
      <c r="FV69" s="63" t="n">
        <v>17329.7</v>
      </c>
      <c r="FW69" s="63" t="n">
        <v>17411.7</v>
      </c>
      <c r="FX69" s="63" t="n">
        <v>17495.2</v>
      </c>
      <c r="FY69" s="63" t="n">
        <v>17579.3</v>
      </c>
      <c r="FZ69" s="63" t="n">
        <v>17663.6</v>
      </c>
      <c r="GA69" s="63" t="n">
        <v>17747.9</v>
      </c>
      <c r="GB69" s="63" t="n">
        <v>17831.6</v>
      </c>
      <c r="GC69" s="63" t="n">
        <v>17914.1</v>
      </c>
      <c r="GD69" s="63" t="n">
        <v>17995.9</v>
      </c>
      <c r="GE69" s="63" t="n">
        <v>18076.8</v>
      </c>
      <c r="GF69" s="63" t="n">
        <v>18156.8</v>
      </c>
      <c r="GG69" s="63" t="n">
        <v>18236.5</v>
      </c>
      <c r="GH69" s="63" t="n">
        <v>18316.3</v>
      </c>
      <c r="GI69" s="63" t="n">
        <v>18396.5</v>
      </c>
      <c r="GJ69" s="63" t="n">
        <v>18479.2</v>
      </c>
      <c r="GK69" s="63" t="n">
        <v>18564.1</v>
      </c>
      <c r="GL69" s="63" t="n">
        <v>18651.6</v>
      </c>
      <c r="GM69" s="63" t="n">
        <v>18741.5</v>
      </c>
      <c r="GN69" s="63" t="n">
        <v>18833.8</v>
      </c>
      <c r="GO69" s="63" t="n">
        <v>18926.6</v>
      </c>
      <c r="GP69" s="63" t="n">
        <v>19020.1</v>
      </c>
      <c r="GQ69" s="63" t="n">
        <v>19114.6</v>
      </c>
      <c r="GR69" s="63" t="n">
        <v>19210.5</v>
      </c>
      <c r="GS69" s="63" t="n">
        <v>19306.2</v>
      </c>
      <c r="GT69" s="63" t="n">
        <v>19399.2</v>
      </c>
      <c r="GU69" s="63" t="n">
        <v>19487</v>
      </c>
      <c r="GV69" s="63" t="n">
        <v>19562.6</v>
      </c>
      <c r="GW69" s="63" t="n">
        <v>19647.5</v>
      </c>
      <c r="GX69" s="63" t="n">
        <v>19733.7</v>
      </c>
      <c r="GY69" s="63" t="n">
        <v>19820.9</v>
      </c>
      <c r="GZ69" s="63" t="n">
        <v>19909.1</v>
      </c>
      <c r="HA69" s="63" t="n">
        <v>19997.7</v>
      </c>
      <c r="HB69" s="63" t="n">
        <v>20087.7</v>
      </c>
      <c r="HC69" t="n">
        <v>20178.3</v>
      </c>
      <c r="HD69" t="n">
        <v>20269.1</v>
      </c>
      <c r="HE69" t="n">
        <v>20362</v>
      </c>
    </row>
    <row r="70">
      <c r="A70" s="63" t="s">
        <v>2504</v>
      </c>
      <c r="B70" s="63" t="n">
        <v>1052.4</v>
      </c>
      <c r="C70" s="63" t="n">
        <v>1076</v>
      </c>
      <c r="D70" s="63" t="n">
        <v>1093.6</v>
      </c>
      <c r="E70" s="63" t="n">
        <v>1116.5</v>
      </c>
      <c r="F70" s="63" t="n">
        <v>1142.3</v>
      </c>
      <c r="G70" s="63" t="n">
        <v>1166.3</v>
      </c>
      <c r="H70" s="63" t="n">
        <v>1187.4</v>
      </c>
      <c r="I70" s="63" t="n">
        <v>1206.7</v>
      </c>
      <c r="J70" s="63" t="n">
        <v>1234.9</v>
      </c>
      <c r="K70" s="63" t="n">
        <v>1252.5</v>
      </c>
      <c r="L70" s="63" t="n">
        <v>1274.8</v>
      </c>
      <c r="M70" s="63" t="n">
        <v>1301.6</v>
      </c>
      <c r="N70" s="63" t="n">
        <v>1327.5</v>
      </c>
      <c r="O70" s="63" t="n">
        <v>1359.5</v>
      </c>
      <c r="P70" s="63" t="n">
        <v>1397.9</v>
      </c>
      <c r="Q70" s="63" t="n">
        <v>1438.3</v>
      </c>
      <c r="R70" s="63" t="n">
        <v>1478.3</v>
      </c>
      <c r="S70" s="63" t="n">
        <v>1526.5</v>
      </c>
      <c r="T70" s="63" t="n">
        <v>1584.7</v>
      </c>
      <c r="U70" s="63" t="n">
        <v>1645</v>
      </c>
      <c r="V70" s="63" t="n">
        <v>1696</v>
      </c>
      <c r="W70" s="63" t="n">
        <v>1734.7</v>
      </c>
      <c r="X70" s="63" t="n">
        <v>1778.9</v>
      </c>
      <c r="Y70" s="63" t="n">
        <v>1822.5</v>
      </c>
      <c r="Z70" s="63" t="n">
        <v>1855.8</v>
      </c>
      <c r="AA70" s="63" t="n">
        <v>1888.9</v>
      </c>
      <c r="AB70" s="63" t="n">
        <v>1928.4</v>
      </c>
      <c r="AC70" s="63" t="n">
        <v>1978.4</v>
      </c>
      <c r="AD70" s="63" t="n">
        <v>2026.5</v>
      </c>
      <c r="AE70" s="63" t="n">
        <v>2072.1</v>
      </c>
      <c r="AF70" s="63" t="n">
        <v>2114.7</v>
      </c>
      <c r="AG70" s="63" t="n">
        <v>2178.6</v>
      </c>
      <c r="AH70" s="63" t="n">
        <v>2229.4</v>
      </c>
      <c r="AI70" s="63" t="n">
        <v>2291.7</v>
      </c>
      <c r="AJ70" s="63" t="n">
        <v>2351.2</v>
      </c>
      <c r="AK70" s="63" t="n">
        <v>2420.8</v>
      </c>
      <c r="AL70" s="63" t="n">
        <v>2487.4</v>
      </c>
      <c r="AM70" s="63" t="n">
        <v>2570.5</v>
      </c>
      <c r="AN70" s="63" t="n">
        <v>2649.9</v>
      </c>
      <c r="AO70" s="63" t="n">
        <v>2719.2</v>
      </c>
      <c r="AP70" s="63" t="n">
        <v>2795.2</v>
      </c>
      <c r="AQ70" s="63" t="n">
        <v>2879.4</v>
      </c>
      <c r="AR70" s="63" t="n">
        <v>2959.7</v>
      </c>
      <c r="AS70" s="63" t="n">
        <v>3054.2</v>
      </c>
      <c r="AT70" s="63" t="n">
        <v>3154.2</v>
      </c>
      <c r="AU70" s="63" t="n">
        <v>3238.3</v>
      </c>
      <c r="AV70" s="63" t="n">
        <v>3322.4</v>
      </c>
      <c r="AW70" s="63" t="n">
        <v>3404.7</v>
      </c>
      <c r="AX70" s="63" t="n">
        <v>3477.7</v>
      </c>
      <c r="AY70" s="63" t="n">
        <v>3549.9</v>
      </c>
      <c r="AZ70" s="63" t="n">
        <v>3628.3</v>
      </c>
      <c r="BA70" s="63" t="n">
        <v>3694.8</v>
      </c>
      <c r="BB70" s="63" t="n">
        <v>3751.7</v>
      </c>
      <c r="BC70" s="63" t="n">
        <v>3809.5</v>
      </c>
      <c r="BD70" s="63" t="n">
        <v>3881.3</v>
      </c>
      <c r="BE70" s="63" t="n">
        <v>3943.4</v>
      </c>
      <c r="BF70" s="63" t="n">
        <v>4021</v>
      </c>
      <c r="BG70" s="63" t="n">
        <v>4091.2</v>
      </c>
      <c r="BH70" s="63" t="n">
        <v>4164.5</v>
      </c>
      <c r="BI70" s="63" t="n">
        <v>4233.4</v>
      </c>
      <c r="BJ70" s="63" t="n">
        <v>4313.5</v>
      </c>
      <c r="BK70" s="63" t="n">
        <v>4379.9</v>
      </c>
      <c r="BL70" s="63" t="n">
        <v>4445.1</v>
      </c>
      <c r="BM70" s="63" t="n">
        <v>4508.6</v>
      </c>
      <c r="BN70" s="63" t="n">
        <v>4569.7</v>
      </c>
      <c r="BO70" s="63" t="n">
        <v>4625.4</v>
      </c>
      <c r="BP70" s="63" t="n">
        <v>4683.2</v>
      </c>
      <c r="BQ70" s="63" t="n">
        <v>4747.4</v>
      </c>
      <c r="BR70" s="63" t="n">
        <v>4821.4</v>
      </c>
      <c r="BS70" s="63" t="n">
        <v>4893.6</v>
      </c>
      <c r="BT70" s="63" t="n">
        <v>4969.5</v>
      </c>
      <c r="BU70" s="63" t="n">
        <v>5048.4</v>
      </c>
      <c r="BV70" s="63" t="n">
        <v>5127.5</v>
      </c>
      <c r="BW70" s="63" t="n">
        <v>5217.3</v>
      </c>
      <c r="BX70" s="63" t="n">
        <v>5320</v>
      </c>
      <c r="BY70" s="63" t="n">
        <v>5406.7</v>
      </c>
      <c r="BZ70" s="63" t="n">
        <v>5504.1</v>
      </c>
      <c r="CA70" s="63" t="n">
        <v>5603.8</v>
      </c>
      <c r="CB70" s="63" t="n">
        <v>5685.9</v>
      </c>
      <c r="CC70" s="63" t="n">
        <v>5767.6</v>
      </c>
      <c r="CD70" s="63" t="n">
        <v>5870.9</v>
      </c>
      <c r="CE70" s="63" t="n">
        <v>5977.8</v>
      </c>
      <c r="CF70" s="63" t="n">
        <v>6069.6</v>
      </c>
      <c r="CG70" s="63" t="n">
        <v>6154.9</v>
      </c>
      <c r="CH70" s="63" t="n">
        <v>6255.1</v>
      </c>
      <c r="CI70" s="63" t="n">
        <v>6340.7</v>
      </c>
      <c r="CJ70" s="63" t="n">
        <v>6429.9</v>
      </c>
      <c r="CK70" s="63" t="n">
        <v>6508.2</v>
      </c>
      <c r="CL70" s="63" t="n">
        <v>6573.2</v>
      </c>
      <c r="CM70" s="63" t="n">
        <v>6654.4</v>
      </c>
      <c r="CN70" s="63" t="n">
        <v>6729.8</v>
      </c>
      <c r="CO70" s="63" t="n">
        <v>6820.1</v>
      </c>
      <c r="CP70" s="63" t="n">
        <v>6903.2</v>
      </c>
      <c r="CQ70" s="63" t="n">
        <v>6990.3</v>
      </c>
      <c r="CR70" s="63" t="n">
        <v>7078.9</v>
      </c>
      <c r="CS70" s="63" t="n">
        <v>7165.2</v>
      </c>
      <c r="CT70" s="63" t="n">
        <v>7247.9</v>
      </c>
      <c r="CU70" s="63" t="n">
        <v>7331.5</v>
      </c>
      <c r="CV70" s="63" t="n">
        <v>7423.3</v>
      </c>
      <c r="CW70" s="63" t="n">
        <v>7513.8</v>
      </c>
      <c r="CX70" s="63" t="n">
        <v>7605.3</v>
      </c>
      <c r="CY70" s="63" t="n">
        <v>7693.5</v>
      </c>
      <c r="CZ70" s="63" t="n">
        <v>7783.4</v>
      </c>
      <c r="DA70" s="63" t="n">
        <v>7874.4</v>
      </c>
      <c r="DB70" s="63" t="n">
        <v>7966.8</v>
      </c>
      <c r="DC70" s="63" t="n">
        <v>8058.2</v>
      </c>
      <c r="DD70" s="63" t="n">
        <v>8147.6</v>
      </c>
      <c r="DE70" s="63" t="n">
        <v>8258.8</v>
      </c>
      <c r="DF70" s="63" t="n">
        <v>8380.3</v>
      </c>
      <c r="DG70" s="63" t="n">
        <v>8473.3</v>
      </c>
      <c r="DH70" s="63" t="n">
        <v>8590.6</v>
      </c>
      <c r="DI70" s="63" t="n">
        <v>8702.6</v>
      </c>
      <c r="DJ70" s="63" t="n">
        <v>8801.7</v>
      </c>
      <c r="DK70" s="63" t="n">
        <v>8912.1</v>
      </c>
      <c r="DL70" s="63" t="n">
        <v>9041.9</v>
      </c>
      <c r="DM70" s="63" t="n">
        <v>9160.4</v>
      </c>
      <c r="DN70" s="63" t="n">
        <v>9285.3</v>
      </c>
      <c r="DO70" s="63" t="n">
        <v>9417.9</v>
      </c>
      <c r="DP70" s="63" t="n">
        <v>9550.4</v>
      </c>
      <c r="DQ70" s="63" t="n">
        <v>9704.7</v>
      </c>
      <c r="DR70" s="63" t="n">
        <v>9872.2</v>
      </c>
      <c r="DS70" s="63" t="n">
        <v>10035.6</v>
      </c>
      <c r="DT70" s="63" t="n">
        <v>10192.9</v>
      </c>
      <c r="DU70" s="63" t="n">
        <v>10342.7</v>
      </c>
      <c r="DV70" s="63" t="n">
        <v>10501.2</v>
      </c>
      <c r="DW70" s="63" t="n">
        <v>10651.2</v>
      </c>
      <c r="DX70" s="63" t="n">
        <v>10775.1</v>
      </c>
      <c r="DY70" s="63" t="n">
        <v>10886.6</v>
      </c>
      <c r="DZ70" s="63" t="n">
        <v>10996</v>
      </c>
      <c r="EA70" s="63" t="n">
        <v>11105.7</v>
      </c>
      <c r="EB70" s="63" t="n">
        <v>11229.7</v>
      </c>
      <c r="EC70" s="63" t="n">
        <v>11363.7</v>
      </c>
      <c r="ED70" s="63" t="n">
        <v>11490.3</v>
      </c>
      <c r="EE70" s="63" t="n">
        <v>11600.6</v>
      </c>
      <c r="EF70" s="63" t="n">
        <v>11737.8</v>
      </c>
      <c r="EG70" s="63" t="n">
        <v>11882.9</v>
      </c>
      <c r="EH70" s="63" t="n">
        <v>12042.3</v>
      </c>
      <c r="EI70" s="63" t="n">
        <v>12216.3</v>
      </c>
      <c r="EJ70" s="63" t="n">
        <v>12374.5</v>
      </c>
      <c r="EK70" s="63" t="n">
        <v>12551.7</v>
      </c>
      <c r="EL70" s="63" t="n">
        <v>12732.5</v>
      </c>
      <c r="EM70" s="63" t="n">
        <v>12904.3</v>
      </c>
      <c r="EN70" s="63" t="n">
        <v>13100.2</v>
      </c>
      <c r="EO70" s="63" t="n">
        <v>13283.8</v>
      </c>
      <c r="EP70" s="63" t="n">
        <v>13453.5</v>
      </c>
      <c r="EQ70" s="63" t="n">
        <v>13647.8</v>
      </c>
      <c r="ER70" s="63" t="n">
        <v>13815.3</v>
      </c>
      <c r="ES70" s="63" t="n">
        <v>13936.5</v>
      </c>
      <c r="ET70" s="63" t="n">
        <v>14140.4</v>
      </c>
      <c r="EU70" s="63" t="n">
        <v>14306.9</v>
      </c>
      <c r="EV70" s="63" t="n">
        <v>14454.5</v>
      </c>
      <c r="EW70" s="63" t="n">
        <v>14589.1</v>
      </c>
      <c r="EX70" s="63" t="n">
        <v>14713.1</v>
      </c>
      <c r="EY70" s="63" t="n">
        <v>14858.4</v>
      </c>
      <c r="EZ70" s="63" t="n">
        <v>15038.7</v>
      </c>
      <c r="FA70" s="63" t="n">
        <v>15138.8</v>
      </c>
      <c r="FB70" s="63" t="n">
        <v>15191</v>
      </c>
      <c r="FC70" s="63" t="n">
        <v>15219.7</v>
      </c>
      <c r="FD70" s="63" t="n">
        <v>15288.5</v>
      </c>
      <c r="FE70" s="63" t="n">
        <v>15389.3</v>
      </c>
      <c r="FF70" s="63" t="n">
        <v>15482.5</v>
      </c>
      <c r="FG70" s="63" t="n">
        <v>15610.8</v>
      </c>
      <c r="FH70" s="63" t="n">
        <v>15713.3</v>
      </c>
      <c r="FI70" s="63" t="n">
        <v>15863.2</v>
      </c>
      <c r="FJ70" s="63" t="n">
        <v>16005.3</v>
      </c>
      <c r="FK70" s="63" t="n">
        <v>16174</v>
      </c>
      <c r="FL70" s="63" t="n">
        <v>16339.8</v>
      </c>
      <c r="FM70" s="63" t="n">
        <v>16427.1</v>
      </c>
      <c r="FN70" s="63" t="n">
        <v>16596.6</v>
      </c>
      <c r="FO70" s="63" t="n">
        <v>16735.8</v>
      </c>
      <c r="FP70" s="63" t="n">
        <v>16896.7</v>
      </c>
      <c r="FQ70" s="63" t="n">
        <v>17058.8</v>
      </c>
      <c r="FR70" s="63" t="n">
        <v>17204.8</v>
      </c>
      <c r="FS70" s="63" t="n">
        <v>17333.2</v>
      </c>
      <c r="FT70" s="63" t="n">
        <v>17495.4</v>
      </c>
      <c r="FU70" s="63" t="n">
        <v>17682.1</v>
      </c>
      <c r="FV70" s="63" t="n">
        <v>17839.7</v>
      </c>
      <c r="FW70" s="63" t="n">
        <v>18025.5</v>
      </c>
      <c r="FX70" s="63" t="n">
        <v>18190.9</v>
      </c>
      <c r="FY70" s="63" t="n">
        <v>18308.7</v>
      </c>
      <c r="FZ70" s="63" t="n">
        <v>18390</v>
      </c>
      <c r="GA70" s="63" t="n">
        <v>18577.9</v>
      </c>
      <c r="GB70" s="63" t="n">
        <v>18721.2</v>
      </c>
      <c r="GC70" s="63" t="n">
        <v>18806.1</v>
      </c>
      <c r="GD70" s="63" t="n">
        <v>18876.8</v>
      </c>
      <c r="GE70" s="63" t="n">
        <v>19095.6</v>
      </c>
      <c r="GF70" s="63" t="n">
        <v>19233.5</v>
      </c>
      <c r="GG70" s="63" t="n">
        <v>19419.4</v>
      </c>
      <c r="GH70" s="63" t="n">
        <v>19605.5</v>
      </c>
      <c r="GI70" s="63" t="n">
        <v>19752.6</v>
      </c>
      <c r="GJ70" s="63" t="n">
        <v>19940.9</v>
      </c>
      <c r="GK70" s="63" t="n">
        <v>20170.6</v>
      </c>
      <c r="GL70" s="63" t="n">
        <v>20390</v>
      </c>
      <c r="GM70" s="63" t="n">
        <v>20664</v>
      </c>
      <c r="GN70" s="63" t="n">
        <v>20835.6</v>
      </c>
      <c r="GO70" s="63" t="n">
        <v>21033.7</v>
      </c>
      <c r="GP70" s="63" t="n">
        <v>21219.1</v>
      </c>
      <c r="GQ70" s="63" t="n">
        <v>21443.3</v>
      </c>
      <c r="GR70" s="63" t="n">
        <v>21621.4</v>
      </c>
      <c r="GS70" s="63" t="n">
        <v>21808.8</v>
      </c>
      <c r="GT70" s="63" t="n">
        <v>22002.2</v>
      </c>
      <c r="GU70" s="63" t="n">
        <v>22018.9</v>
      </c>
      <c r="GV70" s="63" t="n">
        <v>22295.7</v>
      </c>
      <c r="GW70" s="63" t="n">
        <v>22534.2</v>
      </c>
      <c r="GX70" s="63" t="n">
        <v>22914.8</v>
      </c>
      <c r="GY70" s="63" t="n">
        <v>23373.1</v>
      </c>
      <c r="GZ70" s="63" t="n">
        <v>23833.5</v>
      </c>
      <c r="HA70" s="63" t="n">
        <v>24338.8</v>
      </c>
      <c r="HB70" s="63" t="n">
        <v>24943.6</v>
      </c>
      <c r="HC70" t="n">
        <v>25607.6</v>
      </c>
      <c r="HD70" t="n">
        <v>25993.6</v>
      </c>
      <c r="HE70" t="n">
        <v>26355.7</v>
      </c>
    </row>
    <row r="71">
      <c r="A71" s="63" t="s">
        <v>2505</v>
      </c>
      <c r="B71" s="63" t="n">
        <v>1</v>
      </c>
      <c r="C71" s="63" t="n">
        <v>1</v>
      </c>
      <c r="D71" s="63" t="n">
        <v>1</v>
      </c>
      <c r="E71" s="63" t="n">
        <v>1</v>
      </c>
      <c r="F71" s="63" t="n">
        <v>-1</v>
      </c>
      <c r="G71" s="63" t="n">
        <v>-1</v>
      </c>
      <c r="H71" s="63" t="n">
        <v>-1</v>
      </c>
      <c r="I71" s="63" t="n">
        <v>-1</v>
      </c>
      <c r="J71" s="63" t="n">
        <v>-1</v>
      </c>
      <c r="K71" s="63" t="n">
        <v>-1</v>
      </c>
      <c r="L71" s="63" t="n">
        <v>-1</v>
      </c>
      <c r="M71" s="63" t="n">
        <v>-1</v>
      </c>
      <c r="N71" s="63" t="n">
        <v>-1</v>
      </c>
      <c r="O71" s="63" t="n">
        <v>-1</v>
      </c>
      <c r="P71" s="63" t="n">
        <v>-1</v>
      </c>
      <c r="Q71" s="63" t="n">
        <v>1</v>
      </c>
      <c r="R71" s="63" t="n">
        <v>1</v>
      </c>
      <c r="S71" s="63" t="n">
        <v>1</v>
      </c>
      <c r="T71" s="63" t="n">
        <v>1</v>
      </c>
      <c r="U71" s="63" t="n">
        <v>1</v>
      </c>
      <c r="V71" s="63" t="n">
        <v>1</v>
      </c>
      <c r="W71" s="63" t="n">
        <v>-1</v>
      </c>
      <c r="X71" s="63" t="n">
        <v>-1</v>
      </c>
      <c r="Y71" s="63" t="n">
        <v>-1</v>
      </c>
      <c r="Z71" s="63" t="n">
        <v>-1</v>
      </c>
      <c r="AA71" s="63" t="n">
        <v>-1</v>
      </c>
      <c r="AB71" s="63" t="n">
        <v>-1</v>
      </c>
      <c r="AC71" s="63" t="n">
        <v>-1</v>
      </c>
      <c r="AD71" s="63" t="n">
        <v>-1</v>
      </c>
      <c r="AE71" s="63" t="n">
        <v>-1</v>
      </c>
      <c r="AF71" s="63" t="n">
        <v>-1</v>
      </c>
      <c r="AG71" s="63" t="n">
        <v>-1</v>
      </c>
      <c r="AH71" s="63" t="n">
        <v>-1</v>
      </c>
      <c r="AI71" s="63" t="n">
        <v>-1</v>
      </c>
      <c r="AJ71" s="63" t="n">
        <v>-1</v>
      </c>
      <c r="AK71" s="63" t="n">
        <v>-1</v>
      </c>
      <c r="AL71" s="63" t="n">
        <v>-1</v>
      </c>
      <c r="AM71" s="63" t="n">
        <v>-1</v>
      </c>
      <c r="AN71" s="63" t="n">
        <v>-1</v>
      </c>
      <c r="AO71" s="63" t="n">
        <v>-1</v>
      </c>
      <c r="AP71" s="63" t="n">
        <v>1</v>
      </c>
      <c r="AQ71" s="63" t="n">
        <v>1</v>
      </c>
      <c r="AR71" s="63" t="n">
        <v>1</v>
      </c>
      <c r="AS71" s="63" t="n">
        <v>-1</v>
      </c>
      <c r="AT71" s="63" t="n">
        <v>-1</v>
      </c>
      <c r="AU71" s="63" t="n">
        <v>-1</v>
      </c>
      <c r="AV71" s="63" t="n">
        <v>1</v>
      </c>
      <c r="AW71" s="63" t="n">
        <v>1</v>
      </c>
      <c r="AX71" s="63" t="n">
        <v>1</v>
      </c>
      <c r="AY71" s="63" t="n">
        <v>1</v>
      </c>
      <c r="AZ71" s="63" t="n">
        <v>1</v>
      </c>
      <c r="BA71" s="63" t="n">
        <v>1</v>
      </c>
      <c r="BB71" s="63" t="n">
        <v>-1</v>
      </c>
      <c r="BC71" s="63" t="n">
        <v>-1</v>
      </c>
      <c r="BD71" s="63" t="n">
        <v>-1</v>
      </c>
      <c r="BE71" s="63" t="n">
        <v>-1</v>
      </c>
      <c r="BF71" s="63" t="n">
        <v>-1</v>
      </c>
      <c r="BG71" s="63" t="n">
        <v>-1</v>
      </c>
      <c r="BH71" s="63" t="n">
        <v>-1</v>
      </c>
      <c r="BI71" s="63" t="n">
        <v>-1</v>
      </c>
      <c r="BJ71" s="63" t="n">
        <v>-1</v>
      </c>
      <c r="BK71" s="63" t="n">
        <v>-1</v>
      </c>
      <c r="BL71" s="63" t="n">
        <v>-1</v>
      </c>
      <c r="BM71" s="63" t="n">
        <v>-1</v>
      </c>
      <c r="BN71" s="63" t="n">
        <v>-1</v>
      </c>
      <c r="BO71" s="63" t="n">
        <v>-1</v>
      </c>
      <c r="BP71" s="63" t="n">
        <v>-1</v>
      </c>
      <c r="BQ71" s="63" t="n">
        <v>-1</v>
      </c>
      <c r="BR71" s="63" t="n">
        <v>-1</v>
      </c>
      <c r="BS71" s="63" t="n">
        <v>-1</v>
      </c>
      <c r="BT71" s="63" t="n">
        <v>-1</v>
      </c>
      <c r="BU71" s="63" t="n">
        <v>-1</v>
      </c>
      <c r="BV71" s="63" t="n">
        <v>-1</v>
      </c>
      <c r="BW71" s="63" t="n">
        <v>-1</v>
      </c>
      <c r="BX71" s="63" t="n">
        <v>-1</v>
      </c>
      <c r="BY71" s="63" t="n">
        <v>-1</v>
      </c>
      <c r="BZ71" s="63" t="n">
        <v>-1</v>
      </c>
      <c r="CA71" s="63" t="n">
        <v>-1</v>
      </c>
      <c r="CB71" s="63" t="n">
        <v>-1</v>
      </c>
      <c r="CC71" s="63" t="n">
        <v>-1</v>
      </c>
      <c r="CD71" s="63" t="n">
        <v>-1</v>
      </c>
      <c r="CE71" s="63" t="n">
        <v>-1</v>
      </c>
      <c r="CF71" s="63" t="n">
        <v>1</v>
      </c>
      <c r="CG71" s="63" t="n">
        <v>1</v>
      </c>
      <c r="CH71" s="63" t="n">
        <v>1</v>
      </c>
      <c r="CI71" s="63" t="n">
        <v>-1</v>
      </c>
      <c r="CJ71" s="63" t="n">
        <v>-1</v>
      </c>
      <c r="CK71" s="63" t="n">
        <v>-1</v>
      </c>
      <c r="CL71" s="63" t="n">
        <v>-1</v>
      </c>
      <c r="CM71" s="63" t="n">
        <v>-1</v>
      </c>
      <c r="CN71" s="63" t="n">
        <v>-1</v>
      </c>
      <c r="CO71" s="63" t="n">
        <v>-1</v>
      </c>
      <c r="CP71" s="63" t="n">
        <v>-1</v>
      </c>
      <c r="CQ71" s="63" t="n">
        <v>-1</v>
      </c>
      <c r="CR71" s="63" t="n">
        <v>-1</v>
      </c>
      <c r="CS71" s="63" t="n">
        <v>-1</v>
      </c>
      <c r="CT71" s="63" t="n">
        <v>-1</v>
      </c>
      <c r="CU71" s="63" t="n">
        <v>-1</v>
      </c>
      <c r="CV71" s="63" t="n">
        <v>-1</v>
      </c>
      <c r="CW71" s="63" t="n">
        <v>-1</v>
      </c>
      <c r="CX71" s="63" t="n">
        <v>-1</v>
      </c>
      <c r="CY71" s="63" t="n">
        <v>-1</v>
      </c>
      <c r="CZ71" s="63" t="n">
        <v>-1</v>
      </c>
      <c r="DA71" s="63" t="n">
        <v>-1</v>
      </c>
      <c r="DB71" s="63" t="n">
        <v>-1</v>
      </c>
      <c r="DC71" s="63" t="n">
        <v>-1</v>
      </c>
      <c r="DD71" s="63" t="n">
        <v>-1</v>
      </c>
      <c r="DE71" s="63" t="n">
        <v>-1</v>
      </c>
      <c r="DF71" s="63" t="n">
        <v>-1</v>
      </c>
      <c r="DG71" s="63" t="n">
        <v>-1</v>
      </c>
      <c r="DH71" s="63" t="n">
        <v>-1</v>
      </c>
      <c r="DI71" s="63" t="n">
        <v>-1</v>
      </c>
      <c r="DJ71" s="63" t="n">
        <v>-1</v>
      </c>
      <c r="DK71" s="63" t="n">
        <v>-1</v>
      </c>
      <c r="DL71" s="63" t="n">
        <v>-1</v>
      </c>
      <c r="DM71" s="63" t="n">
        <v>-1</v>
      </c>
      <c r="DN71" s="63" t="n">
        <v>-1</v>
      </c>
      <c r="DO71" s="63" t="n">
        <v>-1</v>
      </c>
      <c r="DP71" s="63" t="n">
        <v>-1</v>
      </c>
      <c r="DQ71" s="63" t="n">
        <v>-1</v>
      </c>
      <c r="DR71" s="63" t="n">
        <v>-1</v>
      </c>
      <c r="DS71" s="63" t="n">
        <v>-1</v>
      </c>
      <c r="DT71" s="63" t="n">
        <v>-1</v>
      </c>
      <c r="DU71" s="63" t="n">
        <v>-1</v>
      </c>
      <c r="DV71" s="63" t="n">
        <v>1</v>
      </c>
      <c r="DW71" s="63" t="n">
        <v>1</v>
      </c>
      <c r="DX71" s="63" t="n">
        <v>1</v>
      </c>
      <c r="DY71" s="63" t="n">
        <v>1</v>
      </c>
      <c r="DZ71" s="63" t="n">
        <v>-1</v>
      </c>
      <c r="EA71" s="63" t="n">
        <v>-1</v>
      </c>
      <c r="EB71" s="63" t="n">
        <v>-1</v>
      </c>
      <c r="EC71" s="63" t="n">
        <v>-1</v>
      </c>
      <c r="ED71" s="63" t="n">
        <v>-1</v>
      </c>
      <c r="EE71" s="63" t="n">
        <v>-1</v>
      </c>
      <c r="EF71" s="63" t="n">
        <v>-1</v>
      </c>
      <c r="EG71" s="63" t="n">
        <v>-1</v>
      </c>
      <c r="EH71" s="63" t="n">
        <v>-1</v>
      </c>
      <c r="EI71" s="63" t="n">
        <v>-1</v>
      </c>
      <c r="EJ71" s="63" t="n">
        <v>-1</v>
      </c>
      <c r="EK71" s="63" t="n">
        <v>-1</v>
      </c>
      <c r="EL71" s="63" t="n">
        <v>-1</v>
      </c>
      <c r="EM71" s="63" t="n">
        <v>-1</v>
      </c>
      <c r="EN71" s="63" t="n">
        <v>-1</v>
      </c>
      <c r="EO71" s="63" t="n">
        <v>-1</v>
      </c>
      <c r="EP71" s="63" t="n">
        <v>-1</v>
      </c>
      <c r="EQ71" s="63" t="n">
        <v>-1</v>
      </c>
      <c r="ER71" s="63" t="n">
        <v>-1</v>
      </c>
      <c r="ES71" s="63" t="n">
        <v>-1</v>
      </c>
      <c r="ET71" s="63" t="n">
        <v>-1</v>
      </c>
      <c r="EU71" s="63" t="n">
        <v>-1</v>
      </c>
      <c r="EV71" s="63" t="n">
        <v>-1</v>
      </c>
      <c r="EW71" s="63" t="n">
        <v>1</v>
      </c>
      <c r="EX71" s="63" t="n">
        <v>1</v>
      </c>
      <c r="EY71" s="63" t="n">
        <v>1</v>
      </c>
      <c r="EZ71" s="63" t="n">
        <v>1</v>
      </c>
      <c r="FA71" s="63" t="n">
        <v>1</v>
      </c>
      <c r="FB71" s="63" t="n">
        <v>1</v>
      </c>
      <c r="FC71" s="63" t="n">
        <v>1</v>
      </c>
      <c r="FD71" s="63" t="n">
        <v>-1</v>
      </c>
      <c r="FE71" s="63" t="n">
        <v>-1</v>
      </c>
      <c r="FF71" s="63" t="n">
        <v>-1</v>
      </c>
      <c r="FG71" s="63" t="n">
        <v>-1</v>
      </c>
      <c r="FH71" s="63" t="n">
        <v>-1</v>
      </c>
      <c r="FI71" s="63" t="n">
        <v>-1</v>
      </c>
      <c r="FJ71" s="63" t="n">
        <v>-1</v>
      </c>
      <c r="FK71" s="63" t="n">
        <v>-1</v>
      </c>
      <c r="FL71" s="63" t="n">
        <v>-1</v>
      </c>
      <c r="FM71" s="63" t="n">
        <v>-1</v>
      </c>
      <c r="FN71" s="63" t="n">
        <v>-1</v>
      </c>
      <c r="FO71" s="63" t="n">
        <v>-1</v>
      </c>
      <c r="FP71" s="63" t="n">
        <v>-1</v>
      </c>
      <c r="FQ71" s="63" t="n">
        <v>-1</v>
      </c>
      <c r="FR71" s="63" t="n">
        <v>-1</v>
      </c>
      <c r="FS71" s="63" t="n">
        <v>-1</v>
      </c>
      <c r="FT71" s="63" t="n">
        <v>-1</v>
      </c>
      <c r="FU71" s="63" t="n">
        <v>-1</v>
      </c>
      <c r="FV71" s="63" t="n">
        <v>-1</v>
      </c>
      <c r="FW71" s="63" t="n">
        <v>-1</v>
      </c>
      <c r="FX71" s="63" t="n">
        <v>-1</v>
      </c>
      <c r="FY71" s="63" t="n">
        <v>-1</v>
      </c>
      <c r="FZ71" s="63" t="n">
        <v>-1</v>
      </c>
      <c r="GA71" s="63" t="n">
        <v>-1</v>
      </c>
      <c r="GB71" s="63" t="n">
        <v>-1</v>
      </c>
      <c r="GC71" s="63" t="n">
        <v>-1</v>
      </c>
      <c r="GD71" s="63" t="n">
        <v>-1</v>
      </c>
      <c r="GE71" s="63" t="n">
        <v>-1</v>
      </c>
      <c r="GF71" s="63" t="n">
        <v>-1</v>
      </c>
      <c r="GG71" s="63" t="n">
        <v>-1</v>
      </c>
      <c r="GH71" s="63" t="n">
        <v>-1</v>
      </c>
      <c r="GI71" s="63" t="n">
        <v>-1</v>
      </c>
      <c r="GJ71" s="63" t="n">
        <v>-1</v>
      </c>
      <c r="GK71" s="63" t="n">
        <v>-1</v>
      </c>
      <c r="GL71" s="63" t="n">
        <v>-1</v>
      </c>
      <c r="GM71" s="63" t="n">
        <v>-1</v>
      </c>
      <c r="GN71" s="63" t="n">
        <v>-1</v>
      </c>
      <c r="GO71" s="63" t="n">
        <v>-1</v>
      </c>
      <c r="GP71" s="63" t="n">
        <v>-1</v>
      </c>
      <c r="GQ71" s="63" t="n">
        <v>-1</v>
      </c>
      <c r="GR71" s="63" t="n">
        <v>-1</v>
      </c>
      <c r="GS71" s="63" t="n">
        <v>1</v>
      </c>
      <c r="GT71" s="63" t="n">
        <v>1</v>
      </c>
      <c r="GU71" s="63" t="n">
        <v>1</v>
      </c>
      <c r="GV71" s="63" t="n">
        <v>-1</v>
      </c>
      <c r="GW71" s="63" t="n">
        <v>-1</v>
      </c>
      <c r="GX71" s="63" t="n">
        <v>-1</v>
      </c>
      <c r="GY71" s="63" t="n">
        <v>-1</v>
      </c>
      <c r="GZ71" s="63" t="n">
        <v>-1</v>
      </c>
      <c r="HA71" s="63" t="n">
        <v>-1</v>
      </c>
      <c r="HB71" s="63" t="n">
        <v>-1</v>
      </c>
      <c r="HC71" t="n">
        <v>-1</v>
      </c>
      <c r="HD71" t="n">
        <v>-1</v>
      </c>
      <c r="HE71" t="n">
        <v>-1</v>
      </c>
    </row>
    <row r="72">
      <c r="A72" s="63" t="s">
        <v>2506</v>
      </c>
      <c r="B72" s="63" t="n">
        <v>2613.33333333333</v>
      </c>
      <c r="C72" s="63" t="n">
        <v>2648.33333333333</v>
      </c>
      <c r="D72" s="63" t="n">
        <v>2681.66666666667</v>
      </c>
      <c r="E72" s="63" t="n">
        <v>2716.33333333333</v>
      </c>
      <c r="F72" s="63" t="n">
        <v>2719.33333333333</v>
      </c>
      <c r="G72" s="63" t="n">
        <v>2739.66666666667</v>
      </c>
      <c r="H72" s="63" t="n">
        <v>2751.66666666667</v>
      </c>
      <c r="I72" s="63" t="n">
        <v>2781</v>
      </c>
      <c r="J72" s="63" t="n">
        <v>2815</v>
      </c>
      <c r="K72" s="63" t="n">
        <v>2849</v>
      </c>
      <c r="L72" s="63" t="n">
        <v>2874</v>
      </c>
      <c r="M72" s="63" t="n">
        <v>2901.33333333333</v>
      </c>
      <c r="N72" s="63" t="n">
        <v>2899.66666666667</v>
      </c>
      <c r="O72" s="63" t="n">
        <v>2911.66666666667</v>
      </c>
      <c r="P72" s="63" t="n">
        <v>2926.33333333333</v>
      </c>
      <c r="Q72" s="63" t="n">
        <v>2953.33333333333</v>
      </c>
      <c r="R72" s="63" t="n">
        <v>2988.66666666667</v>
      </c>
      <c r="S72" s="63" t="n">
        <v>3018</v>
      </c>
      <c r="T72" s="63" t="n">
        <v>3048.33333333333</v>
      </c>
      <c r="U72" s="63" t="n">
        <v>3099</v>
      </c>
      <c r="V72" s="63" t="n">
        <v>3161.66666666667</v>
      </c>
      <c r="W72" s="63" t="n">
        <v>3177.33333333333</v>
      </c>
      <c r="X72" s="63" t="n">
        <v>3178</v>
      </c>
      <c r="Y72" s="63" t="n">
        <v>3197.33333333333</v>
      </c>
      <c r="Z72" s="63" t="n">
        <v>3214.33333333333</v>
      </c>
      <c r="AA72" s="63" t="n">
        <v>3241.66666666667</v>
      </c>
      <c r="AB72" s="63" t="n">
        <v>3290.66666666667</v>
      </c>
      <c r="AC72" s="63" t="n">
        <v>3342</v>
      </c>
      <c r="AD72" s="63" t="n">
        <v>3341.33333333333</v>
      </c>
      <c r="AE72" s="63" t="n">
        <v>3374.66666666667</v>
      </c>
      <c r="AF72" s="63" t="n">
        <v>3385</v>
      </c>
      <c r="AG72" s="63" t="n">
        <v>3404.66666666667</v>
      </c>
      <c r="AH72" s="63" t="n">
        <v>3442.33333333333</v>
      </c>
      <c r="AI72" s="63" t="n">
        <v>3479</v>
      </c>
      <c r="AJ72" s="63" t="n">
        <v>3477.33333333333</v>
      </c>
      <c r="AK72" s="63" t="n">
        <v>3494</v>
      </c>
      <c r="AL72" s="63" t="n">
        <v>3504.33333333333</v>
      </c>
      <c r="AM72" s="63" t="n">
        <v>3518</v>
      </c>
      <c r="AN72" s="63" t="n">
        <v>3560.66666666667</v>
      </c>
      <c r="AO72" s="63" t="n">
        <v>3579.33333333333</v>
      </c>
      <c r="AP72" s="63" t="n">
        <v>3582</v>
      </c>
      <c r="AQ72" s="63" t="n">
        <v>3602.66666666667</v>
      </c>
      <c r="AR72" s="63" t="n">
        <v>3624</v>
      </c>
      <c r="AS72" s="63" t="n">
        <v>3630.66666666667</v>
      </c>
      <c r="AT72" s="63" t="n">
        <v>3636</v>
      </c>
      <c r="AU72" s="63" t="n">
        <v>3631.66666666667</v>
      </c>
      <c r="AV72" s="63" t="n">
        <v>3640</v>
      </c>
      <c r="AW72" s="63" t="n">
        <v>3653</v>
      </c>
      <c r="AX72" s="63" t="n">
        <v>3645.66666666667</v>
      </c>
      <c r="AY72" s="63" t="n">
        <v>3647.33333333333</v>
      </c>
      <c r="AZ72" s="63" t="n">
        <v>3625.66666666667</v>
      </c>
      <c r="BA72" s="63" t="n">
        <v>3640.33333333333</v>
      </c>
      <c r="BB72" s="63" t="n">
        <v>3650.33333333333</v>
      </c>
      <c r="BC72" s="63" t="n">
        <v>3656</v>
      </c>
      <c r="BD72" s="63" t="n">
        <v>3671.33333333333</v>
      </c>
      <c r="BE72" s="63" t="n">
        <v>3671.66666666667</v>
      </c>
      <c r="BF72" s="63" t="n">
        <v>3687</v>
      </c>
      <c r="BG72" s="63" t="n">
        <v>3720</v>
      </c>
      <c r="BH72" s="63" t="n">
        <v>3758</v>
      </c>
      <c r="BI72" s="63" t="n">
        <v>3773</v>
      </c>
      <c r="BJ72" s="63" t="n">
        <v>3798.33333333333</v>
      </c>
      <c r="BK72" s="63" t="n">
        <v>3819.33333333333</v>
      </c>
      <c r="BL72" s="63" t="n">
        <v>3844.33333333333</v>
      </c>
      <c r="BM72" s="63" t="n">
        <v>3864.33333333333</v>
      </c>
      <c r="BN72" s="63" t="n">
        <v>3872.33333333333</v>
      </c>
      <c r="BO72" s="63" t="n">
        <v>3883</v>
      </c>
      <c r="BP72" s="63" t="n">
        <v>3889.33333333333</v>
      </c>
      <c r="BQ72" s="63" t="n">
        <v>3926.66666666667</v>
      </c>
      <c r="BR72" s="63" t="n">
        <v>3943.66666666667</v>
      </c>
      <c r="BS72" s="63" t="n">
        <v>3953</v>
      </c>
      <c r="BT72" s="63" t="n">
        <v>3969</v>
      </c>
      <c r="BU72" s="63" t="n">
        <v>4000.66666666667</v>
      </c>
      <c r="BV72" s="63" t="n">
        <v>4030.66666666667</v>
      </c>
      <c r="BW72" s="63" t="n">
        <v>4065.33333333333</v>
      </c>
      <c r="BX72" s="63" t="n">
        <v>4094.33333333333</v>
      </c>
      <c r="BY72" s="63" t="n">
        <v>4114.66666666667</v>
      </c>
      <c r="BZ72" s="63" t="n">
        <v>4135.66666666667</v>
      </c>
      <c r="CA72" s="63" t="n">
        <v>4169</v>
      </c>
      <c r="CB72" s="63" t="n">
        <v>4201.33333333333</v>
      </c>
      <c r="CC72" s="63" t="n">
        <v>4221</v>
      </c>
      <c r="CD72" s="63" t="n">
        <v>4258</v>
      </c>
      <c r="CE72" s="63" t="n">
        <v>4295.66666666667</v>
      </c>
      <c r="CF72" s="63" t="n">
        <v>4322.66666666667</v>
      </c>
      <c r="CG72" s="63" t="n">
        <v>4342.66666666667</v>
      </c>
      <c r="CH72" s="63" t="n">
        <v>4358</v>
      </c>
      <c r="CI72" s="63" t="n">
        <v>4362.33333333333</v>
      </c>
      <c r="CJ72" s="63" t="n">
        <v>4345</v>
      </c>
      <c r="CK72" s="63" t="n">
        <v>4354.33333333333</v>
      </c>
      <c r="CL72" s="63" t="n">
        <v>4372</v>
      </c>
      <c r="CM72" s="63" t="n">
        <v>4395.66666666667</v>
      </c>
      <c r="CN72" s="63" t="n">
        <v>4425.33333333333</v>
      </c>
      <c r="CO72" s="63" t="n">
        <v>4438</v>
      </c>
      <c r="CP72" s="63" t="n">
        <v>4456</v>
      </c>
      <c r="CQ72" s="63" t="n">
        <v>4478</v>
      </c>
      <c r="CR72" s="63" t="n">
        <v>4496</v>
      </c>
      <c r="CS72" s="63" t="n">
        <v>4515</v>
      </c>
      <c r="CT72" s="63" t="n">
        <v>4523.66666666667</v>
      </c>
      <c r="CU72" s="63" t="n">
        <v>4555.33333333333</v>
      </c>
      <c r="CV72" s="63" t="n">
        <v>4600</v>
      </c>
      <c r="CW72" s="63" t="n">
        <v>4626.33333333333</v>
      </c>
      <c r="CX72" s="63" t="n">
        <v>4649.66666666667</v>
      </c>
      <c r="CY72" s="63" t="n">
        <v>4643</v>
      </c>
      <c r="CZ72" s="63" t="n">
        <v>4623.66666666667</v>
      </c>
      <c r="DA72" s="63" t="n">
        <v>4624.66666666667</v>
      </c>
      <c r="DB72" s="63" t="n">
        <v>4621.33333333333</v>
      </c>
      <c r="DC72" s="63" t="n">
        <v>4618.33333333333</v>
      </c>
      <c r="DD72" s="63" t="n">
        <v>4600.33333333333</v>
      </c>
      <c r="DE72" s="63" t="n">
        <v>4581.33333333333</v>
      </c>
      <c r="DF72" s="63" t="n">
        <v>4574.33333333333</v>
      </c>
      <c r="DG72" s="63" t="n">
        <v>4577</v>
      </c>
      <c r="DH72" s="63" t="n">
        <v>4589</v>
      </c>
      <c r="DI72" s="63" t="n">
        <v>4583</v>
      </c>
      <c r="DJ72" s="63" t="n">
        <v>4578</v>
      </c>
      <c r="DK72" s="63" t="n">
        <v>4596.66666666667</v>
      </c>
      <c r="DL72" s="63" t="n">
        <v>4631.66666666667</v>
      </c>
      <c r="DM72" s="63" t="n">
        <v>4640.66666666667</v>
      </c>
      <c r="DN72" s="63" t="n">
        <v>4669</v>
      </c>
      <c r="DO72" s="63" t="n">
        <v>4688.33333333333</v>
      </c>
      <c r="DP72" s="63" t="n">
        <v>4717.33333333333</v>
      </c>
      <c r="DQ72" s="63" t="n">
        <v>4757.33333333333</v>
      </c>
      <c r="DR72" s="63" t="n">
        <v>4768</v>
      </c>
      <c r="DS72" s="63" t="n">
        <v>4779.33333333333</v>
      </c>
      <c r="DT72" s="63" t="n">
        <v>4793.33333333333</v>
      </c>
      <c r="DU72" s="63" t="n">
        <v>4809</v>
      </c>
      <c r="DV72" s="63" t="n">
        <v>4832</v>
      </c>
      <c r="DW72" s="63" t="n">
        <v>4877.66666666667</v>
      </c>
      <c r="DX72" s="63" t="n">
        <v>4936.66666666667</v>
      </c>
      <c r="DY72" s="63" t="n">
        <v>4977.33333333333</v>
      </c>
      <c r="DZ72" s="63" t="n">
        <v>5004.33333333333</v>
      </c>
      <c r="EA72" s="63" t="n">
        <v>5039</v>
      </c>
      <c r="EB72" s="63" t="n">
        <v>5052.66666666667</v>
      </c>
      <c r="EC72" s="63" t="n">
        <v>5020.66666666667</v>
      </c>
      <c r="ED72" s="63" t="n">
        <v>5029.33333333333</v>
      </c>
      <c r="EE72" s="63" t="n">
        <v>5007.66666666667</v>
      </c>
      <c r="EF72" s="63" t="n">
        <v>4978.66666666667</v>
      </c>
      <c r="EG72" s="63" t="n">
        <v>4985.33333333333</v>
      </c>
      <c r="EH72" s="63" t="n">
        <v>4968.33333333333</v>
      </c>
      <c r="EI72" s="63" t="n">
        <v>4974</v>
      </c>
      <c r="EJ72" s="63" t="n">
        <v>4984</v>
      </c>
      <c r="EK72" s="63" t="n">
        <v>4995.33333333333</v>
      </c>
      <c r="EL72" s="63" t="n">
        <v>5015.66666666667</v>
      </c>
      <c r="EM72" s="63" t="n">
        <v>5023.33333333333</v>
      </c>
      <c r="EN72" s="63" t="n">
        <v>5039.33333333333</v>
      </c>
      <c r="EO72" s="63" t="n">
        <v>5047.66666666667</v>
      </c>
      <c r="EP72" s="63" t="n">
        <v>5047</v>
      </c>
      <c r="EQ72" s="63" t="n">
        <v>5068.33333333333</v>
      </c>
      <c r="ER72" s="63" t="n">
        <v>5086</v>
      </c>
      <c r="ES72" s="63" t="n">
        <v>5098.33333333333</v>
      </c>
      <c r="ET72" s="63" t="n">
        <v>5106.33333333333</v>
      </c>
      <c r="EU72" s="63" t="n">
        <v>5124.33333333333</v>
      </c>
      <c r="EV72" s="63" t="n">
        <v>5122</v>
      </c>
      <c r="EW72" s="63" t="n">
        <v>5136</v>
      </c>
      <c r="EX72" s="63" t="n">
        <v>5148.66666666667</v>
      </c>
      <c r="EY72" s="63" t="n">
        <v>5166</v>
      </c>
      <c r="EZ72" s="63" t="n">
        <v>5196.33333333333</v>
      </c>
      <c r="FA72" s="63" t="n">
        <v>5189</v>
      </c>
      <c r="FB72" s="63" t="n">
        <v>5192</v>
      </c>
      <c r="FC72" s="63" t="n">
        <v>5181.66666666667</v>
      </c>
      <c r="FD72" s="63" t="n">
        <v>5145.33333333333</v>
      </c>
      <c r="FE72" s="63" t="n">
        <v>5153.33333333333</v>
      </c>
      <c r="FF72" s="63" t="n">
        <v>5144</v>
      </c>
      <c r="FG72" s="63" t="n">
        <v>5136.66666666667</v>
      </c>
      <c r="FH72" s="63" t="n">
        <v>5129.33333333333</v>
      </c>
      <c r="FI72" s="63" t="n">
        <v>5137</v>
      </c>
      <c r="FJ72" s="63" t="n">
        <v>5113.33333333333</v>
      </c>
      <c r="FK72" s="63" t="n">
        <v>5084.33333333333</v>
      </c>
      <c r="FL72" s="63" t="n">
        <v>5069.66666666667</v>
      </c>
      <c r="FM72" s="63" t="n">
        <v>5051</v>
      </c>
      <c r="FN72" s="63" t="n">
        <v>5048</v>
      </c>
      <c r="FO72" s="63" t="n">
        <v>5055.33333333333</v>
      </c>
      <c r="FP72" s="63" t="n">
        <v>5064.66666666667</v>
      </c>
      <c r="FQ72" s="63" t="n">
        <v>5051.66666666667</v>
      </c>
      <c r="FR72" s="63" t="n">
        <v>5042</v>
      </c>
      <c r="FS72" s="63" t="n">
        <v>5044.66666666667</v>
      </c>
      <c r="FT72" s="63" t="n">
        <v>5040</v>
      </c>
      <c r="FU72" s="63" t="n">
        <v>5055.33333333333</v>
      </c>
      <c r="FV72" s="63" t="n">
        <v>5054.66666666667</v>
      </c>
      <c r="FW72" s="63" t="n">
        <v>5054.66666666667</v>
      </c>
      <c r="FX72" s="63" t="n">
        <v>5030.66666666667</v>
      </c>
      <c r="FY72" s="63" t="n">
        <v>5052.66666666667</v>
      </c>
      <c r="FZ72" s="63" t="n">
        <v>5067.66666666667</v>
      </c>
      <c r="GA72" s="63" t="n">
        <v>5072.33333333333</v>
      </c>
      <c r="GB72" s="63" t="n">
        <v>5077.66666666667</v>
      </c>
      <c r="GC72" s="63" t="n">
        <v>5087.33333333333</v>
      </c>
      <c r="GD72" s="63" t="n">
        <v>5089</v>
      </c>
      <c r="GE72" s="63" t="n">
        <v>5098.66666666667</v>
      </c>
      <c r="GF72" s="63" t="n">
        <v>5126.66666666667</v>
      </c>
      <c r="GG72" s="63" t="n">
        <v>5135.33333333333</v>
      </c>
      <c r="GH72" s="63" t="n">
        <v>5159.66666666667</v>
      </c>
      <c r="GI72" s="63" t="n">
        <v>5174.66666666667</v>
      </c>
      <c r="GJ72" s="63" t="n">
        <v>5163.66666666667</v>
      </c>
      <c r="GK72" s="63" t="n">
        <v>5157.33333333333</v>
      </c>
      <c r="GL72" s="63" t="n">
        <v>5157.33333333333</v>
      </c>
      <c r="GM72" s="63" t="n">
        <v>5176.66666666667</v>
      </c>
      <c r="GN72" s="63" t="n">
        <v>5177.33333333333</v>
      </c>
      <c r="GO72" s="63" t="n">
        <v>5174.66666666667</v>
      </c>
      <c r="GP72" s="63" t="n">
        <v>5183</v>
      </c>
      <c r="GQ72" s="63" t="n">
        <v>5171.33333333333</v>
      </c>
      <c r="GR72" s="63" t="n">
        <v>5207.66666666667</v>
      </c>
      <c r="GS72" s="63" t="n">
        <v>5244</v>
      </c>
      <c r="GT72" s="63" t="n">
        <v>5284.66666666667</v>
      </c>
      <c r="GU72" s="63" t="n">
        <v>5079.33333333333</v>
      </c>
      <c r="GV72" s="63" t="n">
        <v>5094</v>
      </c>
      <c r="GW72" s="63" t="n">
        <v>5075.66666666667</v>
      </c>
      <c r="GX72" s="63" t="n">
        <v>5174.66666666667</v>
      </c>
      <c r="GY72" s="63" t="n">
        <v>5186.66666666667</v>
      </c>
      <c r="GZ72" s="63" t="n">
        <v>5150</v>
      </c>
      <c r="HA72" s="63" t="n">
        <v>5121.66666666667</v>
      </c>
      <c r="HB72" s="63" t="n">
        <v>5084</v>
      </c>
      <c r="HC72" t="n">
        <v>5086.33333333333</v>
      </c>
      <c r="HD72" t="n">
        <v>5109</v>
      </c>
      <c r="HE72" t="n">
        <v>5099.33333333333</v>
      </c>
    </row>
    <row r="73">
      <c r="A73" s="63" t="s">
        <v>2507</v>
      </c>
      <c r="B73" s="63" t="n">
        <v>7048.66666666667</v>
      </c>
      <c r="C73" s="63" t="n">
        <v>7104.33333333333</v>
      </c>
      <c r="D73" s="63" t="n">
        <v>7204.33333333333</v>
      </c>
      <c r="E73" s="63" t="n">
        <v>7279.33333333333</v>
      </c>
      <c r="F73" s="63" t="n">
        <v>7353.33333333333</v>
      </c>
      <c r="G73" s="63" t="n">
        <v>7419.66666666667</v>
      </c>
      <c r="H73" s="63" t="n">
        <v>7443.66666666667</v>
      </c>
      <c r="I73" s="63" t="n">
        <v>7534</v>
      </c>
      <c r="J73" s="63" t="n">
        <v>7651.66666666667</v>
      </c>
      <c r="K73" s="63" t="n">
        <v>7726.33333333333</v>
      </c>
      <c r="L73" s="63" t="n">
        <v>7855</v>
      </c>
      <c r="M73" s="63" t="n">
        <v>7931.33333333333</v>
      </c>
      <c r="N73" s="63" t="n">
        <v>8016</v>
      </c>
      <c r="O73" s="63" t="n">
        <v>8115</v>
      </c>
      <c r="P73" s="63" t="n">
        <v>8183.66666666667</v>
      </c>
      <c r="Q73" s="63" t="n">
        <v>8272.33333333333</v>
      </c>
      <c r="R73" s="63" t="n">
        <v>8307.66666666667</v>
      </c>
      <c r="S73" s="63" t="n">
        <v>8346.33333333333</v>
      </c>
      <c r="T73" s="63" t="n">
        <v>8424.66666666667</v>
      </c>
      <c r="U73" s="63" t="n">
        <v>8551.33333333333</v>
      </c>
      <c r="V73" s="63" t="n">
        <v>8673</v>
      </c>
      <c r="W73" s="63" t="n">
        <v>8751.33333333333</v>
      </c>
      <c r="X73" s="63" t="n">
        <v>8786.33333333333</v>
      </c>
      <c r="Y73" s="63" t="n">
        <v>8824.66666666667</v>
      </c>
      <c r="Z73" s="63" t="n">
        <v>8883</v>
      </c>
      <c r="AA73" s="63" t="n">
        <v>8868.66666666667</v>
      </c>
      <c r="AB73" s="63" t="n">
        <v>8845</v>
      </c>
      <c r="AC73" s="63" t="n">
        <v>8861</v>
      </c>
      <c r="AD73" s="63" t="n">
        <v>8860.66666666667</v>
      </c>
      <c r="AE73" s="63" t="n">
        <v>8907.33333333333</v>
      </c>
      <c r="AF73" s="63" t="n">
        <v>9099.33333333333</v>
      </c>
      <c r="AG73" s="63" t="n">
        <v>9231</v>
      </c>
      <c r="AH73" s="63" t="n">
        <v>9348.33333333333</v>
      </c>
      <c r="AI73" s="63" t="n">
        <v>9466</v>
      </c>
      <c r="AJ73" s="63" t="n">
        <v>9492.33333333333</v>
      </c>
      <c r="AK73" s="63" t="n">
        <v>9482.66666666667</v>
      </c>
      <c r="AL73" s="63" t="n">
        <v>9531.33333333333</v>
      </c>
      <c r="AM73" s="63" t="n">
        <v>9604.33333333333</v>
      </c>
      <c r="AN73" s="63" t="n">
        <v>9710.66666666667</v>
      </c>
      <c r="AO73" s="63" t="n">
        <v>9697.33333333333</v>
      </c>
      <c r="AP73" s="63" t="n">
        <v>9741.33333333333</v>
      </c>
      <c r="AQ73" s="63" t="n">
        <v>9749.33333333333</v>
      </c>
      <c r="AR73" s="63" t="n">
        <v>9782.33333333333</v>
      </c>
      <c r="AS73" s="63" t="n">
        <v>9793</v>
      </c>
      <c r="AT73" s="63" t="n">
        <v>9750.33333333333</v>
      </c>
      <c r="AU73" s="63" t="n">
        <v>9665</v>
      </c>
      <c r="AV73" s="63" t="n">
        <v>9547.66666666667</v>
      </c>
      <c r="AW73" s="63" t="n">
        <v>9507</v>
      </c>
      <c r="AX73" s="63" t="n">
        <v>9484.33333333333</v>
      </c>
      <c r="AY73" s="63" t="n">
        <v>9495.66666666667</v>
      </c>
      <c r="AZ73" s="63" t="n">
        <v>9409.66666666667</v>
      </c>
      <c r="BA73" s="63" t="n">
        <v>9437</v>
      </c>
      <c r="BB73" s="63" t="n">
        <v>9447.33333333333</v>
      </c>
      <c r="BC73" s="63" t="n">
        <v>9445.33333333333</v>
      </c>
      <c r="BD73" s="63" t="n">
        <v>9433</v>
      </c>
      <c r="BE73" s="63" t="n">
        <v>9401.66666666667</v>
      </c>
      <c r="BF73" s="63" t="n">
        <v>9412</v>
      </c>
      <c r="BG73" s="63" t="n">
        <v>9445.33333333333</v>
      </c>
      <c r="BH73" s="63" t="n">
        <v>9509</v>
      </c>
      <c r="BI73" s="63" t="n">
        <v>9555</v>
      </c>
      <c r="BJ73" s="63" t="n">
        <v>9595.66666666667</v>
      </c>
      <c r="BK73" s="63" t="n">
        <v>9640.33333333333</v>
      </c>
      <c r="BL73" s="63" t="n">
        <v>9746.66666666667</v>
      </c>
      <c r="BM73" s="63" t="n">
        <v>9764.33333333333</v>
      </c>
      <c r="BN73" s="63" t="n">
        <v>9815.33333333333</v>
      </c>
      <c r="BO73" s="63" t="n">
        <v>9854.33333333333</v>
      </c>
      <c r="BP73" s="63" t="n">
        <v>9906.66666666667</v>
      </c>
      <c r="BQ73" s="63" t="n">
        <v>10024.3333333333</v>
      </c>
      <c r="BR73" s="63" t="n">
        <v>10039.3333333333</v>
      </c>
      <c r="BS73" s="63" t="n">
        <v>10083.3333333333</v>
      </c>
      <c r="BT73" s="63" t="n">
        <v>10092.3333333333</v>
      </c>
      <c r="BU73" s="63" t="n">
        <v>10184.6666666667</v>
      </c>
      <c r="BV73" s="63" t="n">
        <v>10250.6666666667</v>
      </c>
      <c r="BW73" s="63" t="n">
        <v>10315.3333333333</v>
      </c>
      <c r="BX73" s="63" t="n">
        <v>10341.6666666667</v>
      </c>
      <c r="BY73" s="63" t="n">
        <v>10446.6666666667</v>
      </c>
      <c r="BZ73" s="63" t="n">
        <v>10510.6666666667</v>
      </c>
      <c r="CA73" s="63" t="n">
        <v>10566.3333333333</v>
      </c>
      <c r="CB73" s="63" t="n">
        <v>10640.6666666667</v>
      </c>
      <c r="CC73" s="63" t="n">
        <v>10719.6666666667</v>
      </c>
      <c r="CD73" s="63" t="n">
        <v>10814</v>
      </c>
      <c r="CE73" s="63" t="n">
        <v>10873</v>
      </c>
      <c r="CF73" s="63" t="n">
        <v>10967.3333333333</v>
      </c>
      <c r="CG73" s="63" t="n">
        <v>11000.3333333333</v>
      </c>
      <c r="CH73" s="63" t="n">
        <v>11027</v>
      </c>
      <c r="CI73" s="63" t="n">
        <v>11057.3333333333</v>
      </c>
      <c r="CJ73" s="63" t="n">
        <v>11099.3333333333</v>
      </c>
      <c r="CK73" s="63" t="n">
        <v>11139.3333333333</v>
      </c>
      <c r="CL73" s="63" t="n">
        <v>11199</v>
      </c>
      <c r="CM73" s="63" t="n">
        <v>11238</v>
      </c>
      <c r="CN73" s="63" t="n">
        <v>11306.6666666667</v>
      </c>
      <c r="CO73" s="63" t="n">
        <v>11319.6666666667</v>
      </c>
      <c r="CP73" s="63" t="n">
        <v>11366.6666666667</v>
      </c>
      <c r="CQ73" s="63" t="n">
        <v>11407.6666666667</v>
      </c>
      <c r="CR73" s="63" t="n">
        <v>11483</v>
      </c>
      <c r="CS73" s="63" t="n">
        <v>11520.6666666667</v>
      </c>
      <c r="CT73" s="63" t="n">
        <v>11591.3333333333</v>
      </c>
      <c r="CU73" s="63" t="n">
        <v>11672.3333333333</v>
      </c>
      <c r="CV73" s="63" t="n">
        <v>11710.3333333333</v>
      </c>
      <c r="CW73" s="63" t="n">
        <v>11752</v>
      </c>
      <c r="CX73" s="63" t="n">
        <v>11791.3333333333</v>
      </c>
      <c r="CY73" s="63" t="n">
        <v>11828.6666666667</v>
      </c>
      <c r="CZ73" s="63" t="n">
        <v>11868</v>
      </c>
      <c r="DA73" s="63" t="n">
        <v>11923</v>
      </c>
      <c r="DB73" s="63" t="n">
        <v>11966</v>
      </c>
      <c r="DC73" s="63" t="n">
        <v>12017.3333333333</v>
      </c>
      <c r="DD73" s="63" t="n">
        <v>12067</v>
      </c>
      <c r="DE73" s="63" t="n">
        <v>12139</v>
      </c>
      <c r="DF73" s="63" t="n">
        <v>12185.6666666667</v>
      </c>
      <c r="DG73" s="63" t="n">
        <v>12229.6666666667</v>
      </c>
      <c r="DH73" s="63" t="n">
        <v>12296</v>
      </c>
      <c r="DI73" s="63" t="n">
        <v>12380</v>
      </c>
      <c r="DJ73" s="63" t="n">
        <v>12437.3333333333</v>
      </c>
      <c r="DK73" s="63" t="n">
        <v>12501.3333333333</v>
      </c>
      <c r="DL73" s="63" t="n">
        <v>12553.3333333333</v>
      </c>
      <c r="DM73" s="63" t="n">
        <v>12616.3333333333</v>
      </c>
      <c r="DN73" s="63" t="n">
        <v>12694.6666666667</v>
      </c>
      <c r="DO73" s="63" t="n">
        <v>12783.3333333333</v>
      </c>
      <c r="DP73" s="63" t="n">
        <v>12887.3333333333</v>
      </c>
      <c r="DQ73" s="63" t="n">
        <v>12972.3333333333</v>
      </c>
      <c r="DR73" s="63" t="n">
        <v>13050.3333333333</v>
      </c>
      <c r="DS73" s="63" t="n">
        <v>13113</v>
      </c>
      <c r="DT73" s="63" t="n">
        <v>13168</v>
      </c>
      <c r="DU73" s="63" t="n">
        <v>13220.6666666667</v>
      </c>
      <c r="DV73" s="63" t="n">
        <v>13310</v>
      </c>
      <c r="DW73" s="63" t="n">
        <v>13410.6666666667</v>
      </c>
      <c r="DX73" s="63" t="n">
        <v>13500.6666666667</v>
      </c>
      <c r="DY73" s="63" t="n">
        <v>13583.6666666667</v>
      </c>
      <c r="DZ73" s="63" t="n">
        <v>13639</v>
      </c>
      <c r="EA73" s="63" t="n">
        <v>13699.3333333333</v>
      </c>
      <c r="EB73" s="63" t="n">
        <v>13744.6666666667</v>
      </c>
      <c r="EC73" s="63" t="n">
        <v>13775</v>
      </c>
      <c r="ED73" s="63" t="n">
        <v>13801</v>
      </c>
      <c r="EE73" s="63" t="n">
        <v>13820</v>
      </c>
      <c r="EF73" s="63" t="n">
        <v>13832.3333333333</v>
      </c>
      <c r="EG73" s="63" t="n">
        <v>13824.3333333333</v>
      </c>
      <c r="EH73" s="63" t="n">
        <v>13859</v>
      </c>
      <c r="EI73" s="63" t="n">
        <v>13898</v>
      </c>
      <c r="EJ73" s="63" t="n">
        <v>13909.3333333333</v>
      </c>
      <c r="EK73" s="63" t="n">
        <v>13958.6666666667</v>
      </c>
      <c r="EL73" s="63" t="n">
        <v>13994.6666666667</v>
      </c>
      <c r="EM73" s="63" t="n">
        <v>14012</v>
      </c>
      <c r="EN73" s="63" t="n">
        <v>14085.3333333333</v>
      </c>
      <c r="EO73" s="63" t="n">
        <v>14072.3333333333</v>
      </c>
      <c r="EP73" s="63" t="n">
        <v>14098</v>
      </c>
      <c r="EQ73" s="63" t="n">
        <v>14119.6666666667</v>
      </c>
      <c r="ER73" s="63" t="n">
        <v>14201</v>
      </c>
      <c r="ES73" s="63" t="n">
        <v>14251.3333333333</v>
      </c>
      <c r="ET73" s="63" t="n">
        <v>14287.3333333333</v>
      </c>
      <c r="EU73" s="63" t="n">
        <v>14336</v>
      </c>
      <c r="EV73" s="63" t="n">
        <v>14369.3333333333</v>
      </c>
      <c r="EW73" s="63" t="n">
        <v>14455</v>
      </c>
      <c r="EX73" s="63" t="n">
        <v>14521.6666666667</v>
      </c>
      <c r="EY73" s="63" t="n">
        <v>14560.3333333333</v>
      </c>
      <c r="EZ73" s="63" t="n">
        <v>14594</v>
      </c>
      <c r="FA73" s="63" t="n">
        <v>14591</v>
      </c>
      <c r="FB73" s="63" t="n">
        <v>14587</v>
      </c>
      <c r="FC73" s="63" t="n">
        <v>14576.3333333333</v>
      </c>
      <c r="FD73" s="63" t="n">
        <v>14532</v>
      </c>
      <c r="FE73" s="63" t="n">
        <v>14521</v>
      </c>
      <c r="FF73" s="63" t="n">
        <v>14466</v>
      </c>
      <c r="FG73" s="63" t="n">
        <v>14434</v>
      </c>
      <c r="FH73" s="63" t="n">
        <v>14327.6666666667</v>
      </c>
      <c r="FI73" s="63" t="n">
        <v>14279</v>
      </c>
      <c r="FJ73" s="63" t="n">
        <v>14232.6666666667</v>
      </c>
      <c r="FK73" s="63" t="n">
        <v>14207.6666666667</v>
      </c>
      <c r="FL73" s="63" t="n">
        <v>14094</v>
      </c>
      <c r="FM73" s="63" t="n">
        <v>14080.6666666667</v>
      </c>
      <c r="FN73" s="63" t="n">
        <v>14067.6666666667</v>
      </c>
      <c r="FO73" s="63" t="n">
        <v>14044.3333333333</v>
      </c>
      <c r="FP73" s="63" t="n">
        <v>14034.3333333333</v>
      </c>
      <c r="FQ73" s="63" t="n">
        <v>14026.3333333333</v>
      </c>
      <c r="FR73" s="63" t="n">
        <v>14029.3333333333</v>
      </c>
      <c r="FS73" s="63" t="n">
        <v>14033</v>
      </c>
      <c r="FT73" s="63" t="n">
        <v>14031</v>
      </c>
      <c r="FU73" s="63" t="n">
        <v>14033.6666666667</v>
      </c>
      <c r="FV73" s="63" t="n">
        <v>14037.6666666667</v>
      </c>
      <c r="FW73" s="63" t="n">
        <v>14077</v>
      </c>
      <c r="FX73" s="63" t="n">
        <v>14120</v>
      </c>
      <c r="FY73" s="63" t="n">
        <v>14140</v>
      </c>
      <c r="FZ73" s="63" t="n">
        <v>14155</v>
      </c>
      <c r="GA73" s="63" t="n">
        <v>14181.6666666667</v>
      </c>
      <c r="GB73" s="63" t="n">
        <v>14214</v>
      </c>
      <c r="GC73" s="63" t="n">
        <v>14223.6666666667</v>
      </c>
      <c r="GD73" s="63" t="n">
        <v>14277</v>
      </c>
      <c r="GE73" s="63" t="n">
        <v>14297.6666666667</v>
      </c>
      <c r="GF73" s="63" t="n">
        <v>14369</v>
      </c>
      <c r="GG73" s="63" t="n">
        <v>14351</v>
      </c>
      <c r="GH73" s="63" t="n">
        <v>14352.3333333333</v>
      </c>
      <c r="GI73" s="63" t="n">
        <v>14369</v>
      </c>
      <c r="GJ73" s="63" t="n">
        <v>14373</v>
      </c>
      <c r="GK73" s="63" t="n">
        <v>14421.6666666667</v>
      </c>
      <c r="GL73" s="63" t="n">
        <v>14457.3333333333</v>
      </c>
      <c r="GM73" s="63" t="n">
        <v>14484.6666666667</v>
      </c>
      <c r="GN73" s="63" t="n">
        <v>14480.3333333333</v>
      </c>
      <c r="GO73" s="63" t="n">
        <v>14505.6666666667</v>
      </c>
      <c r="GP73" s="63" t="n">
        <v>14552.3333333333</v>
      </c>
      <c r="GQ73" s="63" t="n">
        <v>14585</v>
      </c>
      <c r="GR73" s="63" t="n">
        <v>14547</v>
      </c>
      <c r="GS73" s="63" t="n">
        <v>14621.3333333333</v>
      </c>
      <c r="GT73" s="63" t="n">
        <v>14684.6666666667</v>
      </c>
      <c r="GU73" s="63" t="n">
        <v>13616.6666666667</v>
      </c>
      <c r="GV73" s="63" t="n">
        <v>13656.6666666667</v>
      </c>
      <c r="GW73" s="63" t="n">
        <v>13710</v>
      </c>
      <c r="GX73" s="63" t="n">
        <v>13757</v>
      </c>
      <c r="GY73" s="63" t="n">
        <v>13873</v>
      </c>
      <c r="GZ73" s="63" t="n">
        <v>14032</v>
      </c>
      <c r="HA73" s="63" t="n">
        <v>14044.6666666667</v>
      </c>
      <c r="HB73" s="63" t="n">
        <v>14119</v>
      </c>
      <c r="HC73" t="n">
        <v>14161.3333333333</v>
      </c>
      <c r="HD73" t="n">
        <v>14242.3333333333</v>
      </c>
      <c r="HE73" t="n">
        <v>14328.6666666667</v>
      </c>
    </row>
    <row r="74">
      <c r="A74" s="63" t="s">
        <v>2508</v>
      </c>
      <c r="B74" s="63" t="n">
        <v>23545.6666666667</v>
      </c>
      <c r="C74" s="63" t="n">
        <v>24037</v>
      </c>
      <c r="D74" s="63" t="n">
        <v>25485.6666666667</v>
      </c>
      <c r="E74" s="63" t="n">
        <v>25754.6666666667</v>
      </c>
      <c r="F74" s="63" t="n">
        <v>25713</v>
      </c>
      <c r="G74" s="63" t="n">
        <v>25998.6666666667</v>
      </c>
      <c r="H74" s="63" t="n">
        <v>25691</v>
      </c>
      <c r="I74" s="63" t="n">
        <v>26178.6666666667</v>
      </c>
      <c r="J74" s="63" t="n">
        <v>25519</v>
      </c>
      <c r="K74" s="63" t="n">
        <v>24875</v>
      </c>
      <c r="L74" s="63" t="n">
        <v>25641</v>
      </c>
      <c r="M74" s="63" t="n">
        <v>27114.3333333333</v>
      </c>
      <c r="N74" s="63" t="n">
        <v>27472.6666666667</v>
      </c>
      <c r="O74" s="63" t="n">
        <v>27079.3333333333</v>
      </c>
      <c r="P74" s="63" t="n">
        <v>27510</v>
      </c>
      <c r="Q74" s="63" t="n">
        <v>28620</v>
      </c>
      <c r="R74" s="63" t="n">
        <v>30923.6666666667</v>
      </c>
      <c r="S74" s="63" t="n">
        <v>33400.6666666667</v>
      </c>
      <c r="T74" s="63" t="n">
        <v>33701.6666666667</v>
      </c>
      <c r="U74" s="63" t="n">
        <v>33884</v>
      </c>
      <c r="V74" s="63" t="n">
        <v>37820.3333333333</v>
      </c>
      <c r="W74" s="63" t="n">
        <v>35429.6666666667</v>
      </c>
      <c r="X74" s="63" t="n">
        <v>36988.3333333333</v>
      </c>
      <c r="Y74" s="63" t="n">
        <v>39554</v>
      </c>
      <c r="Z74" s="63" t="n">
        <v>42554</v>
      </c>
      <c r="AA74" s="63" t="n">
        <v>38830.6666666667</v>
      </c>
      <c r="AB74" s="63" t="n">
        <v>36130</v>
      </c>
      <c r="AC74" s="63" t="n">
        <v>34359.6666666667</v>
      </c>
      <c r="AD74" s="63" t="n">
        <v>36034</v>
      </c>
      <c r="AE74" s="63" t="n">
        <v>37037.6666666667</v>
      </c>
      <c r="AF74" s="63" t="n">
        <v>35666.3333333333</v>
      </c>
      <c r="AG74" s="63" t="n">
        <v>35160</v>
      </c>
      <c r="AH74" s="63" t="n">
        <v>34095.3333333333</v>
      </c>
      <c r="AI74" s="63" t="n">
        <v>41889.6666666667</v>
      </c>
      <c r="AJ74" s="63" t="n">
        <v>43760.6666666667</v>
      </c>
      <c r="AK74" s="63" t="n">
        <v>45015.3333333333</v>
      </c>
      <c r="AL74" s="63" t="n">
        <v>40794</v>
      </c>
      <c r="AM74" s="63" t="n">
        <v>45875.3333333333</v>
      </c>
      <c r="AN74" s="63" t="n">
        <v>49343.6666666667</v>
      </c>
      <c r="AO74" s="63" t="n">
        <v>52609</v>
      </c>
      <c r="AP74" s="63" t="n">
        <v>55934.3333333333</v>
      </c>
      <c r="AQ74" s="63" t="n">
        <v>54112</v>
      </c>
      <c r="AR74" s="63" t="n">
        <v>52797</v>
      </c>
      <c r="AS74" s="63" t="n">
        <v>54381</v>
      </c>
      <c r="AT74" s="63" t="n">
        <v>60484</v>
      </c>
      <c r="AU74" s="63" t="n">
        <v>53862</v>
      </c>
      <c r="AV74" s="63" t="n">
        <v>52044</v>
      </c>
      <c r="AW74" s="63" t="n">
        <v>54313.6666666667</v>
      </c>
      <c r="AX74" s="63" t="n">
        <v>51944</v>
      </c>
      <c r="AY74" s="63" t="n">
        <v>52182.6666666667</v>
      </c>
      <c r="AZ74" s="63" t="n">
        <v>52486.3333333333</v>
      </c>
      <c r="BA74" s="63" t="n">
        <v>54765.3333333333</v>
      </c>
      <c r="BB74" s="63" t="n">
        <v>52678.3333333333</v>
      </c>
      <c r="BC74" s="63" t="n">
        <v>51386</v>
      </c>
      <c r="BD74" s="63" t="n">
        <v>53662.3333333333</v>
      </c>
      <c r="BE74" s="63" t="n">
        <v>53249</v>
      </c>
      <c r="BF74" s="63" t="n">
        <v>55752.3333333333</v>
      </c>
      <c r="BG74" s="63" t="n">
        <v>57382.6666666667</v>
      </c>
      <c r="BH74" s="63" t="n">
        <v>59910.3333333333</v>
      </c>
      <c r="BI74" s="63" t="n">
        <v>60890.6666666667</v>
      </c>
      <c r="BJ74" s="63" t="n">
        <v>62514.6666666667</v>
      </c>
      <c r="BK74" s="63" t="n">
        <v>65739.3333333333</v>
      </c>
      <c r="BL74" s="63" t="n">
        <v>67220</v>
      </c>
      <c r="BM74" s="63" t="n">
        <v>66558.3333333333</v>
      </c>
      <c r="BN74" s="63" t="n">
        <v>70815.3333333333</v>
      </c>
      <c r="BO74" s="63" t="n">
        <v>72215.3333333333</v>
      </c>
      <c r="BP74" s="63" t="n">
        <v>73843.3333333333</v>
      </c>
      <c r="BQ74" s="63" t="n">
        <v>71122.6666666667</v>
      </c>
      <c r="BR74" s="63" t="n">
        <v>75290</v>
      </c>
      <c r="BS74" s="63" t="n">
        <v>75025.6666666667</v>
      </c>
      <c r="BT74" s="63" t="n">
        <v>77047</v>
      </c>
      <c r="BU74" s="63" t="n">
        <v>78058</v>
      </c>
      <c r="BV74" s="63" t="n">
        <v>79349.6666666667</v>
      </c>
      <c r="BW74" s="63" t="n">
        <v>83348</v>
      </c>
      <c r="BX74" s="63" t="n">
        <v>82022.6666666667</v>
      </c>
      <c r="BY74" s="63" t="n">
        <v>84604</v>
      </c>
      <c r="BZ74" s="63" t="n">
        <v>83566.6666666667</v>
      </c>
      <c r="CA74" s="63" t="n">
        <v>85684</v>
      </c>
      <c r="CB74" s="63" t="n">
        <v>85730.3333333333</v>
      </c>
      <c r="CC74" s="63" t="n">
        <v>89358.3333333333</v>
      </c>
      <c r="CD74" s="63" t="n">
        <v>94388.3333333333</v>
      </c>
      <c r="CE74" s="63" t="n">
        <v>93807</v>
      </c>
      <c r="CF74" s="63" t="n">
        <v>94972</v>
      </c>
      <c r="CG74" s="63" t="n">
        <v>98807.6666666667</v>
      </c>
      <c r="CH74" s="63" t="n">
        <v>95253.6666666667</v>
      </c>
      <c r="CI74" s="63" t="n">
        <v>96128.6666666667</v>
      </c>
      <c r="CJ74" s="63" t="n">
        <v>97326.3333333333</v>
      </c>
      <c r="CK74" s="63" t="n">
        <v>99221</v>
      </c>
      <c r="CL74" s="63" t="n">
        <v>106368.666666667</v>
      </c>
      <c r="CM74" s="63" t="n">
        <v>103446</v>
      </c>
      <c r="CN74" s="63" t="n">
        <v>99580.3333333333</v>
      </c>
      <c r="CO74" s="63" t="n">
        <v>98022.3333333333</v>
      </c>
      <c r="CP74" s="63" t="n">
        <v>102495</v>
      </c>
      <c r="CQ74" s="63" t="n">
        <v>111962</v>
      </c>
      <c r="CR74" s="63" t="n">
        <v>116124.666666667</v>
      </c>
      <c r="CS74" s="63" t="n">
        <v>118029</v>
      </c>
      <c r="CT74" s="63" t="n">
        <v>111803</v>
      </c>
      <c r="CU74" s="63" t="n">
        <v>113545</v>
      </c>
      <c r="CV74" s="63" t="n">
        <v>118942</v>
      </c>
      <c r="CW74" s="63" t="n">
        <v>117294.333333333</v>
      </c>
      <c r="CX74" s="63" t="n">
        <v>116848.666666667</v>
      </c>
      <c r="CY74" s="63" t="n">
        <v>124434.333333333</v>
      </c>
      <c r="CZ74" s="63" t="n">
        <v>125240</v>
      </c>
      <c r="DA74" s="63" t="n">
        <v>127572.666666667</v>
      </c>
      <c r="DB74" s="63" t="n">
        <v>126179.333333333</v>
      </c>
      <c r="DC74" s="63" t="n">
        <v>131672</v>
      </c>
      <c r="DD74" s="63" t="n">
        <v>131615</v>
      </c>
      <c r="DE74" s="63" t="n">
        <v>135638.666666667</v>
      </c>
      <c r="DF74" s="63" t="n">
        <v>135471.666666667</v>
      </c>
      <c r="DG74" s="63" t="n">
        <v>139479.333333333</v>
      </c>
      <c r="DH74" s="63" t="n">
        <v>141385.333333333</v>
      </c>
      <c r="DI74" s="63" t="n">
        <v>140102.666666667</v>
      </c>
      <c r="DJ74" s="63" t="n">
        <v>133975</v>
      </c>
      <c r="DK74" s="63" t="n">
        <v>137818</v>
      </c>
      <c r="DL74" s="63" t="n">
        <v>143529.333333333</v>
      </c>
      <c r="DM74" s="63" t="n">
        <v>144434.666666667</v>
      </c>
      <c r="DN74" s="63" t="n">
        <v>150497</v>
      </c>
      <c r="DO74" s="63" t="n">
        <v>152515.333333333</v>
      </c>
      <c r="DP74" s="63" t="n">
        <v>155465.333333333</v>
      </c>
      <c r="DQ74" s="63" t="n">
        <v>163365.333333333</v>
      </c>
      <c r="DR74" s="63" t="n">
        <v>168776.333333333</v>
      </c>
      <c r="DS74" s="63" t="n">
        <v>165200.666666667</v>
      </c>
      <c r="DT74" s="63" t="n">
        <v>166145</v>
      </c>
      <c r="DU74" s="63" t="n">
        <v>170616.666666667</v>
      </c>
      <c r="DV74" s="63" t="n">
        <v>176411.333333333</v>
      </c>
      <c r="DW74" s="63" t="n">
        <v>189275.666666667</v>
      </c>
      <c r="DX74" s="63" t="n">
        <v>187116</v>
      </c>
      <c r="DY74" s="63" t="n">
        <v>193037.666666667</v>
      </c>
      <c r="DZ74" s="63" t="n">
        <v>198023.333333333</v>
      </c>
      <c r="EA74" s="63" t="n">
        <v>194794</v>
      </c>
      <c r="EB74" s="63" t="n">
        <v>196443.666666667</v>
      </c>
      <c r="EC74" s="63" t="n">
        <v>199770.666666667</v>
      </c>
      <c r="ED74" s="63" t="n">
        <v>197410.666666667</v>
      </c>
      <c r="EE74" s="63" t="n">
        <v>195858</v>
      </c>
      <c r="EF74" s="63" t="n">
        <v>200686</v>
      </c>
      <c r="EG74" s="63" t="n">
        <v>199340</v>
      </c>
      <c r="EH74" s="63" t="n">
        <v>197322.333333333</v>
      </c>
      <c r="EI74" s="63" t="n">
        <v>202356.333333333</v>
      </c>
      <c r="EJ74" s="63" t="n">
        <v>202328</v>
      </c>
      <c r="EK74" s="63" t="n">
        <v>204931</v>
      </c>
      <c r="EL74" s="63" t="n">
        <v>207202</v>
      </c>
      <c r="EM74" s="63" t="n">
        <v>215946</v>
      </c>
      <c r="EN74" s="63" t="n">
        <v>219407.666666667</v>
      </c>
      <c r="EO74" s="63" t="n">
        <v>222763.666666667</v>
      </c>
      <c r="EP74" s="63" t="n">
        <v>230117.666666667</v>
      </c>
      <c r="EQ74" s="63" t="n">
        <v>238436</v>
      </c>
      <c r="ER74" s="63" t="n">
        <v>238965</v>
      </c>
      <c r="ES74" s="63" t="n">
        <v>242956.333333333</v>
      </c>
      <c r="ET74" s="63" t="n">
        <v>258254.333333333</v>
      </c>
      <c r="EU74" s="63" t="n">
        <v>266203.666666667</v>
      </c>
      <c r="EV74" s="63" t="n">
        <v>271640.333333333</v>
      </c>
      <c r="EW74" s="63" t="n">
        <v>276454.666666667</v>
      </c>
      <c r="EX74" s="63" t="n">
        <v>278038.333333333</v>
      </c>
      <c r="EY74" s="63" t="n">
        <v>283074.333333333</v>
      </c>
      <c r="EZ74" s="63" t="n">
        <v>287093.666666667</v>
      </c>
      <c r="FA74" s="63" t="n">
        <v>288334</v>
      </c>
      <c r="FB74" s="63" t="n">
        <v>289591.333333333</v>
      </c>
      <c r="FC74" s="63" t="n">
        <v>292223.666666667</v>
      </c>
      <c r="FD74" s="63" t="n">
        <v>287368</v>
      </c>
      <c r="FE74" s="63" t="n">
        <v>274301</v>
      </c>
      <c r="FF74" s="63" t="n">
        <v>268022</v>
      </c>
      <c r="FG74" s="63" t="n">
        <v>274526.666666667</v>
      </c>
      <c r="FH74" s="63" t="n">
        <v>277232.333333333</v>
      </c>
      <c r="FI74" s="63" t="n">
        <v>269906.333333333</v>
      </c>
      <c r="FJ74" s="63" t="n">
        <v>258077</v>
      </c>
      <c r="FK74" s="63" t="n">
        <v>251739</v>
      </c>
      <c r="FL74" s="63" t="n">
        <v>253215.333333333</v>
      </c>
      <c r="FM74" s="63" t="n">
        <v>258046</v>
      </c>
      <c r="FN74" s="63" t="n">
        <v>254528.333333333</v>
      </c>
      <c r="FO74" s="63" t="n">
        <v>254598.666666667</v>
      </c>
      <c r="FP74" s="63" t="n">
        <v>252248.666666667</v>
      </c>
      <c r="FQ74" s="63" t="n">
        <v>246424.333333333</v>
      </c>
      <c r="FR74" s="63" t="n">
        <v>242924.333333333</v>
      </c>
      <c r="FS74" s="63" t="n">
        <v>245991.666666667</v>
      </c>
      <c r="FT74" s="63" t="n">
        <v>249225</v>
      </c>
      <c r="FU74" s="63" t="n">
        <v>247543.333333333</v>
      </c>
      <c r="FV74" s="63" t="n">
        <v>242281</v>
      </c>
      <c r="FW74" s="63" t="n">
        <v>251080</v>
      </c>
      <c r="FX74" s="63" t="n">
        <v>258128</v>
      </c>
      <c r="FY74" s="63" t="n">
        <v>260687.666666667</v>
      </c>
      <c r="FZ74" s="63" t="n">
        <v>259584</v>
      </c>
      <c r="GA74" s="63" t="n">
        <v>273165.333333333</v>
      </c>
      <c r="GB74" s="63" t="n">
        <v>279160.666666667</v>
      </c>
      <c r="GC74" s="63" t="n">
        <v>269714.666666667</v>
      </c>
      <c r="GD74" s="63" t="n">
        <v>278563.666666667</v>
      </c>
      <c r="GE74" s="63" t="n">
        <v>273593</v>
      </c>
      <c r="GF74" s="63" t="n">
        <v>272377.333333333</v>
      </c>
      <c r="GG74" s="63" t="n">
        <v>276592.666666667</v>
      </c>
      <c r="GH74" s="63" t="n">
        <v>271856</v>
      </c>
      <c r="GI74" s="63" t="n">
        <v>273771.333333333</v>
      </c>
      <c r="GJ74" s="63" t="n">
        <v>275470.666666667</v>
      </c>
      <c r="GK74" s="63" t="n">
        <v>281189</v>
      </c>
      <c r="GL74" s="63" t="n">
        <v>280599.333333333</v>
      </c>
      <c r="GM74" s="63" t="n">
        <v>290744</v>
      </c>
      <c r="GN74" s="63" t="n">
        <v>293899.666666667</v>
      </c>
      <c r="GO74" s="63" t="n">
        <v>285701.333333333</v>
      </c>
      <c r="GP74" s="63" t="n">
        <v>301796.666666667</v>
      </c>
      <c r="GQ74" s="63" t="n">
        <v>321096.666666667</v>
      </c>
      <c r="GR74" s="63" t="n">
        <v>323544.666666667</v>
      </c>
      <c r="GS74" s="63" t="n">
        <v>324180</v>
      </c>
      <c r="GT74" s="63" t="n">
        <v>343321</v>
      </c>
      <c r="GU74" s="63" t="n">
        <v>343294.666666667</v>
      </c>
      <c r="GV74" s="63" t="n">
        <v>335480.333333333</v>
      </c>
      <c r="GW74" s="63" t="n">
        <v>340639.333333333</v>
      </c>
      <c r="GX74" s="63" t="n">
        <v>333692.333333333</v>
      </c>
      <c r="GY74" s="63" t="n">
        <v>326769.333333333</v>
      </c>
      <c r="GZ74" s="63" t="n">
        <v>316338.333333333</v>
      </c>
      <c r="HA74" s="63" t="n">
        <v>316806</v>
      </c>
      <c r="HB74" t="n">
        <v>319298.666666667</v>
      </c>
      <c r="HC74" t="n">
        <v>323005.666666667</v>
      </c>
      <c r="HD74" t="n">
        <v>343544</v>
      </c>
      <c r="HE74" t="n">
        <v>353967.666666667</v>
      </c>
    </row>
    <row r="75">
      <c r="A75" s="63" t="s">
        <v>2509</v>
      </c>
      <c r="B75" s="63" t="n">
        <v>0.014432117337345</v>
      </c>
      <c r="C75" s="63" t="n">
        <v>0.014432117337345</v>
      </c>
      <c r="D75" s="63" t="n">
        <v>0.00820241901849017</v>
      </c>
      <c r="E75" s="63" t="n">
        <v>0.0130998345284059</v>
      </c>
      <c r="F75" s="63" t="n">
        <v>0.0151535774238918</v>
      </c>
      <c r="G75" s="63" t="n">
        <v>0.01336312849162</v>
      </c>
      <c r="H75" s="63" t="n">
        <v>0.0100996736350003</v>
      </c>
      <c r="I75" s="63" t="n">
        <v>0.00825219403571587</v>
      </c>
      <c r="J75" s="63" t="n">
        <v>0.0160661701022</v>
      </c>
      <c r="K75" s="63" t="n">
        <v>0.00609470229723397</v>
      </c>
      <c r="L75" s="63" t="n">
        <v>0.00906549182411243</v>
      </c>
      <c r="M75" s="63" t="n">
        <v>0.0113350125944585</v>
      </c>
      <c r="N75" s="63" t="n">
        <v>0.0127023661270238</v>
      </c>
      <c r="O75" s="63" t="n">
        <v>0.0165600918183308</v>
      </c>
      <c r="P75" s="63" t="n">
        <v>0.0190725806451613</v>
      </c>
      <c r="Q75" s="63" t="n">
        <v>0.0173307482293357</v>
      </c>
      <c r="R75" s="63" t="n">
        <v>0.020263700361713</v>
      </c>
      <c r="S75" s="63" t="n">
        <v>0.0222247636474535</v>
      </c>
      <c r="T75" s="63" t="n">
        <v>0.030803654670893</v>
      </c>
      <c r="U75" s="63" t="n">
        <v>0.0303172822980355</v>
      </c>
      <c r="V75" s="63" t="n">
        <v>0.0226482671442114</v>
      </c>
      <c r="W75" s="63" t="n">
        <v>0.0144897678890263</v>
      </c>
      <c r="X75" s="63" t="n">
        <v>0.0176673661409328</v>
      </c>
      <c r="Y75" s="63" t="n">
        <v>0.016695490222163</v>
      </c>
      <c r="Z75" s="63" t="n">
        <v>0.010958456002617</v>
      </c>
      <c r="AA75" s="63" t="n">
        <v>0.00996602491506238</v>
      </c>
      <c r="AB75" s="63" t="n">
        <v>0.0127510972992022</v>
      </c>
      <c r="AC75" s="63" t="n">
        <v>0.0169877574262125</v>
      </c>
      <c r="AD75" s="63" t="n">
        <v>0.0161751897474181</v>
      </c>
      <c r="AE75" s="63" t="n">
        <v>0.0157952736622995</v>
      </c>
      <c r="AF75" s="63" t="n">
        <v>0.0137716972034716</v>
      </c>
      <c r="AG75" s="63" t="n">
        <v>0.0167058054160103</v>
      </c>
      <c r="AH75" s="63" t="n">
        <v>0.0163728327924451</v>
      </c>
      <c r="AI75" s="63" t="n">
        <v>0.0199637545666371</v>
      </c>
      <c r="AJ75" s="63" t="n">
        <v>0.0176551879741658</v>
      </c>
      <c r="AK75" s="63" t="n">
        <v>0.0197599977828895</v>
      </c>
      <c r="AL75" s="63" t="n">
        <v>0.0186705076638765</v>
      </c>
      <c r="AM75" s="63" t="n">
        <v>0.0241442787396953</v>
      </c>
      <c r="AN75" s="63" t="n">
        <v>0.0208919453996039</v>
      </c>
      <c r="AO75" s="63" t="n">
        <v>0.0182444501148253</v>
      </c>
      <c r="AP75" s="63" t="n">
        <v>0.0218518982583635</v>
      </c>
      <c r="AQ75" s="63" t="n">
        <v>0.0237388724035608</v>
      </c>
      <c r="AR75" s="63" t="n">
        <v>0.0223020721044438</v>
      </c>
      <c r="AS75" s="63" t="n">
        <v>0.0265020151841784</v>
      </c>
      <c r="AT75" s="63" t="n">
        <v>0.0265026137375306</v>
      </c>
      <c r="AU75" s="63" t="n">
        <v>0.0187911403664829</v>
      </c>
      <c r="AV75" s="63" t="n">
        <v>0.0194268002532032</v>
      </c>
      <c r="AW75" s="63" t="n">
        <v>0.0165299873669786</v>
      </c>
      <c r="AX75" s="63" t="n">
        <v>0.014323328067404</v>
      </c>
      <c r="AY75" s="63" t="n">
        <v>0.0132904163638252</v>
      </c>
      <c r="AZ75" s="63" t="n">
        <v>0.0138743723742187</v>
      </c>
      <c r="BA75" s="63" t="n">
        <v>0.0101269404915911</v>
      </c>
      <c r="BB75" s="63" t="n">
        <v>0.00798431152822521</v>
      </c>
      <c r="BC75" s="63" t="n">
        <v>0.00742475978718349</v>
      </c>
      <c r="BD75" s="63" t="n">
        <v>0.0106215268198477</v>
      </c>
      <c r="BE75" s="63" t="n">
        <v>0.00748756946475582</v>
      </c>
      <c r="BF75" s="63" t="n">
        <v>0.00985116801176722</v>
      </c>
      <c r="BG75" s="63" t="n">
        <v>0.00898846257043195</v>
      </c>
      <c r="BH75" s="63" t="n">
        <v>0.0090223564495604</v>
      </c>
      <c r="BI75" s="63" t="n">
        <v>0.0070027483904973</v>
      </c>
      <c r="BJ75" s="63" t="n">
        <v>0.0102254458443938</v>
      </c>
      <c r="BK75" s="63" t="n">
        <v>0.00592143002535117</v>
      </c>
      <c r="BL75" s="63" t="n">
        <v>0.00664079027243814</v>
      </c>
      <c r="BM75" s="63" t="n">
        <v>0.00518986879134542</v>
      </c>
      <c r="BN75" s="63" t="n">
        <v>0.00494491510017081</v>
      </c>
      <c r="BO75" s="63" t="n">
        <v>0.00350953363001572</v>
      </c>
      <c r="BP75" s="63" t="n">
        <v>0.0047411306605134</v>
      </c>
      <c r="BQ75" s="63" t="n">
        <v>0.00593881761909043</v>
      </c>
      <c r="BR75" s="63" t="n">
        <v>0.0057967395569507</v>
      </c>
      <c r="BS75" s="63" t="n">
        <v>0.00679186394992115</v>
      </c>
      <c r="BT75" s="63" t="n">
        <v>0.00771479902772398</v>
      </c>
      <c r="BU75" s="63" t="n">
        <v>0.00749842690344682</v>
      </c>
      <c r="BV75" s="63" t="n">
        <v>0.0077375479259556</v>
      </c>
      <c r="BW75" s="63" t="n">
        <v>0.00998502246630051</v>
      </c>
      <c r="BX75" s="63" t="n">
        <v>0.0122385668263247</v>
      </c>
      <c r="BY75" s="63" t="n">
        <v>0.00921108023911765</v>
      </c>
      <c r="BZ75" s="63" t="n">
        <v>0.0096108923446574</v>
      </c>
      <c r="CA75" s="63" t="n">
        <v>0.0108250148740661</v>
      </c>
      <c r="CB75" s="63" t="n">
        <v>0.00742278828703635</v>
      </c>
      <c r="CC75" s="63" t="n">
        <v>0.00681630069623651</v>
      </c>
      <c r="CD75" s="63" t="n">
        <v>0.0108967229234167</v>
      </c>
      <c r="CE75" s="63" t="n">
        <v>0.0111938513545835</v>
      </c>
      <c r="CF75" s="63" t="n">
        <v>0.00864148860679648</v>
      </c>
      <c r="CG75" s="63" t="n">
        <v>0.00764504479151995</v>
      </c>
      <c r="CH75" s="63" t="n">
        <v>0.00971265437845226</v>
      </c>
      <c r="CI75" s="63" t="n">
        <v>0.00720673653154669</v>
      </c>
      <c r="CJ75" s="63" t="n">
        <v>0.00767388286267878</v>
      </c>
      <c r="CK75" s="63" t="n">
        <v>0.00581377744133227</v>
      </c>
      <c r="CL75" s="63" t="n">
        <v>0.00400397386880225</v>
      </c>
      <c r="CM75" s="63" t="n">
        <v>0.00596701649175402</v>
      </c>
      <c r="CN75" s="63" t="n">
        <v>0.00478404721452197</v>
      </c>
      <c r="CO75" s="63" t="n">
        <v>0.00704549162698953</v>
      </c>
      <c r="CP75" s="63" t="n">
        <v>0.00595045217544987</v>
      </c>
      <c r="CQ75" s="63" t="n">
        <v>0.00590061202377812</v>
      </c>
      <c r="CR75" s="63" t="n">
        <v>0.00502176096417828</v>
      </c>
      <c r="CS75" s="63" t="n">
        <v>0.00588013787909492</v>
      </c>
      <c r="CT75" s="63" t="n">
        <v>0.00511144387490647</v>
      </c>
      <c r="CU75" s="63" t="n">
        <v>0.00477029524259742</v>
      </c>
      <c r="CV75" s="63" t="n">
        <v>0.00533219275734242</v>
      </c>
      <c r="CW75" s="63" t="n">
        <v>0.00557336131831976</v>
      </c>
      <c r="CX75" s="63" t="n">
        <v>0.00569760390370511</v>
      </c>
      <c r="CY75" s="63" t="n">
        <v>0.00490807869753596</v>
      </c>
      <c r="CZ75" s="63" t="n">
        <v>0.00447942395445211</v>
      </c>
      <c r="DA75" s="63" t="n">
        <v>0.00472340307299057</v>
      </c>
      <c r="DB75" s="63" t="n">
        <v>0.00460440806393625</v>
      </c>
      <c r="DC75" s="63" t="n">
        <v>0.00408781226343669</v>
      </c>
      <c r="DD75" s="63" t="n">
        <v>0.00485250575721019</v>
      </c>
      <c r="DE75" s="63" t="n">
        <v>0.00422884893460296</v>
      </c>
      <c r="DF75" s="63" t="n">
        <v>0.00448272114757664</v>
      </c>
      <c r="DG75" s="63" t="n">
        <v>0.00497660454926563</v>
      </c>
      <c r="DH75" s="63" t="n">
        <v>0.00297386764270535</v>
      </c>
      <c r="DI75" s="63" t="n">
        <v>0.003582209700141</v>
      </c>
      <c r="DJ75" s="63" t="n">
        <v>0.00101601561455578</v>
      </c>
      <c r="DK75" s="63" t="n">
        <v>0.00259088116669792</v>
      </c>
      <c r="DL75" s="63" t="n">
        <v>0.00387627877237851</v>
      </c>
      <c r="DM75" s="63" t="n">
        <v>0.0026803603890504</v>
      </c>
      <c r="DN75" s="63" t="n">
        <v>0.00269966254218224</v>
      </c>
      <c r="DO75" s="63" t="n">
        <v>0.00452691734086486</v>
      </c>
      <c r="DP75" s="63" t="n">
        <v>0.00383645154509149</v>
      </c>
      <c r="DQ75" s="63" t="n">
        <v>0.00526150463326536</v>
      </c>
      <c r="DR75" s="63" t="n">
        <v>0.00666614587402026</v>
      </c>
      <c r="DS75" s="63" t="n">
        <v>0.00601412349000241</v>
      </c>
      <c r="DT75" s="63" t="n">
        <v>0.00626100818945008</v>
      </c>
      <c r="DU75" s="63" t="n">
        <v>0.00541714577743724</v>
      </c>
      <c r="DV75" s="63" t="n">
        <v>0.00684931506849318</v>
      </c>
      <c r="DW75" s="63" t="n">
        <v>0.00666389004581425</v>
      </c>
      <c r="DX75" s="63" t="n">
        <v>0.0030340642669977</v>
      </c>
      <c r="DY75" s="63" t="n">
        <v>0.00322487906703484</v>
      </c>
      <c r="DZ75" s="63" t="n">
        <v>0.00266630119236</v>
      </c>
      <c r="EA75" s="63" t="n">
        <v>0.00396396396396392</v>
      </c>
      <c r="EB75" s="63" t="n">
        <v>0.00446815357576069</v>
      </c>
      <c r="EC75" s="63" t="n">
        <v>0.00581603105169104</v>
      </c>
      <c r="ED75" s="63" t="n">
        <v>0.0054026241317211</v>
      </c>
      <c r="EE75" s="63" t="n">
        <v>0.0034239898620656</v>
      </c>
      <c r="EF75" s="63" t="n">
        <v>0.00574384631264491</v>
      </c>
      <c r="EG75" s="63" t="n">
        <v>0.00579556156576766</v>
      </c>
      <c r="EH75" s="63" t="n">
        <v>0.00716669467719866</v>
      </c>
      <c r="EI75" s="63" t="n">
        <v>0.00811690246606034</v>
      </c>
      <c r="EJ75" s="63" t="n">
        <v>0.00633719555450463</v>
      </c>
      <c r="EK75" s="63" t="n">
        <v>0.0077071290944124</v>
      </c>
      <c r="EL75" s="63" t="n">
        <v>0.00767150118919924</v>
      </c>
      <c r="EM75" s="63" t="n">
        <v>0.00731227583015137</v>
      </c>
      <c r="EN75" s="63" t="n">
        <v>0.00944154740300029</v>
      </c>
      <c r="EO75" s="63" t="n">
        <v>0.00796504483182381</v>
      </c>
      <c r="EP75" s="63" t="n">
        <v>0.00699900659261266</v>
      </c>
      <c r="EQ75" s="63" t="n">
        <v>0.00884489484776463</v>
      </c>
      <c r="ER75" s="63" t="n">
        <v>0.00732279177269346</v>
      </c>
      <c r="ES75" s="63" t="n">
        <v>0.0038057626969068</v>
      </c>
      <c r="ET75" s="63" t="n">
        <v>0.0100113190544744</v>
      </c>
      <c r="EU75" s="63" t="n">
        <v>0.00634329982156068</v>
      </c>
      <c r="EV75" s="63" t="n">
        <v>0.00422743834535266</v>
      </c>
      <c r="EW75" s="63" t="n">
        <v>0.00484485691522574</v>
      </c>
      <c r="EX75" s="63" t="n">
        <v>0.00431791882741184</v>
      </c>
      <c r="EY75" s="63" t="n">
        <v>0.00362724702619088</v>
      </c>
      <c r="EZ75" s="63" t="n">
        <v>0.00774913632739826</v>
      </c>
      <c r="FA75" s="63" t="n">
        <v>0.00180372136196771</v>
      </c>
      <c r="FB75" s="63" t="n">
        <v>0.000273756251645274</v>
      </c>
      <c r="FC75" s="63" t="n">
        <v>-0.00137893285333834</v>
      </c>
      <c r="FD75" s="63" t="n">
        <v>0.000611362917676717</v>
      </c>
      <c r="FE75" s="63" t="n">
        <v>0.00367647058823528</v>
      </c>
      <c r="FF75" s="63" t="n">
        <v>0.00252946671284771</v>
      </c>
      <c r="FG75" s="63" t="n">
        <v>0.00465880776398153</v>
      </c>
      <c r="FH75" s="63" t="n">
        <v>0.00363681835707519</v>
      </c>
      <c r="FI75" s="63" t="n">
        <v>0.00573137303762783</v>
      </c>
      <c r="FJ75" s="63" t="n">
        <v>0.00490378262305913</v>
      </c>
      <c r="FK75" s="63" t="n">
        <v>0.00722218227021032</v>
      </c>
      <c r="FL75" s="63" t="n">
        <v>0.00529364966034973</v>
      </c>
      <c r="FM75" s="63" t="n">
        <v>0.00127839612016922</v>
      </c>
      <c r="FN75" s="63" t="n">
        <v>0.00597849767446568</v>
      </c>
      <c r="FO75" s="63" t="n">
        <v>0.00416007735930779</v>
      </c>
      <c r="FP75" s="63" t="n">
        <v>0.00615909318888552</v>
      </c>
      <c r="FQ75" s="63" t="n">
        <v>0.00424708884989644</v>
      </c>
      <c r="FR75" s="63" t="n">
        <v>0.00391144644098085</v>
      </c>
      <c r="FS75" s="63" t="n">
        <v>0.00300621019738134</v>
      </c>
      <c r="FT75" s="63" t="n">
        <v>0.00537326970856178</v>
      </c>
      <c r="FU75" s="63" t="n">
        <v>0.00565836054641911</v>
      </c>
      <c r="FV75" s="63" t="n">
        <v>0.00404680643588495</v>
      </c>
      <c r="FW75" s="63" t="n">
        <v>0.00570096634778805</v>
      </c>
      <c r="FX75" s="63" t="n">
        <v>0.00460638133498126</v>
      </c>
      <c r="FY75" s="63" t="n">
        <v>0.000720952811235298</v>
      </c>
      <c r="FZ75" s="63" t="n">
        <v>-0.00011526934603856</v>
      </c>
      <c r="GA75" s="63" t="n">
        <v>0.00567766975367956</v>
      </c>
      <c r="GB75" s="63" t="n">
        <v>0.00244547825339336</v>
      </c>
      <c r="GC75" s="63" t="n">
        <v>-0.0000667054193387306</v>
      </c>
      <c r="GD75" s="63" t="n">
        <v>-0.000562268897952967</v>
      </c>
      <c r="GE75" s="63" t="n">
        <v>0.00670334595177002</v>
      </c>
      <c r="GF75" s="63" t="n">
        <v>0.00301204819277112</v>
      </c>
      <c r="GG75" s="63" t="n">
        <v>0.0054394016658168</v>
      </c>
      <c r="GH75" s="63" t="n">
        <v>0.00518455903071291</v>
      </c>
      <c r="GI75" s="63" t="n">
        <v>0.00318626076881379</v>
      </c>
      <c r="GJ75" s="63" t="n">
        <v>0.00544880452297347</v>
      </c>
      <c r="GK75" s="63" t="n">
        <v>0.00640123022195871</v>
      </c>
      <c r="GL75" s="63" t="n">
        <v>0.00668268301438713</v>
      </c>
      <c r="GM75" s="63" t="n">
        <v>0.00741553513464099</v>
      </c>
      <c r="GN75" s="63" t="n">
        <v>0.00457449898344464</v>
      </c>
      <c r="GO75" s="63" t="n">
        <v>0.00429165160823985</v>
      </c>
      <c r="GP75" s="63" t="n">
        <v>0.0036435607934866</v>
      </c>
      <c r="GQ75" s="63" t="n">
        <v>0.00559340265328068</v>
      </c>
      <c r="GR75" s="63" t="n">
        <v>0.00333380874277989</v>
      </c>
      <c r="GS75" s="63" t="n">
        <v>0.00312727660406176</v>
      </c>
      <c r="GT75" s="63" t="n">
        <v>0.00457886812505537</v>
      </c>
      <c r="GU75" s="63" t="n">
        <v>-0.00329727489927456</v>
      </c>
      <c r="GV75" s="63" t="n">
        <v>0.00865965520596523</v>
      </c>
      <c r="GW75" s="63" t="n">
        <v>0.00624386137224642</v>
      </c>
      <c r="GX75" s="63" t="n">
        <v>0.0126804015896256</v>
      </c>
      <c r="GY75" s="63" t="n">
        <v>0.0152755187221922</v>
      </c>
      <c r="GZ75" s="63" t="n">
        <v>0.0151643582484275</v>
      </c>
      <c r="HA75" s="63" t="n">
        <v>0.0166578993512185</v>
      </c>
      <c r="HB75" s="63" t="n">
        <v>0.0201300941211255</v>
      </c>
      <c r="HC75" t="n">
        <v>0.0217778099815633</v>
      </c>
      <c r="HD75" t="n">
        <v>0.0107316765683849</v>
      </c>
      <c r="HE75" t="n">
        <v>0.00955751660482074</v>
      </c>
    </row>
    <row r="76">
      <c r="A76" s="63" t="s">
        <v>2510</v>
      </c>
      <c r="B76" s="63" t="n">
        <v>0.0110841030627127</v>
      </c>
      <c r="C76" s="63" t="n">
        <v>0.0110841030627127</v>
      </c>
      <c r="D76" s="63" t="n">
        <v>0.00971247235311101</v>
      </c>
      <c r="E76" s="63" t="n">
        <v>0.0129523809523808</v>
      </c>
      <c r="F76" s="63" t="n">
        <v>0.00949605114704788</v>
      </c>
      <c r="G76" s="63" t="n">
        <v>0.0113625780013038</v>
      </c>
      <c r="H76" s="63" t="n">
        <v>0.00985357767750239</v>
      </c>
      <c r="I76" s="63" t="n">
        <v>0.00620098486230169</v>
      </c>
      <c r="J76" s="63" t="n">
        <v>0.0105582744245059</v>
      </c>
      <c r="K76" s="63" t="n">
        <v>0.00573965293036194</v>
      </c>
      <c r="L76" s="63" t="n">
        <v>0.00878327165722959</v>
      </c>
      <c r="M76" s="63" t="n">
        <v>0.00817643419075398</v>
      </c>
      <c r="N76" s="63" t="n">
        <v>0.0120555872166936</v>
      </c>
      <c r="O76" s="63" t="n">
        <v>0.0192324352421382</v>
      </c>
      <c r="P76" s="63" t="n">
        <v>0.0181895452613683</v>
      </c>
      <c r="Q76" s="63" t="n">
        <v>0.0204524584689876</v>
      </c>
      <c r="R76" s="63" t="n">
        <v>0.0297774869109946</v>
      </c>
      <c r="S76" s="63" t="n">
        <v>0.0283206228153798</v>
      </c>
      <c r="T76" s="63" t="n">
        <v>0.0269612576770057</v>
      </c>
      <c r="U76" s="63" t="n">
        <v>0.0254259600556663</v>
      </c>
      <c r="V76" s="63" t="n">
        <v>0.0188167112936948</v>
      </c>
      <c r="W76" s="63" t="n">
        <v>0.0122767857142858</v>
      </c>
      <c r="X76" s="63" t="n">
        <v>0.018707543479034</v>
      </c>
      <c r="Y76" s="63" t="n">
        <v>0.0167929337010788</v>
      </c>
      <c r="Z76" s="63" t="n">
        <v>0.0109875017167971</v>
      </c>
      <c r="AA76" s="63" t="n">
        <v>0.00838880586876778</v>
      </c>
      <c r="AB76" s="63" t="n">
        <v>0.0151897881512917</v>
      </c>
      <c r="AC76" s="63" t="n">
        <v>0.0157919182535995</v>
      </c>
      <c r="AD76" s="63" t="n">
        <v>0.0180286106212033</v>
      </c>
      <c r="AE76" s="63" t="n">
        <v>0.0171318575553416</v>
      </c>
      <c r="AF76" s="63" t="n">
        <v>0.0150454201362602</v>
      </c>
      <c r="AG76" s="63" t="n">
        <v>0.0142009260122433</v>
      </c>
      <c r="AH76" s="63" t="n">
        <v>0.0164225749126785</v>
      </c>
      <c r="AI76" s="63" t="n">
        <v>0.0205281244347983</v>
      </c>
      <c r="AJ76" s="63" t="n">
        <v>0.0175454142667257</v>
      </c>
      <c r="AK76" s="63" t="n">
        <v>0.0188975006531396</v>
      </c>
      <c r="AL76" s="63" t="n">
        <v>0.0188603988603988</v>
      </c>
      <c r="AM76" s="63" t="n">
        <v>0.0273195011464682</v>
      </c>
      <c r="AN76" s="63" t="n">
        <v>0.0247965377391872</v>
      </c>
      <c r="AO76" s="63" t="n">
        <v>0.024223107569721</v>
      </c>
      <c r="AP76" s="63" t="n">
        <v>0.0300036305170894</v>
      </c>
      <c r="AQ76" s="63" t="n">
        <v>0.0244719152043102</v>
      </c>
      <c r="AR76" s="63" t="n">
        <v>0.0233958369172544</v>
      </c>
      <c r="AS76" s="63" t="n">
        <v>0.0247340489397978</v>
      </c>
      <c r="AT76" s="63" t="n">
        <v>0.0259414618142619</v>
      </c>
      <c r="AU76" s="63" t="n">
        <v>0.0167884878940154</v>
      </c>
      <c r="AV76" s="63" t="n">
        <v>0.0164663596540491</v>
      </c>
      <c r="AW76" s="63" t="n">
        <v>0.0153155940594061</v>
      </c>
      <c r="AX76" s="63" t="n">
        <v>0.0127119566400382</v>
      </c>
      <c r="AY76" s="63" t="n">
        <v>0.00962923159591611</v>
      </c>
      <c r="AZ76" s="63" t="n">
        <v>0.0157963085176591</v>
      </c>
      <c r="BA76" s="63" t="n">
        <v>0.0110237870690557</v>
      </c>
      <c r="BB76" s="63" t="n">
        <v>0.00827097282394651</v>
      </c>
      <c r="BC76" s="63" t="n">
        <v>0.00914884868421062</v>
      </c>
      <c r="BD76" s="63" t="n">
        <v>0.0131404706122031</v>
      </c>
      <c r="BE76" s="63" t="n">
        <v>0.00659561632817218</v>
      </c>
      <c r="BF76" s="63" t="n">
        <v>0.0108074633425226</v>
      </c>
      <c r="BG76" s="63" t="n">
        <v>0.00968398584952279</v>
      </c>
      <c r="BH76" s="63" t="n">
        <v>0.00771203194425407</v>
      </c>
      <c r="BI76" s="63" t="n">
        <v>0.00617679622399647</v>
      </c>
      <c r="BJ76" s="63" t="n">
        <v>0.0117951390899789</v>
      </c>
      <c r="BK76" s="63" t="n">
        <v>0.00810883003892249</v>
      </c>
      <c r="BL76" s="63" t="n">
        <v>0.00783541836213253</v>
      </c>
      <c r="BM76" s="63" t="n">
        <v>0.00698578430452002</v>
      </c>
      <c r="BN76" s="63" t="n">
        <v>0.00708651138504002</v>
      </c>
      <c r="BO76" s="63" t="n">
        <v>-0.00105549691683804</v>
      </c>
      <c r="BP76" s="63" t="n">
        <v>0.00526452378304221</v>
      </c>
      <c r="BQ76" s="63" t="n">
        <v>0.00604831274202478</v>
      </c>
      <c r="BR76" s="63" t="n">
        <v>0.00942116646504632</v>
      </c>
      <c r="BS76" s="63" t="n">
        <v>0.00964192330040681</v>
      </c>
      <c r="BT76" s="63" t="n">
        <v>0.00947790586838848</v>
      </c>
      <c r="BU76" s="63" t="n">
        <v>0.00864065562088001</v>
      </c>
      <c r="BV76" s="63" t="n">
        <v>0.00789543407224236</v>
      </c>
      <c r="BW76" s="63" t="n">
        <v>0.0110406224808104</v>
      </c>
      <c r="BX76" s="63" t="n">
        <v>0.0123240657283505</v>
      </c>
      <c r="BY76" s="63" t="n">
        <v>0.0101022207763299</v>
      </c>
      <c r="BZ76" s="63" t="n">
        <v>0.0114928889868289</v>
      </c>
      <c r="CA76" s="63" t="n">
        <v>0.0134738817851219</v>
      </c>
      <c r="CB76" s="63" t="n">
        <v>0.00590326581231904</v>
      </c>
      <c r="CC76" s="63" t="n">
        <v>0.00785770647027872</v>
      </c>
      <c r="CD76" s="63" t="n">
        <v>0.0145000815527645</v>
      </c>
      <c r="CE76" s="63" t="n">
        <v>0.00908374732712747</v>
      </c>
      <c r="CF76" s="63" t="n">
        <v>0.0126983621184118</v>
      </c>
      <c r="CG76" s="63" t="n">
        <v>0.0132313840247951</v>
      </c>
      <c r="CH76" s="63" t="n">
        <v>0.00524828421477586</v>
      </c>
      <c r="CI76" s="63" t="n">
        <v>0.00546802594995355</v>
      </c>
      <c r="CJ76" s="63" t="n">
        <v>0.00679018035456425</v>
      </c>
      <c r="CK76" s="63" t="n">
        <v>0.00726318359375</v>
      </c>
      <c r="CL76" s="63" t="n">
        <v>0.0062564382233532</v>
      </c>
      <c r="CM76" s="63" t="n">
        <v>0.00665412118931141</v>
      </c>
      <c r="CN76" s="63" t="n">
        <v>0.00638581063902954</v>
      </c>
      <c r="CO76" s="63" t="n">
        <v>0.00696941777870252</v>
      </c>
      <c r="CP76" s="63" t="n">
        <v>0.0059619556395083</v>
      </c>
      <c r="CQ76" s="63" t="n">
        <v>0.00670412369621665</v>
      </c>
      <c r="CR76" s="63" t="n">
        <v>0.00435707624154835</v>
      </c>
      <c r="CS76" s="63" t="n">
        <v>0.00576005107148547</v>
      </c>
      <c r="CT76" s="63" t="n">
        <v>0.00357761107905374</v>
      </c>
      <c r="CU76" s="63" t="n">
        <v>0.00557727690892373</v>
      </c>
      <c r="CV76" s="63" t="n">
        <v>0.00719023386128415</v>
      </c>
      <c r="CW76" s="63" t="n">
        <v>0.00468357484494519</v>
      </c>
      <c r="CX76" s="63" t="n">
        <v>0.00490189153682064</v>
      </c>
      <c r="CY76" s="63" t="n">
        <v>0.00580578047683322</v>
      </c>
      <c r="CZ76" s="63" t="n">
        <v>0.00409509566870248</v>
      </c>
      <c r="DA76" s="63" t="n">
        <v>0.00439854124328387</v>
      </c>
      <c r="DB76" s="63" t="n">
        <v>0.00555724936943913</v>
      </c>
      <c r="DC76" s="63" t="n">
        <v>0.00668421560385335</v>
      </c>
      <c r="DD76" s="63" t="n">
        <v>0.00427139806144239</v>
      </c>
      <c r="DE76" s="63" t="n">
        <v>0.00681607503135395</v>
      </c>
      <c r="DF76" s="63" t="n">
        <v>0.00441399480069338</v>
      </c>
      <c r="DG76" s="63" t="n">
        <v>0.00250734679571862</v>
      </c>
      <c r="DH76" s="63" t="n">
        <v>0.00263554216867457</v>
      </c>
      <c r="DI76" s="63" t="n">
        <v>0.00313824365645621</v>
      </c>
      <c r="DJ76" s="63" t="n">
        <v>0.0000802160485573467</v>
      </c>
      <c r="DK76" s="63" t="n">
        <v>0.00180471632533008</v>
      </c>
      <c r="DL76" s="63" t="n">
        <v>0.0030825071057794</v>
      </c>
      <c r="DM76" s="63" t="n">
        <v>0.00264733271251827</v>
      </c>
      <c r="DN76" s="63" t="n">
        <v>0.00196367206676484</v>
      </c>
      <c r="DO76" s="63" t="n">
        <v>0.00569408212720313</v>
      </c>
      <c r="DP76" s="63" t="n">
        <v>0.0055038382029573</v>
      </c>
      <c r="DQ76" s="63" t="n">
        <v>0.00606298697047092</v>
      </c>
      <c r="DR76" s="63" t="n">
        <v>0.00812203884000628</v>
      </c>
      <c r="DS76" s="63" t="n">
        <v>0.00476424107834528</v>
      </c>
      <c r="DT76" s="63" t="n">
        <v>0.00645070096760514</v>
      </c>
      <c r="DU76" s="63" t="n">
        <v>0.00565606526818452</v>
      </c>
      <c r="DV76" s="63" t="n">
        <v>0.00740167077165266</v>
      </c>
      <c r="DW76" s="63" t="n">
        <v>0.00468814981915333</v>
      </c>
      <c r="DX76" s="63" t="n">
        <v>0.000501749852610978</v>
      </c>
      <c r="DY76" s="63" t="n">
        <v>0.000413736036408707</v>
      </c>
      <c r="DZ76" s="63" t="n">
        <v>0.00200516329548583</v>
      </c>
      <c r="EA76" s="63" t="n">
        <v>0.00741676463966789</v>
      </c>
      <c r="EB76" s="63" t="n">
        <v>0.00517710156802864</v>
      </c>
      <c r="EC76" s="63" t="n">
        <v>0.00466874166296138</v>
      </c>
      <c r="ED76" s="63" t="n">
        <v>0.00764672616852313</v>
      </c>
      <c r="EE76" s="63" t="n">
        <v>0.00100043921721737</v>
      </c>
      <c r="EF76" s="63" t="n">
        <v>0.00659386197986489</v>
      </c>
      <c r="EG76" s="63" t="n">
        <v>0.00491602794628676</v>
      </c>
      <c r="EH76" s="63" t="n">
        <v>0.00771149374043589</v>
      </c>
      <c r="EI76" s="63" t="n">
        <v>0.00673179247426248</v>
      </c>
      <c r="EJ76" s="63" t="n">
        <v>0.00491709819943953</v>
      </c>
      <c r="EK76" s="63" t="n">
        <v>0.00854508923295128</v>
      </c>
      <c r="EL76" s="63" t="n">
        <v>0.00581252270516686</v>
      </c>
      <c r="EM76" s="63" t="n">
        <v>0.00631488191636853</v>
      </c>
      <c r="EN76" s="63" t="n">
        <v>0.0108022368619098</v>
      </c>
      <c r="EO76" s="63" t="n">
        <v>0.00796068908641057</v>
      </c>
      <c r="EP76" s="63" t="n">
        <v>0.00519324083228234</v>
      </c>
      <c r="EQ76" s="63" t="n">
        <v>0.008772723161798</v>
      </c>
      <c r="ER76" s="63" t="n">
        <v>0.00719472834857449</v>
      </c>
      <c r="ES76" s="63" t="n">
        <v>-0.00164674989429636</v>
      </c>
      <c r="ET76" s="63" t="n">
        <v>0.00913893408822419</v>
      </c>
      <c r="EU76" s="63" t="n">
        <v>0.008492920725377</v>
      </c>
      <c r="EV76" s="63" t="n">
        <v>0.00565076931500852</v>
      </c>
      <c r="EW76" s="63" t="n">
        <v>0.010170857335758</v>
      </c>
      <c r="EX76" s="63" t="n">
        <v>0.00813884546973531</v>
      </c>
      <c r="EY76" s="63" t="n">
        <v>0.00973053892215581</v>
      </c>
      <c r="EZ76" s="63" t="n">
        <v>0.0106745737583394</v>
      </c>
      <c r="FA76" s="63" t="n">
        <v>-0.0159684821559547</v>
      </c>
      <c r="FB76" s="63" t="n">
        <v>-0.00675085716719548</v>
      </c>
      <c r="FC76" s="63" t="n">
        <v>0.00397727272727266</v>
      </c>
      <c r="FD76" s="63" t="n">
        <v>0.00688727296024605</v>
      </c>
      <c r="FE76" s="63" t="n">
        <v>0.00772036989904135</v>
      </c>
      <c r="FF76" s="63" t="n">
        <v>0.00386218218555312</v>
      </c>
      <c r="FG76" s="63" t="n">
        <v>0.00155150905221668</v>
      </c>
      <c r="FH76" s="63" t="n">
        <v>0.001925915071332</v>
      </c>
      <c r="FI76" s="63" t="n">
        <v>0.00640389457079271</v>
      </c>
      <c r="FJ76" s="63" t="n">
        <v>0.00839769141338653</v>
      </c>
      <c r="FK76" s="63" t="n">
        <v>0.00983066550002576</v>
      </c>
      <c r="FL76" s="63" t="n">
        <v>0.00462793068297662</v>
      </c>
      <c r="FM76" s="63" t="n">
        <v>0.00329768451813228</v>
      </c>
      <c r="FN76" s="63" t="n">
        <v>0.00662425793141108</v>
      </c>
      <c r="FO76" s="63" t="n">
        <v>0.0024212831796171</v>
      </c>
      <c r="FP76" s="63" t="n">
        <v>0.00290653971435728</v>
      </c>
      <c r="FQ76" s="63" t="n">
        <v>0.00560635586868541</v>
      </c>
      <c r="FR76" s="63" t="n">
        <v>0.00360741756603655</v>
      </c>
      <c r="FS76" s="63" t="n">
        <v>0.000712948935032598</v>
      </c>
      <c r="FT76" s="63" t="n">
        <v>0.00405695570002274</v>
      </c>
      <c r="FU76" s="63" t="n">
        <v>0.00418838880074102</v>
      </c>
      <c r="FV76" s="63" t="n">
        <v>0.00480882468399146</v>
      </c>
      <c r="FW76" s="63" t="n">
        <v>0.00501045064754946</v>
      </c>
      <c r="FX76" s="63" t="n">
        <v>0.0028280158213394</v>
      </c>
      <c r="FY76" s="63" t="n">
        <v>-0.00115321252059308</v>
      </c>
      <c r="FZ76" s="63" t="n">
        <v>-0.00415247741847846</v>
      </c>
      <c r="GA76" s="63" t="n">
        <v>0.00485176777763718</v>
      </c>
      <c r="GB76" s="63" t="n">
        <v>0.00241417089227358</v>
      </c>
      <c r="GC76" s="63" t="n">
        <v>-0.000986555759744712</v>
      </c>
      <c r="GD76" s="63" t="n">
        <v>0.000532491673766566</v>
      </c>
      <c r="GE76" s="63" t="n">
        <v>0.00628005767202433</v>
      </c>
      <c r="GF76" s="63" t="n">
        <v>0.00375028848372949</v>
      </c>
      <c r="GG76" s="63" t="n">
        <v>0.00473261673468595</v>
      </c>
      <c r="GH76" s="63" t="n">
        <v>0.00592127846218382</v>
      </c>
      <c r="GI76" s="63" t="n">
        <v>0.00247400400011366</v>
      </c>
      <c r="GJ76" s="63" t="n">
        <v>0.00363093099339995</v>
      </c>
      <c r="GK76" s="63" t="n">
        <v>0.00636882666616412</v>
      </c>
      <c r="GL76" s="63" t="n">
        <v>0.00720852290812402</v>
      </c>
      <c r="GM76" s="63" t="n">
        <v>0.00537234635832995</v>
      </c>
      <c r="GN76" s="63" t="n">
        <v>0.00356858902057966</v>
      </c>
      <c r="GO76" s="63" t="n">
        <v>0.00376777949738361</v>
      </c>
      <c r="GP76" s="63" t="n">
        <v>0.00208331421334251</v>
      </c>
      <c r="GQ76" s="63" t="n">
        <v>0.00612704692823374</v>
      </c>
      <c r="GR76" s="63" t="n">
        <v>0.00261248714237605</v>
      </c>
      <c r="GS76" s="63" t="n">
        <v>0.00362253050551997</v>
      </c>
      <c r="GT76" s="63" t="n">
        <v>0.0036456401581284</v>
      </c>
      <c r="GU76" s="63" t="n">
        <v>-0.00451571034557352</v>
      </c>
      <c r="GV76" s="63" t="n">
        <v>0.00833899225859036</v>
      </c>
      <c r="GW76" s="63" t="n">
        <v>0.00408562757035358</v>
      </c>
      <c r="GX76" s="63" t="n">
        <v>0.0110712656835479</v>
      </c>
      <c r="GY76" s="63" t="n">
        <v>0.0157351471355665</v>
      </c>
      <c r="GZ76" s="63" t="n">
        <v>0.0137149723958969</v>
      </c>
      <c r="HA76" s="63" t="n">
        <v>0.0151185864121706</v>
      </c>
      <c r="HB76" s="63" t="n">
        <v>0.0181936652196355</v>
      </c>
      <c r="HC76" t="n">
        <v>0.017752216949378</v>
      </c>
      <c r="HD76" t="n">
        <v>0.0106239639389509</v>
      </c>
      <c r="HE76" t="n">
        <v>0.00911441499676791</v>
      </c>
    </row>
    <row r="77">
      <c r="A77" s="63" t="s">
        <v>2511</v>
      </c>
      <c r="B77" s="63" t="n">
        <v>0.0132057313943541</v>
      </c>
      <c r="C77" s="63" t="n">
        <v>0.0132057313943541</v>
      </c>
      <c r="D77" s="63" t="n">
        <v>0.0170439554640915</v>
      </c>
      <c r="E77" s="63" t="n">
        <v>0.0127114247172355</v>
      </c>
      <c r="F77" s="63" t="n">
        <v>0.0316614580664993</v>
      </c>
      <c r="G77" s="63" t="n">
        <v>0.0186720961414313</v>
      </c>
      <c r="H77" s="63" t="n">
        <v>0.014478623312046</v>
      </c>
      <c r="I77" s="63" t="n">
        <v>0.0203267659778954</v>
      </c>
      <c r="J77" s="63" t="n">
        <v>0.0411623416380162</v>
      </c>
      <c r="K77" s="63" t="n">
        <v>0.0100873026643145</v>
      </c>
      <c r="L77" s="63" t="n">
        <v>0.0081952530228393</v>
      </c>
      <c r="M77" s="63" t="n">
        <v>0.0217652023275441</v>
      </c>
      <c r="N77" s="63" t="n">
        <v>0.0160848584967179</v>
      </c>
      <c r="O77" s="63" t="n">
        <v>0.0174132546100201</v>
      </c>
      <c r="P77" s="63" t="n">
        <v>0.0206896551724136</v>
      </c>
      <c r="Q77" s="63" t="n">
        <v>0.0213826631509559</v>
      </c>
      <c r="R77" s="63" t="n">
        <v>0.0102456536646365</v>
      </c>
      <c r="S77" s="63" t="n">
        <v>0.018087442603314</v>
      </c>
      <c r="T77" s="63" t="n">
        <v>0.0291787591183623</v>
      </c>
      <c r="U77" s="63" t="n">
        <v>0.0332291746055942</v>
      </c>
      <c r="V77" s="63" t="n">
        <v>0.0181824887511985</v>
      </c>
      <c r="W77" s="63" t="n">
        <v>0.0144528561596697</v>
      </c>
      <c r="X77" s="63" t="n">
        <v>0.0134971077626223</v>
      </c>
      <c r="Y77" s="63" t="n">
        <v>0.0229706877113867</v>
      </c>
      <c r="Z77" s="63" t="n">
        <v>0.0146025623364099</v>
      </c>
      <c r="AA77" s="63" t="n">
        <v>0.00838424983027841</v>
      </c>
      <c r="AB77" s="63" t="n">
        <v>0.011445113946208</v>
      </c>
      <c r="AC77" s="63" t="n">
        <v>0.0267580790095516</v>
      </c>
      <c r="AD77" s="63" t="n">
        <v>0.0141324430326408</v>
      </c>
      <c r="AE77" s="63" t="n">
        <v>0.0113785278230576</v>
      </c>
      <c r="AF77" s="63" t="n">
        <v>0.00493000031602553</v>
      </c>
      <c r="AG77" s="63" t="n">
        <v>0.0289946224724047</v>
      </c>
      <c r="AH77" s="63" t="n">
        <v>0.0114299685217445</v>
      </c>
      <c r="AI77" s="63" t="n">
        <v>0.0196404290678349</v>
      </c>
      <c r="AJ77" s="63" t="n">
        <v>0.0167135871981035</v>
      </c>
      <c r="AK77" s="63" t="n">
        <v>0.0172549476813666</v>
      </c>
      <c r="AL77" s="63" t="n">
        <v>0.0184235408727542</v>
      </c>
      <c r="AM77" s="63" t="n">
        <v>0.0151080351114115</v>
      </c>
      <c r="AN77" s="63" t="n">
        <v>0.0233363820293229</v>
      </c>
      <c r="AO77" s="63" t="n">
        <v>0.0220187958724913</v>
      </c>
      <c r="AP77" s="63" t="n">
        <v>0.0197689209243164</v>
      </c>
      <c r="AQ77" s="63" t="n">
        <v>0.0386674289278104</v>
      </c>
      <c r="AR77" s="63" t="n">
        <v>0.0101325994495871</v>
      </c>
      <c r="AS77" s="63" t="n">
        <v>0.0300928792569661</v>
      </c>
      <c r="AT77" s="63" t="n">
        <v>0.0199807646068766</v>
      </c>
      <c r="AU77" s="63" t="n">
        <v>0.0232432050163833</v>
      </c>
      <c r="AV77" s="63" t="n">
        <v>0.0219549842191353</v>
      </c>
      <c r="AW77" s="63" t="n">
        <v>0.0191388638412986</v>
      </c>
      <c r="AX77" s="63" t="n">
        <v>0.0159923908956181</v>
      </c>
      <c r="AY77" s="63" t="n">
        <v>0.0197901245319168</v>
      </c>
      <c r="AZ77" s="63" t="n">
        <v>0.00841143442710446</v>
      </c>
      <c r="BA77" s="63" t="n">
        <v>0.0117921033132211</v>
      </c>
      <c r="BB77" s="63" t="n">
        <v>0.00188316036156677</v>
      </c>
      <c r="BC77" s="63" t="n">
        <v>0.00772732968547696</v>
      </c>
      <c r="BD77" s="63" t="n">
        <v>0.0110668987813975</v>
      </c>
      <c r="BE77" s="63" t="n">
        <v>0.00653876111999341</v>
      </c>
      <c r="BF77" s="63" t="n">
        <v>0.0129518378983811</v>
      </c>
      <c r="BG77" s="63" t="n">
        <v>0.00997165316338644</v>
      </c>
      <c r="BH77" s="63" t="n">
        <v>0.0148695184823935</v>
      </c>
      <c r="BI77" s="63" t="n">
        <v>0.0123175898321042</v>
      </c>
      <c r="BJ77" s="63" t="n">
        <v>-0.00399131984809742</v>
      </c>
      <c r="BK77" s="63" t="n">
        <v>0.00235381083920161</v>
      </c>
      <c r="BL77" s="63" t="n">
        <v>0.0053370077823276</v>
      </c>
      <c r="BM77" s="63" t="n">
        <v>0.00656345314852724</v>
      </c>
      <c r="BN77" s="63" t="n">
        <v>-0.00253154846381043</v>
      </c>
      <c r="BO77" s="63" t="n">
        <v>-0.00248029225149005</v>
      </c>
      <c r="BP77" s="63" t="n">
        <v>0.00140706617065978</v>
      </c>
      <c r="BQ77" s="63" t="n">
        <v>0.00113561997151312</v>
      </c>
      <c r="BR77" s="63" t="n">
        <v>-0.00171111068386742</v>
      </c>
      <c r="BS77" s="63" t="n">
        <v>0.00475695246899321</v>
      </c>
      <c r="BT77" s="63" t="n">
        <v>0.00722623679822121</v>
      </c>
      <c r="BU77" s="63" t="n">
        <v>0.00209332419882768</v>
      </c>
      <c r="BV77" s="63" t="n">
        <v>0.0136351551521137</v>
      </c>
      <c r="BW77" s="63" t="n">
        <v>0.00983588129496415</v>
      </c>
      <c r="BX77" s="63" t="n">
        <v>0.00571417969982013</v>
      </c>
      <c r="BY77" s="63" t="n">
        <v>0.0080429448984487</v>
      </c>
      <c r="BZ77" s="63" t="n">
        <v>0.00742977399579092</v>
      </c>
      <c r="CA77" s="63" t="n">
        <v>0.00733864961581077</v>
      </c>
      <c r="CB77" s="63" t="n">
        <v>0.00497700838517723</v>
      </c>
      <c r="CC77" s="63" t="n">
        <v>0.00358866698964655</v>
      </c>
      <c r="CD77" s="63" t="n">
        <v>0.00700863564034271</v>
      </c>
      <c r="CE77" s="63" t="n">
        <v>0.0171688297853452</v>
      </c>
      <c r="CF77" s="63" t="n">
        <v>0.00134403909931913</v>
      </c>
      <c r="CG77" s="63" t="n">
        <v>0.0119057995014555</v>
      </c>
      <c r="CH77" s="63" t="n">
        <v>0.00897502153316099</v>
      </c>
      <c r="CI77" s="63" t="n">
        <v>0.00493418244523736</v>
      </c>
      <c r="CJ77" s="63" t="n">
        <v>0.0128440366972478</v>
      </c>
      <c r="CK77" s="63" t="n">
        <v>0.0101147342995169</v>
      </c>
      <c r="CL77" s="63" t="n">
        <v>0.0014613328019395</v>
      </c>
      <c r="CM77" s="63" t="n">
        <v>0.00364800106123675</v>
      </c>
      <c r="CN77" s="63" t="n">
        <v>0.00872337964875181</v>
      </c>
      <c r="CO77" s="63" t="n">
        <v>0.00628941118663495</v>
      </c>
      <c r="CP77" s="63" t="n">
        <v>0.00249027490681808</v>
      </c>
      <c r="CQ77" s="63" t="n">
        <v>0.00439992206780104</v>
      </c>
      <c r="CR77" s="63" t="n">
        <v>0.00724180851235801</v>
      </c>
      <c r="CS77" s="63" t="n">
        <v>0.00897112869316818</v>
      </c>
      <c r="CT77" s="63" t="n">
        <v>0.00458088118339428</v>
      </c>
      <c r="CU77" s="63" t="n">
        <v>0.00839165268057895</v>
      </c>
      <c r="CV77" s="63" t="n">
        <v>0.00574676548172337</v>
      </c>
      <c r="CW77" s="63" t="n">
        <v>0.00821182127579845</v>
      </c>
      <c r="CX77" s="63" t="n">
        <v>0.00842366057602972</v>
      </c>
      <c r="CY77" s="63" t="n">
        <v>0.00666420981512217</v>
      </c>
      <c r="CZ77" s="63" t="n">
        <v>0.00517099362396656</v>
      </c>
      <c r="DA77" s="63" t="n">
        <v>0.013809429867824</v>
      </c>
      <c r="DB77" s="63" t="n">
        <v>0.00235005313814418</v>
      </c>
      <c r="DC77" s="63" t="n">
        <v>-0.00536108954064862</v>
      </c>
      <c r="DD77" s="63" t="n">
        <v>0.00581037459650169</v>
      </c>
      <c r="DE77" s="63" t="n">
        <v>0.0034332457606876</v>
      </c>
      <c r="DF77" s="63" t="n">
        <v>0.00340662283181103</v>
      </c>
      <c r="DG77" s="63" t="n">
        <v>0.00658255622600112</v>
      </c>
      <c r="DH77" s="63" t="n">
        <v>0.00229766551292454</v>
      </c>
      <c r="DI77" s="63" t="n">
        <v>0.00700944879575616</v>
      </c>
      <c r="DJ77" s="63" t="n">
        <v>-0.00418806911043668</v>
      </c>
      <c r="DK77" s="63" t="n">
        <v>0.00643308275083898</v>
      </c>
      <c r="DL77" s="63" t="n">
        <v>0.00653756552125806</v>
      </c>
      <c r="DM77" s="63" t="n">
        <v>0.00321138740615368</v>
      </c>
      <c r="DN77" s="63" t="n">
        <v>0.00297039696615764</v>
      </c>
      <c r="DO77" s="63" t="n">
        <v>0.00841036847477605</v>
      </c>
      <c r="DP77" s="63" t="n">
        <v>0.00908157737161752</v>
      </c>
      <c r="DQ77" s="63" t="n">
        <v>0.0122917814606027</v>
      </c>
      <c r="DR77" s="63" t="n">
        <v>0.00974193638431786</v>
      </c>
      <c r="DS77" s="63" t="n">
        <v>0.00384259195267256</v>
      </c>
      <c r="DT77" s="63" t="n">
        <v>0.00716006884681586</v>
      </c>
      <c r="DU77" s="63" t="n">
        <v>0.00452525804908066</v>
      </c>
      <c r="DV77" s="63" t="n">
        <v>0.0017012357776689</v>
      </c>
      <c r="DW77" s="63" t="n">
        <v>0.00525808073259881</v>
      </c>
      <c r="DX77" s="63" t="n">
        <v>0.00640644428826298</v>
      </c>
      <c r="DY77" s="63" t="n">
        <v>0.0064731003733447</v>
      </c>
      <c r="DZ77" s="63" t="n">
        <v>0.00648484201537158</v>
      </c>
      <c r="EA77" s="63" t="n">
        <v>0.00945247249105119</v>
      </c>
      <c r="EB77" s="63" t="n">
        <v>0.00858910208423613</v>
      </c>
      <c r="EC77" s="63" t="n">
        <v>0.0185293696368347</v>
      </c>
      <c r="ED77" s="63" t="n">
        <v>0.0111480439785221</v>
      </c>
      <c r="EE77" s="63" t="n">
        <v>0.00710564911748346</v>
      </c>
      <c r="EF77" s="63" t="n">
        <v>0.00905164837924022</v>
      </c>
      <c r="EG77" s="63" t="n">
        <v>0.00748989113530341</v>
      </c>
      <c r="EH77" s="63" t="n">
        <v>0.00850858885856476</v>
      </c>
      <c r="EI77" s="63" t="n">
        <v>0.00868170352411046</v>
      </c>
      <c r="EJ77" s="63" t="n">
        <v>0.00915326251896809</v>
      </c>
      <c r="EK77" s="63" t="n">
        <v>0.00973186252691605</v>
      </c>
      <c r="EL77" s="63" t="n">
        <v>0.0131644785436871</v>
      </c>
      <c r="EM77" s="63" t="n">
        <v>0.00901896687558046</v>
      </c>
      <c r="EN77" s="63" t="n">
        <v>0.0104416734646311</v>
      </c>
      <c r="EO77" s="63" t="n">
        <v>0.00718520056282146</v>
      </c>
      <c r="EP77" s="63" t="n">
        <v>0.00841644814437359</v>
      </c>
      <c r="EQ77" s="63" t="n">
        <v>0.00696084665697683</v>
      </c>
      <c r="ER77" s="63" t="n">
        <v>0.00740891099157603</v>
      </c>
      <c r="ES77" s="63" t="n">
        <v>0.0052051850359327</v>
      </c>
      <c r="ET77" s="63" t="n">
        <v>0.00855243376875015</v>
      </c>
      <c r="EU77" s="63" t="n">
        <v>0.0079940817295483</v>
      </c>
      <c r="EV77" s="63" t="n">
        <v>0.00689005487945149</v>
      </c>
      <c r="EW77" s="63" t="n">
        <v>0.00801784160139252</v>
      </c>
      <c r="EX77" s="63" t="n">
        <v>0.00842893683154</v>
      </c>
      <c r="EY77" s="63" t="n">
        <v>0.0102420856610801</v>
      </c>
      <c r="EZ77" s="63" t="n">
        <v>0.0075003972668044</v>
      </c>
      <c r="FA77" s="63" t="n">
        <v>-0.00476325667959987</v>
      </c>
      <c r="FB77" s="63" t="n">
        <v>-0.00838880084521931</v>
      </c>
      <c r="FC77" s="63" t="n">
        <v>0.000181128537333874</v>
      </c>
      <c r="FD77" s="63" t="n">
        <v>0.00305732212670295</v>
      </c>
      <c r="FE77" s="63" t="n">
        <v>0.00768903993203063</v>
      </c>
      <c r="FF77" s="63" t="n">
        <v>0.00636566755195811</v>
      </c>
      <c r="FG77" s="63" t="n">
        <v>0.00766588471849872</v>
      </c>
      <c r="FH77" s="63" t="n">
        <v>0.00397006859280813</v>
      </c>
      <c r="FI77" s="63" t="n">
        <v>0.00813647750564161</v>
      </c>
      <c r="FJ77" s="63" t="n">
        <v>0.00898467983735163</v>
      </c>
      <c r="FK77" s="63" t="n">
        <v>0.00904714897774328</v>
      </c>
      <c r="FL77" s="63" t="n">
        <v>0.00347950621268356</v>
      </c>
      <c r="FM77" s="63" t="n">
        <v>-0.00133672372031313</v>
      </c>
      <c r="FN77" s="63" t="n">
        <v>0.00346201843726091</v>
      </c>
      <c r="FO77" s="63" t="n">
        <v>0.00220644281301396</v>
      </c>
      <c r="FP77" s="63" t="n">
        <v>0.0019213833960452</v>
      </c>
      <c r="FQ77" s="63" t="n">
        <v>0.00123851378345985</v>
      </c>
      <c r="FR77" s="63" t="n">
        <v>-0.0000498782969553524</v>
      </c>
      <c r="FS77" s="63" t="n">
        <v>0.00197527908299167</v>
      </c>
      <c r="FT77" s="63" t="n">
        <v>0.00323585929488135</v>
      </c>
      <c r="FU77" s="63" t="n">
        <v>0.0152140687957762</v>
      </c>
      <c r="FV77" s="63" t="n">
        <v>-0.00258077129869494</v>
      </c>
      <c r="FW77" s="63" t="n">
        <v>0.00442022522566665</v>
      </c>
      <c r="FX77" s="63" t="n">
        <v>0.00467399153021986</v>
      </c>
      <c r="FY77" s="63" t="n">
        <v>0.00134031332252027</v>
      </c>
      <c r="FZ77" s="63" t="n">
        <v>-0.00161010291079444</v>
      </c>
      <c r="GA77" s="63" t="n">
        <v>0.00196244158821757</v>
      </c>
      <c r="GB77" s="63" t="n">
        <v>0.00153197265719696</v>
      </c>
      <c r="GC77" s="63" t="n">
        <v>-0.000793858247896795</v>
      </c>
      <c r="GD77" s="63" t="n">
        <v>-0.00249973355553179</v>
      </c>
      <c r="GE77" s="63" t="n">
        <v>0.00538109622837601</v>
      </c>
      <c r="GF77" s="63" t="n">
        <v>0.00388379529886862</v>
      </c>
      <c r="GG77" s="63" t="n">
        <v>0.00482152652801959</v>
      </c>
      <c r="GH77" s="63" t="n">
        <v>0.00481754621204855</v>
      </c>
      <c r="GI77" s="63" t="n">
        <v>0.00325984387063571</v>
      </c>
      <c r="GJ77" s="63" t="n">
        <v>0.00441784238278475</v>
      </c>
      <c r="GK77" s="63" t="n">
        <v>0.00718880060537264</v>
      </c>
      <c r="GL77" s="63" t="n">
        <v>0.0101333583771599</v>
      </c>
      <c r="GM77" s="63" t="n">
        <v>0.00730761721473794</v>
      </c>
      <c r="GN77" s="63" t="n">
        <v>0.00579629886012278</v>
      </c>
      <c r="GO77" s="63" t="n">
        <v>0.00733209143549329</v>
      </c>
      <c r="GP77" s="63" t="n">
        <v>0.0106675654993986</v>
      </c>
      <c r="GQ77" s="63" t="n">
        <v>-0.00665206457370005</v>
      </c>
      <c r="GR77" s="63" t="n">
        <v>0.00249534957579067</v>
      </c>
      <c r="GS77" s="63" t="n">
        <v>0.00403692976104275</v>
      </c>
      <c r="GT77" s="63" t="n">
        <v>0.00338063213313378</v>
      </c>
      <c r="GU77" s="63" t="n">
        <v>0.000826587362197984</v>
      </c>
      <c r="GV77" s="63" t="n">
        <v>0.0064276929430036</v>
      </c>
      <c r="GW77" s="63" t="n">
        <v>0.00605660562488297</v>
      </c>
      <c r="GX77" s="63" t="n">
        <v>0.0100542610916055</v>
      </c>
      <c r="GY77" s="63" t="n">
        <v>0.0101560716981794</v>
      </c>
      <c r="GZ77" s="63" t="n">
        <v>0.0108273446936453</v>
      </c>
      <c r="HA77" s="63" t="n">
        <v>0.0106855791962175</v>
      </c>
      <c r="HB77" s="63" t="n">
        <v>0.013906845400109</v>
      </c>
      <c r="HC77" t="n">
        <v>0.0146640604682766</v>
      </c>
      <c r="HD77" t="n">
        <v>0.011839505254194</v>
      </c>
      <c r="HE77" t="n">
        <v>0.00762360785403216</v>
      </c>
    </row>
    <row r="78">
      <c r="A78" s="63" t="s">
        <v>2512</v>
      </c>
      <c r="B78" s="63" t="n">
        <v>0.0212315774113527</v>
      </c>
      <c r="C78" s="63" t="n">
        <v>0.0212315774113527</v>
      </c>
      <c r="D78" s="63" t="n">
        <v>0.0180753018503965</v>
      </c>
      <c r="E78" s="63" t="n">
        <v>0.0189473684210526</v>
      </c>
      <c r="F78" s="63" t="n">
        <v>0.0226584022038567</v>
      </c>
      <c r="G78" s="63" t="n">
        <v>0.0181156980268031</v>
      </c>
      <c r="H78" s="63" t="n">
        <v>0.0140891652334965</v>
      </c>
      <c r="I78" s="63" t="n">
        <v>0.010892961972474</v>
      </c>
      <c r="J78" s="63" t="n">
        <v>0.0223899858046199</v>
      </c>
      <c r="K78" s="63" t="n">
        <v>0.0118018302303566</v>
      </c>
      <c r="L78" s="63" t="n">
        <v>0.0152195608782435</v>
      </c>
      <c r="M78" s="63" t="n">
        <v>0.0137625952322438</v>
      </c>
      <c r="N78" s="63" t="n">
        <v>0.0196969696969695</v>
      </c>
      <c r="O78" s="63" t="n">
        <v>0.0177711738484398</v>
      </c>
      <c r="P78" s="63" t="n">
        <v>0.013431441252044</v>
      </c>
      <c r="Q78" s="63" t="n">
        <v>0.0189581652644923</v>
      </c>
      <c r="R78" s="63" t="n">
        <v>0.0290109144375956</v>
      </c>
      <c r="S78" s="63" t="n">
        <v>0.0347878654649374</v>
      </c>
      <c r="T78" s="63" t="n">
        <v>0.036486271177439</v>
      </c>
      <c r="U78" s="63" t="n">
        <v>0.0294117647058825</v>
      </c>
      <c r="V78" s="63" t="n">
        <v>0.0201095072175212</v>
      </c>
      <c r="W78" s="63" t="n">
        <v>0.019810676295501</v>
      </c>
      <c r="X78" s="63" t="n">
        <v>0.012775119617225</v>
      </c>
      <c r="Y78" s="63" t="n">
        <v>0.0128029479850709</v>
      </c>
      <c r="Z78" s="63" t="n">
        <v>0.0112883664520944</v>
      </c>
      <c r="AA78" s="63" t="n">
        <v>0.0121309963099632</v>
      </c>
      <c r="AB78" s="63" t="n">
        <v>0.00742833705509738</v>
      </c>
      <c r="AC78" s="63" t="n">
        <v>0.0119424590608883</v>
      </c>
      <c r="AD78" s="63" t="n">
        <v>0.0188645507375951</v>
      </c>
      <c r="AE78" s="63" t="n">
        <v>0.0179010179010177</v>
      </c>
      <c r="AF78" s="63" t="n">
        <v>0.0170258620689654</v>
      </c>
      <c r="AG78" s="63" t="n">
        <v>0.0168679805043441</v>
      </c>
      <c r="AH78" s="63" t="n">
        <v>0.0141291209936232</v>
      </c>
      <c r="AI78" s="63" t="n">
        <v>0.0166858457997698</v>
      </c>
      <c r="AJ78" s="63" t="n">
        <v>0.0152397121836849</v>
      </c>
      <c r="AK78" s="63" t="n">
        <v>0.0143340633087798</v>
      </c>
      <c r="AL78" s="63" t="n">
        <v>0.0237880274779194</v>
      </c>
      <c r="AM78" s="63" t="n">
        <v>0.0228902266017408</v>
      </c>
      <c r="AN78" s="63" t="n">
        <v>0.0338855986205862</v>
      </c>
      <c r="AO78" s="63" t="n">
        <v>0.0195417301138423</v>
      </c>
      <c r="AP78" s="63" t="n">
        <v>0.0260303687635577</v>
      </c>
      <c r="AQ78" s="63" t="n">
        <v>0.0274494853221501</v>
      </c>
      <c r="AR78" s="63" t="n">
        <v>0.0288412885815483</v>
      </c>
      <c r="AS78" s="63" t="n">
        <v>0.0272131147540984</v>
      </c>
      <c r="AT78" s="63" t="n">
        <v>0.0325247366741142</v>
      </c>
      <c r="AU78" s="63" t="n">
        <v>0.0215153482333303</v>
      </c>
      <c r="AV78" s="63" t="n">
        <v>0.0135875321531245</v>
      </c>
      <c r="AW78" s="63" t="n">
        <v>0.0157938735295875</v>
      </c>
      <c r="AX78" s="63" t="n">
        <v>0.0168415483643416</v>
      </c>
      <c r="AY78" s="63" t="n">
        <v>0.0160712221066019</v>
      </c>
      <c r="AZ78" s="63" t="n">
        <v>0.0157032316795631</v>
      </c>
      <c r="BA78" s="63" t="n">
        <v>0.0127156621106879</v>
      </c>
      <c r="BB78" s="63" t="n">
        <v>0.00719066320039818</v>
      </c>
      <c r="BC78" s="63" t="n">
        <v>0.0109561205997035</v>
      </c>
      <c r="BD78" s="63" t="n">
        <v>0.00966944617975396</v>
      </c>
      <c r="BE78" s="63" t="n">
        <v>0.00761305248433009</v>
      </c>
      <c r="BF78" s="63" t="n">
        <v>0.0144970098248611</v>
      </c>
      <c r="BG78" s="63" t="n">
        <v>0.00952656648859174</v>
      </c>
      <c r="BH78" s="63" t="n">
        <v>0.00933239488021709</v>
      </c>
      <c r="BI78" s="63" t="n">
        <v>0.00991761150856174</v>
      </c>
      <c r="BJ78" s="63" t="n">
        <v>0.0117893767741606</v>
      </c>
      <c r="BK78" s="63" t="n">
        <v>0.00985744616317863</v>
      </c>
      <c r="BL78" s="63" t="n">
        <v>0.00828452720628703</v>
      </c>
      <c r="BM78" s="63" t="n">
        <v>0.00925902941541534</v>
      </c>
      <c r="BN78" s="63" t="n">
        <v>0.00415662354272217</v>
      </c>
      <c r="BO78" s="63" t="n">
        <v>0.00440884708648692</v>
      </c>
      <c r="BP78" s="63" t="n">
        <v>0.00865705855097909</v>
      </c>
      <c r="BQ78" s="63" t="n">
        <v>0.0127169866060635</v>
      </c>
      <c r="BR78" s="63" t="n">
        <v>0.014300038197097</v>
      </c>
      <c r="BS78" s="63" t="n">
        <v>0.0122155012121354</v>
      </c>
      <c r="BT78" s="63" t="n">
        <v>0.0119750732455937</v>
      </c>
      <c r="BU78" s="63" t="n">
        <v>0.00595115001953084</v>
      </c>
      <c r="BV78" s="63" t="n">
        <v>0.00513933302878034</v>
      </c>
      <c r="BW78" s="63" t="n">
        <v>0.009748892171344</v>
      </c>
      <c r="BX78" s="63" t="n">
        <v>0.00841697798982777</v>
      </c>
      <c r="BY78" s="63" t="n">
        <v>0.0114488484199249</v>
      </c>
      <c r="BZ78" s="63" t="n">
        <v>0.0131506365702434</v>
      </c>
      <c r="CA78" s="63" t="n">
        <v>0.0135679595792408</v>
      </c>
      <c r="CB78" s="63" t="n">
        <v>0.00936828534593892</v>
      </c>
      <c r="CC78" s="63" t="n">
        <v>0.0129214918256131</v>
      </c>
      <c r="CD78" s="63" t="n">
        <v>0.014143706786037</v>
      </c>
      <c r="CE78" s="63" t="n">
        <v>0.0103199602122015</v>
      </c>
      <c r="CF78" s="63" t="n">
        <v>0.0135988841941175</v>
      </c>
      <c r="CG78" s="63" t="n">
        <v>0.0157435700265092</v>
      </c>
      <c r="CH78" s="63" t="n">
        <v>0.00420360593684621</v>
      </c>
      <c r="CI78" s="63" t="n">
        <v>0.00605086696028256</v>
      </c>
      <c r="CJ78" s="63" t="n">
        <v>0.00824278756088415</v>
      </c>
      <c r="CK78" s="63" t="n">
        <v>0.00872303389465867</v>
      </c>
      <c r="CL78" s="63" t="n">
        <v>0.00713523994183229</v>
      </c>
      <c r="CM78" s="63" t="n">
        <v>0.0119361607916371</v>
      </c>
      <c r="CN78" s="63" t="n">
        <v>0.00738161824857797</v>
      </c>
      <c r="CO78" s="63" t="n">
        <v>0.00681762384090945</v>
      </c>
      <c r="CP78" s="63" t="n">
        <v>0.0058148259303723</v>
      </c>
      <c r="CQ78" s="63" t="n">
        <v>0.0058931035768901</v>
      </c>
      <c r="CR78" s="63" t="n">
        <v>0.0028551299640327</v>
      </c>
      <c r="CS78" s="63" t="n">
        <v>0.00504695703616065</v>
      </c>
      <c r="CT78" s="63" t="n">
        <v>0.00816701922192586</v>
      </c>
      <c r="CU78" s="63" t="n">
        <v>0.00556477950701528</v>
      </c>
      <c r="CV78" s="63" t="n">
        <v>0.00874550930797979</v>
      </c>
      <c r="CW78" s="63" t="n">
        <v>0.00848981941146842</v>
      </c>
      <c r="CX78" s="63" t="n">
        <v>0.00558250695583928</v>
      </c>
      <c r="CY78" s="63" t="n">
        <v>0.0075912098047215</v>
      </c>
      <c r="CZ78" s="63" t="n">
        <v>0.00411906564100772</v>
      </c>
      <c r="DA78" s="63" t="n">
        <v>0.00382167838297431</v>
      </c>
      <c r="DB78" s="63" t="n">
        <v>0.00998934702502563</v>
      </c>
      <c r="DC78" s="63" t="n">
        <v>0.00136600210952231</v>
      </c>
      <c r="DD78" s="63" t="n">
        <v>0.00631993369249906</v>
      </c>
      <c r="DE78" s="63" t="n">
        <v>0.00717251793129492</v>
      </c>
      <c r="DF78" s="63" t="n">
        <v>0.00662736813411491</v>
      </c>
      <c r="DG78" s="63" t="n">
        <v>0.00323263095540338</v>
      </c>
      <c r="DH78" s="63" t="n">
        <v>0.00435252041298329</v>
      </c>
      <c r="DI78" s="63" t="n">
        <v>0.00782745993885858</v>
      </c>
      <c r="DJ78" s="63" t="n">
        <v>0.00134999999999996</v>
      </c>
      <c r="DK78" s="63" t="n">
        <v>0.00442735640219039</v>
      </c>
      <c r="DL78" s="63" t="n">
        <v>0.00749001607370703</v>
      </c>
      <c r="DM78" s="63" t="n">
        <v>0.00835540058224638</v>
      </c>
      <c r="DN78" s="63" t="n">
        <v>0.0076826463535975</v>
      </c>
      <c r="DO78" s="63" t="n">
        <v>0.0135323254232897</v>
      </c>
      <c r="DP78" s="63" t="n">
        <v>0.0120100935892931</v>
      </c>
      <c r="DQ78" s="63" t="n">
        <v>0.0114888110343085</v>
      </c>
      <c r="DR78" s="63" t="n">
        <v>0.0127781071551161</v>
      </c>
      <c r="DS78" s="63" t="n">
        <v>0.0106142067074393</v>
      </c>
      <c r="DT78" s="63" t="n">
        <v>0.0107313801408493</v>
      </c>
      <c r="DU78" s="63" t="n">
        <v>0.0124875576870871</v>
      </c>
      <c r="DV78" s="63" t="n">
        <v>0.0119462567402508</v>
      </c>
      <c r="DW78" s="63" t="n">
        <v>0.00391544983513881</v>
      </c>
      <c r="DX78" s="63" t="n">
        <v>0.0026245564646199</v>
      </c>
      <c r="DY78" s="63" t="n">
        <v>0.00194498471797711</v>
      </c>
      <c r="DZ78" s="63" t="n">
        <v>0.00608634731587698</v>
      </c>
      <c r="EA78" s="63" t="n">
        <v>0.00899450174812499</v>
      </c>
      <c r="EB78" s="63" t="n">
        <v>0.00718896924558954</v>
      </c>
      <c r="EC78" s="63" t="n">
        <v>0.00835105851451079</v>
      </c>
      <c r="ED78" s="63" t="n">
        <v>0.0142420295599976</v>
      </c>
      <c r="EE78" s="63" t="n">
        <v>0.000725831216325634</v>
      </c>
      <c r="EF78" s="63" t="n">
        <v>0.0067090690992273</v>
      </c>
      <c r="EG78" s="63" t="n">
        <v>0.00784205057152754</v>
      </c>
      <c r="EH78" s="63" t="n">
        <v>0.012647612763091</v>
      </c>
      <c r="EI78" s="63" t="n">
        <v>0.0142816415742386</v>
      </c>
      <c r="EJ78" s="63" t="n">
        <v>0.0161953073762264</v>
      </c>
      <c r="EK78" s="63" t="n">
        <v>0.0172279809807303</v>
      </c>
      <c r="EL78" s="63" t="n">
        <v>0.00898602892620848</v>
      </c>
      <c r="EM78" s="63" t="n">
        <v>0.0127943535450754</v>
      </c>
      <c r="EN78" s="63" t="n">
        <v>0.0159778008666787</v>
      </c>
      <c r="EO78" s="63" t="n">
        <v>0.0163376276766893</v>
      </c>
      <c r="EP78" s="63" t="n">
        <v>0.00711717570834303</v>
      </c>
      <c r="EQ78" s="63" t="n">
        <v>0.0153521864681443</v>
      </c>
      <c r="ER78" s="63" t="n">
        <v>0.0100320401281604</v>
      </c>
      <c r="ES78" s="63" t="n">
        <v>0.0105739642861387</v>
      </c>
      <c r="ET78" s="63" t="n">
        <v>0.0190926298216534</v>
      </c>
      <c r="EU78" s="63" t="n">
        <v>0.01077489242412</v>
      </c>
      <c r="EV78" s="63" t="n">
        <v>0.0108768846228471</v>
      </c>
      <c r="EW78" s="63" t="n">
        <v>0.0145082985209439</v>
      </c>
      <c r="EX78" s="63" t="n">
        <v>0.0160258193756608</v>
      </c>
      <c r="EY78" s="63" t="n">
        <v>0.0139219015280136</v>
      </c>
      <c r="EZ78" s="63" t="n">
        <v>0.0134174534926432</v>
      </c>
      <c r="FA78" s="63" t="n">
        <v>-0.0118966399454206</v>
      </c>
      <c r="FB78" s="63" t="n">
        <v>-0.0129568894834505</v>
      </c>
      <c r="FC78" s="63" t="n">
        <v>0.00219693740367899</v>
      </c>
      <c r="FD78" s="63" t="n">
        <v>0.00511495005016815</v>
      </c>
      <c r="FE78" s="63" t="n">
        <v>0.00734584043141884</v>
      </c>
      <c r="FF78" s="63" t="n">
        <v>0.00990973523772598</v>
      </c>
      <c r="FG78" s="63" t="n">
        <v>0.00666609782631888</v>
      </c>
      <c r="FH78" s="63" t="n">
        <v>0.00523399340983022</v>
      </c>
      <c r="FI78" s="63" t="n">
        <v>0.00844250977581495</v>
      </c>
      <c r="FJ78" s="63" t="n">
        <v>0.0101590752315057</v>
      </c>
      <c r="FK78" s="63" t="n">
        <v>0.0120434557682358</v>
      </c>
      <c r="FL78" s="63" t="n">
        <v>0.00516286012227307</v>
      </c>
      <c r="FM78" s="63" t="n">
        <v>-0.00116966201853164</v>
      </c>
      <c r="FN78" s="63" t="n">
        <v>0.0121889128752393</v>
      </c>
      <c r="FO78" s="63" t="n">
        <v>0.0000100602609631739</v>
      </c>
      <c r="FP78" s="63" t="n">
        <v>0.00591537393613795</v>
      </c>
      <c r="FQ78" s="63" t="n">
        <v>0.0121812181218122</v>
      </c>
      <c r="FR78" s="63" t="n">
        <v>0.0114911864674729</v>
      </c>
      <c r="FS78" s="63" t="n">
        <v>0.00528469976848922</v>
      </c>
      <c r="FT78" s="63" t="n">
        <v>0.00791938743781095</v>
      </c>
      <c r="FU78" s="63" t="n">
        <v>0.00569764863536015</v>
      </c>
      <c r="FV78" s="63" t="n">
        <v>0.00792768266262778</v>
      </c>
      <c r="FW78" s="63" t="n">
        <v>0.00339531123686343</v>
      </c>
      <c r="FX78" s="63" t="n">
        <v>0.00557335405963877</v>
      </c>
      <c r="FY78" s="63" t="n">
        <v>-0.000339334527288182</v>
      </c>
      <c r="FZ78" s="63" t="n">
        <v>-0.0082788013653422</v>
      </c>
      <c r="GA78" s="63" t="n">
        <v>0.00653190842017182</v>
      </c>
      <c r="GB78" s="63" t="n">
        <v>0.00100129412542627</v>
      </c>
      <c r="GC78" s="63" t="n">
        <v>-0.00334059960931965</v>
      </c>
      <c r="GD78" s="63" t="n">
        <v>-0.00743265634616297</v>
      </c>
      <c r="GE78" s="63" t="n">
        <v>0.00769817800248029</v>
      </c>
      <c r="GF78" s="63" t="n">
        <v>0.00329430029251121</v>
      </c>
      <c r="GG78" s="63" t="n">
        <v>0.00489691937538339</v>
      </c>
      <c r="GH78" s="63" t="n">
        <v>0.00919214301810256</v>
      </c>
      <c r="GI78" s="63" t="n">
        <v>0.00280974665761091</v>
      </c>
      <c r="GJ78" s="63" t="n">
        <v>0.00901795240525138</v>
      </c>
      <c r="GK78" s="63" t="n">
        <v>0.0124589681583713</v>
      </c>
      <c r="GL78" s="63" t="n">
        <v>0.0121875908166231</v>
      </c>
      <c r="GM78" s="63" t="n">
        <v>0.0109013584079531</v>
      </c>
      <c r="GN78" s="63" t="n">
        <v>0.00916844917412951</v>
      </c>
      <c r="GO78" s="63" t="n">
        <v>0.00514502823169338</v>
      </c>
      <c r="GP78" s="63" t="n">
        <v>-0.00273871918940916</v>
      </c>
      <c r="GQ78" s="63" t="n">
        <v>0.00739642374576643</v>
      </c>
      <c r="GR78" s="63" t="n">
        <v>0.0026215630089621</v>
      </c>
      <c r="GS78" s="63" t="n">
        <v>0.00370923747806606</v>
      </c>
      <c r="GT78" s="63" t="n">
        <v>0.0106192392574322</v>
      </c>
      <c r="GU78" s="63" t="n">
        <v>-0.000573767684033943</v>
      </c>
      <c r="GV78" s="63" t="n">
        <v>0.0088513774045671</v>
      </c>
      <c r="GW78" s="63" t="n">
        <v>0.0111943467699469</v>
      </c>
      <c r="GX78" s="63" t="n">
        <v>0.0212421045558393</v>
      </c>
      <c r="GY78" s="63" t="n">
        <v>0.0205781963235598</v>
      </c>
      <c r="GZ78" s="63" t="n">
        <v>0.016988080943209</v>
      </c>
      <c r="HA78" s="63" t="n">
        <v>0.0218867625500219</v>
      </c>
      <c r="HB78" s="63" t="n">
        <v>0.0254115712989602</v>
      </c>
      <c r="HC78" t="n">
        <v>0.0355128030612399</v>
      </c>
      <c r="HD78" t="n">
        <v>0.00718615350909202</v>
      </c>
      <c r="HE78" t="n">
        <v>0.0092883971170441</v>
      </c>
    </row>
    <row r="79">
      <c r="A79" s="63" t="s">
        <v>2513</v>
      </c>
      <c r="B79" s="63" t="n">
        <v>0.019913023575189</v>
      </c>
      <c r="C79" s="63" t="n">
        <v>0.019913023575189</v>
      </c>
      <c r="D79" s="63" t="n">
        <v>0.0176540993417114</v>
      </c>
      <c r="E79" s="63" t="n">
        <v>0.0168332843281389</v>
      </c>
      <c r="F79" s="63" t="n">
        <v>0.0246511964143714</v>
      </c>
      <c r="G79" s="63" t="n">
        <v>0.018696204317765</v>
      </c>
      <c r="H79" s="63" t="n">
        <v>0.0150979984763489</v>
      </c>
      <c r="I79" s="63" t="n">
        <v>0.00907416251620385</v>
      </c>
      <c r="J79" s="63" t="n">
        <v>0.0251521298174444</v>
      </c>
      <c r="K79" s="63" t="n">
        <v>0.0131249175570505</v>
      </c>
      <c r="L79" s="63" t="n">
        <v>0.0155588828852287</v>
      </c>
      <c r="M79" s="63" t="n">
        <v>0.0124358974358976</v>
      </c>
      <c r="N79" s="63" t="n">
        <v>0.0197543370900342</v>
      </c>
      <c r="O79" s="63" t="n">
        <v>0.0168881162299763</v>
      </c>
      <c r="P79" s="63" t="n">
        <v>0.011600928074246</v>
      </c>
      <c r="Q79" s="63" t="n">
        <v>0.0167793336552389</v>
      </c>
      <c r="R79" s="63" t="n">
        <v>0.0242787605366259</v>
      </c>
      <c r="S79" s="63" t="n">
        <v>0.0268907563025211</v>
      </c>
      <c r="T79" s="63" t="n">
        <v>0.0287262260849934</v>
      </c>
      <c r="U79" s="63" t="n">
        <v>0.0261136712749614</v>
      </c>
      <c r="V79" s="63" t="n">
        <v>0.0199957228400343</v>
      </c>
      <c r="W79" s="63" t="n">
        <v>0.0241115420903659</v>
      </c>
      <c r="X79" s="63" t="n">
        <v>0.0153546934179547</v>
      </c>
      <c r="Y79" s="63" t="n">
        <v>0.0145680008065328</v>
      </c>
      <c r="Z79" s="63" t="n">
        <v>0.0130173398916877</v>
      </c>
      <c r="AA79" s="63" t="n">
        <v>0.0130462504291531</v>
      </c>
      <c r="AB79" s="63" t="n">
        <v>0.00876301137739044</v>
      </c>
      <c r="AC79" s="63" t="n">
        <v>0.0131983106162412</v>
      </c>
      <c r="AD79" s="63" t="n">
        <v>0.0203211595850503</v>
      </c>
      <c r="AE79" s="63" t="n">
        <v>0.019870009285051</v>
      </c>
      <c r="AF79" s="63" t="n">
        <v>0.0178896576839038</v>
      </c>
      <c r="AG79" s="63" t="n">
        <v>0.0183354948347569</v>
      </c>
      <c r="AH79" s="63" t="n">
        <v>0.014536032673137</v>
      </c>
      <c r="AI79" s="63" t="n">
        <v>0.0160159293567657</v>
      </c>
      <c r="AJ79" s="63" t="n">
        <v>0.0143149284253579</v>
      </c>
      <c r="AK79" s="63" t="n">
        <v>0.0133988575268817</v>
      </c>
      <c r="AL79" s="63" t="n">
        <v>0.0245368259626146</v>
      </c>
      <c r="AM79" s="63" t="n">
        <v>0.0218455439135887</v>
      </c>
      <c r="AN79" s="63" t="n">
        <v>0.0351161962072926</v>
      </c>
      <c r="AO79" s="63" t="n">
        <v>0.0172110456666412</v>
      </c>
      <c r="AP79" s="63" t="n">
        <v>0.0257181531057302</v>
      </c>
      <c r="AQ79" s="63" t="n">
        <v>0.0271260997067448</v>
      </c>
      <c r="AR79" s="63" t="n">
        <v>0.0278015703069237</v>
      </c>
      <c r="AS79" s="63" t="n">
        <v>0.0265981457689504</v>
      </c>
      <c r="AT79" s="63" t="n">
        <v>0.0335193641129714</v>
      </c>
      <c r="AU79" s="63" t="n">
        <v>0.0209124230920277</v>
      </c>
      <c r="AV79" s="63" t="n">
        <v>0.0119570443981407</v>
      </c>
      <c r="AW79" s="63" t="n">
        <v>0.0153319817536746</v>
      </c>
      <c r="AX79" s="63" t="n">
        <v>0.0175340072382377</v>
      </c>
      <c r="AY79" s="63" t="n">
        <v>0.0159440730974429</v>
      </c>
      <c r="AZ79" s="63" t="n">
        <v>0.0165992635963059</v>
      </c>
      <c r="BA79" s="63" t="n">
        <v>0.0150219688873054</v>
      </c>
      <c r="BB79" s="63" t="n">
        <v>0.0085697572389587</v>
      </c>
      <c r="BC79" s="63" t="n">
        <v>0.0136589043876694</v>
      </c>
      <c r="BD79" s="63" t="n">
        <v>0.0117010928649082</v>
      </c>
      <c r="BE79" s="63" t="n">
        <v>0.00936006560529368</v>
      </c>
      <c r="BF79" s="63" t="n">
        <v>0.0175379615621671</v>
      </c>
      <c r="BG79" s="63" t="n">
        <v>0.0109030837004405</v>
      </c>
      <c r="BH79" s="63" t="n">
        <v>0.0107310164505936</v>
      </c>
      <c r="BI79" s="63" t="n">
        <v>0.011802748585287</v>
      </c>
      <c r="BJ79" s="63" t="n">
        <v>0.013209758176201</v>
      </c>
      <c r="BK79" s="63" t="n">
        <v>0.011434128903375</v>
      </c>
      <c r="BL79" s="63" t="n">
        <v>0.00927778788430045</v>
      </c>
      <c r="BM79" s="63" t="n">
        <v>0.0100679781645896</v>
      </c>
      <c r="BN79" s="63" t="n">
        <v>0.00367094093354092</v>
      </c>
      <c r="BO79" s="63" t="n">
        <v>0.00299712986716094</v>
      </c>
      <c r="BP79" s="63" t="n">
        <v>0.00855934564055816</v>
      </c>
      <c r="BQ79" s="63" t="n">
        <v>0.013182012202777</v>
      </c>
      <c r="BR79" s="63" t="n">
        <v>0.0161825931800159</v>
      </c>
      <c r="BS79" s="63" t="n">
        <v>0.013169125716376</v>
      </c>
      <c r="BT79" s="63" t="n">
        <v>0.0126850403177279</v>
      </c>
      <c r="BU79" s="63" t="n">
        <v>0.00610857577486201</v>
      </c>
      <c r="BV79" s="63" t="n">
        <v>0.00444139951333611</v>
      </c>
      <c r="BW79" s="63" t="n">
        <v>0.0107721617235459</v>
      </c>
      <c r="BX79" s="63" t="n">
        <v>0.00888888888888895</v>
      </c>
      <c r="BY79" s="63" t="n">
        <v>0.0129621514403671</v>
      </c>
      <c r="BZ79" s="63" t="n">
        <v>0.0151642796967144</v>
      </c>
      <c r="CA79" s="63" t="n">
        <v>0.0148704721318829</v>
      </c>
      <c r="CB79" s="63" t="n">
        <v>0.00983468882602545</v>
      </c>
      <c r="CC79" s="63" t="n">
        <v>0.0146849626857506</v>
      </c>
      <c r="CD79" s="63" t="n">
        <v>0.0158528168406522</v>
      </c>
      <c r="CE79" s="63" t="n">
        <v>0.0106796322639546</v>
      </c>
      <c r="CF79" s="63" t="n">
        <v>0.0145372043191463</v>
      </c>
      <c r="CG79" s="63" t="n">
        <v>0.0189257464695407</v>
      </c>
      <c r="CH79" s="63" t="n">
        <v>0.00475532433750603</v>
      </c>
      <c r="CI79" s="63" t="n">
        <v>0.00626997289753661</v>
      </c>
      <c r="CJ79" s="63" t="n">
        <v>0.00954735488020564</v>
      </c>
      <c r="CK79" s="63" t="n">
        <v>0.0113683875206563</v>
      </c>
      <c r="CL79" s="63" t="n">
        <v>0.00944919091302809</v>
      </c>
      <c r="CM79" s="63" t="n">
        <v>0.0135925738133313</v>
      </c>
      <c r="CN79" s="63" t="n">
        <v>0.00856180856180866</v>
      </c>
      <c r="CO79" s="63" t="n">
        <v>0.0073063716138877</v>
      </c>
      <c r="CP79" s="63" t="n">
        <v>0.00547317387269675</v>
      </c>
      <c r="CQ79" s="63" t="n">
        <v>0.00591426203571155</v>
      </c>
      <c r="CR79" s="63" t="n">
        <v>0.00325806089203451</v>
      </c>
      <c r="CS79" s="63" t="n">
        <v>0.00511384845091456</v>
      </c>
      <c r="CT79" s="63" t="n">
        <v>0.0083744940023025</v>
      </c>
      <c r="CU79" s="63" t="n">
        <v>0.00581898536046399</v>
      </c>
      <c r="CV79" s="63" t="n">
        <v>0.00873290492667644</v>
      </c>
      <c r="CW79" s="63" t="n">
        <v>0.00854840466078621</v>
      </c>
      <c r="CX79" s="63" t="n">
        <v>0.0046068851337977</v>
      </c>
      <c r="CY79" s="63" t="n">
        <v>0.00768472906403939</v>
      </c>
      <c r="CZ79" s="63" t="n">
        <v>0.00380417392540977</v>
      </c>
      <c r="DA79" s="63" t="n">
        <v>0.00340015584047593</v>
      </c>
      <c r="DB79" s="63" t="n">
        <v>0.0110130603600425</v>
      </c>
      <c r="DC79" s="63" t="n">
        <v>0.0014314642832205</v>
      </c>
      <c r="DD79" s="63" t="n">
        <v>0.00662413276156615</v>
      </c>
      <c r="DE79" s="63" t="n">
        <v>0.00810445745159827</v>
      </c>
      <c r="DF79" s="63" t="n">
        <v>0.00685402136943014</v>
      </c>
      <c r="DG79" s="63" t="n">
        <v>0.00238854861549487</v>
      </c>
      <c r="DH79" s="63" t="n">
        <v>0.00478273449866395</v>
      </c>
      <c r="DI79" s="63" t="n">
        <v>0.00816478639428131</v>
      </c>
      <c r="DJ79" s="63" t="n">
        <v>0.00157940721822714</v>
      </c>
      <c r="DK79" s="63" t="n">
        <v>0.00531789968126151</v>
      </c>
      <c r="DL79" s="63" t="n">
        <v>0.00780950156023175</v>
      </c>
      <c r="DM79" s="63" t="n">
        <v>0.00900736815961589</v>
      </c>
      <c r="DN79" s="63" t="n">
        <v>0.0085495331396972</v>
      </c>
      <c r="DO79" s="63" t="n">
        <v>0.0150016270745199</v>
      </c>
      <c r="DP79" s="63" t="n">
        <v>0.013850149081466</v>
      </c>
      <c r="DQ79" s="63" t="n">
        <v>0.0122063055371091</v>
      </c>
      <c r="DR79" s="63" t="n">
        <v>0.0139648223937019</v>
      </c>
      <c r="DS79" s="63" t="n">
        <v>0.0104449100320434</v>
      </c>
      <c r="DT79" s="63" t="n">
        <v>0.0117243482238145</v>
      </c>
      <c r="DU79" s="63" t="n">
        <v>0.0140749559215783</v>
      </c>
      <c r="DV79" s="63" t="n">
        <v>0.0133446272272004</v>
      </c>
      <c r="DW79" s="63" t="n">
        <v>0.00423809593641389</v>
      </c>
      <c r="DX79" s="63" t="n">
        <v>0.0025116822429907</v>
      </c>
      <c r="DY79" s="63" t="n">
        <v>0.00112159878809059</v>
      </c>
      <c r="DZ79" s="63" t="n">
        <v>0.00648925489967844</v>
      </c>
      <c r="EA79" s="63" t="n">
        <v>0.00984459703650153</v>
      </c>
      <c r="EB79" s="63" t="n">
        <v>0.00818827301878144</v>
      </c>
      <c r="EC79" s="63" t="n">
        <v>0.00995342761401719</v>
      </c>
      <c r="ED79" s="63" t="n">
        <v>0.0156757440706321</v>
      </c>
      <c r="EE79" s="63" t="n">
        <v>0.000650573057970227</v>
      </c>
      <c r="EF79" s="63" t="n">
        <v>0.0080369617241427</v>
      </c>
      <c r="EG79" s="63" t="n">
        <v>0.00905697661653315</v>
      </c>
      <c r="EH79" s="63" t="n">
        <v>0.0141163031061307</v>
      </c>
      <c r="EI79" s="63" t="n">
        <v>0.0132895266192841</v>
      </c>
      <c r="EJ79" s="63" t="n">
        <v>0.0136446050211088</v>
      </c>
      <c r="EK79" s="63" t="n">
        <v>0.0156413202423231</v>
      </c>
      <c r="EL79" s="63" t="n">
        <v>0.00910142691862714</v>
      </c>
      <c r="EM79" s="63" t="n">
        <v>0.0114015643710668</v>
      </c>
      <c r="EN79" s="63" t="n">
        <v>0.0145100953484565</v>
      </c>
      <c r="EO79" s="63" t="n">
        <v>0.0168973865541002</v>
      </c>
      <c r="EP79" s="63" t="n">
        <v>0.00734988889702826</v>
      </c>
      <c r="EQ79" s="63" t="n">
        <v>0.0137441217821301</v>
      </c>
      <c r="ER79" s="63" t="n">
        <v>0.00908634418115306</v>
      </c>
      <c r="ES79" s="63" t="n">
        <v>0.00749982227909296</v>
      </c>
      <c r="ET79" s="63" t="n">
        <v>0.0176045157876168</v>
      </c>
      <c r="EU79" s="63" t="n">
        <v>0.0108283640734064</v>
      </c>
      <c r="EV79" s="63" t="n">
        <v>0.0111811041626177</v>
      </c>
      <c r="EW79" s="63" t="n">
        <v>0.0151616222144335</v>
      </c>
      <c r="EX79" s="63" t="n">
        <v>0.0176081436272109</v>
      </c>
      <c r="EY79" s="63" t="n">
        <v>0.0154538191290263</v>
      </c>
      <c r="EZ79" s="63" t="n">
        <v>0.0135264763259719</v>
      </c>
      <c r="FA79" s="63" t="n">
        <v>-0.0190777999914926</v>
      </c>
      <c r="FB79" s="63" t="n">
        <v>-0.0175733396934152</v>
      </c>
      <c r="FC79" s="63" t="n">
        <v>0.00492159653943336</v>
      </c>
      <c r="FD79" s="63" t="n">
        <v>0.00858708423468446</v>
      </c>
      <c r="FE79" s="63" t="n">
        <v>0.00927609445938438</v>
      </c>
      <c r="FF79" s="63" t="n">
        <v>0.0115424860573241</v>
      </c>
      <c r="FG79" s="63" t="n">
        <v>0.00718772328331774</v>
      </c>
      <c r="FH79" s="63" t="n">
        <v>0.00571761342580346</v>
      </c>
      <c r="FI79" s="63" t="n">
        <v>0.00933831657630146</v>
      </c>
      <c r="FJ79" s="63" t="n">
        <v>0.0110981308411215</v>
      </c>
      <c r="FK79" s="63" t="n">
        <v>0.0124721465709332</v>
      </c>
      <c r="FL79" s="63" t="n">
        <v>0.00379031025523457</v>
      </c>
      <c r="FM79" s="63" t="n">
        <v>-0.00354253580600294</v>
      </c>
      <c r="FN79" s="63" t="n">
        <v>0.0132629777524242</v>
      </c>
      <c r="FO79" s="63" t="n">
        <v>-0.00174927113702616</v>
      </c>
      <c r="FP79" s="63" t="n">
        <v>0.0060526103770544</v>
      </c>
      <c r="FQ79" s="63" t="n">
        <v>0.0144148472927115</v>
      </c>
      <c r="FR79" s="63" t="n">
        <v>0.0130850528434825</v>
      </c>
      <c r="FS79" s="63" t="n">
        <v>0.00532811236764941</v>
      </c>
      <c r="FT79" s="63" t="n">
        <v>0.00844879372153851</v>
      </c>
      <c r="FU79" s="63" t="n">
        <v>0.00532272631194641</v>
      </c>
      <c r="FV79" s="63" t="n">
        <v>0.00840055047975841</v>
      </c>
      <c r="FW79" s="63" t="n">
        <v>0.00315594939108177</v>
      </c>
      <c r="FX79" s="63" t="n">
        <v>0.00572519083969469</v>
      </c>
      <c r="FY79" s="63" t="n">
        <v>-0.000779679485975127</v>
      </c>
      <c r="FZ79" s="63" t="n">
        <v>-0.00997452313130454</v>
      </c>
      <c r="GA79" s="63" t="n">
        <v>0.00699838571835532</v>
      </c>
      <c r="GB79" s="63" t="n">
        <v>0.00060350599262593</v>
      </c>
      <c r="GC79" s="63" t="n">
        <v>-0.00393927114059811</v>
      </c>
      <c r="GD79" s="63" t="n">
        <v>-0.00852468943070961</v>
      </c>
      <c r="GE79" s="63" t="n">
        <v>0.00760554240781741</v>
      </c>
      <c r="GF79" s="63" t="n">
        <v>0.00384509750068673</v>
      </c>
      <c r="GG79" s="63" t="n">
        <v>0.00491532619463175</v>
      </c>
      <c r="GH79" s="63" t="n">
        <v>0.00973562657253368</v>
      </c>
      <c r="GI79" s="63" t="n">
        <v>0.00225005346201401</v>
      </c>
      <c r="GJ79" s="63" t="n">
        <v>0.0090356695579572</v>
      </c>
      <c r="GK79" s="63" t="n">
        <v>0.0139653761641643</v>
      </c>
      <c r="GL79" s="63" t="n">
        <v>0.0128300449731613</v>
      </c>
      <c r="GM79" s="63" t="n">
        <v>0.0101966822735289</v>
      </c>
      <c r="GN79" s="63" t="n">
        <v>0.0095709044504706</v>
      </c>
      <c r="GO79" s="63" t="n">
        <v>0.00398518284440241</v>
      </c>
      <c r="GP79" s="63" t="n">
        <v>-0.00421417080506403</v>
      </c>
      <c r="GQ79" s="63" t="n">
        <v>0.00639190826558034</v>
      </c>
      <c r="GR79" s="63" t="n">
        <v>0.00214618485107576</v>
      </c>
      <c r="GS79" s="63" t="n">
        <v>0.00422223769892405</v>
      </c>
      <c r="GT79" s="63" t="n">
        <v>0.0124314062053004</v>
      </c>
      <c r="GU79" s="63" t="n">
        <v>-0.000265440502795755</v>
      </c>
      <c r="GV79" s="63" t="n">
        <v>0.00853917571687957</v>
      </c>
      <c r="GW79" s="63" t="n">
        <v>0.0126451130756753</v>
      </c>
      <c r="GX79" s="63" t="n">
        <v>0.0224417570990088</v>
      </c>
      <c r="GY79" s="63" t="n">
        <v>0.0195623287783591</v>
      </c>
      <c r="GZ79" s="63" t="n">
        <v>0.0157920565070835</v>
      </c>
      <c r="HA79" s="63" t="n">
        <v>0.0204013748752634</v>
      </c>
      <c r="HB79" s="63" t="n">
        <v>0.0243942192763229</v>
      </c>
      <c r="HC79" t="n">
        <v>0.0360571277039057</v>
      </c>
      <c r="HD79" t="n">
        <v>0.00408061779675895</v>
      </c>
      <c r="HE79" t="n">
        <v>0.00852864488499816</v>
      </c>
    </row>
    <row r="80">
      <c r="A80" s="63" t="s">
        <v>2514</v>
      </c>
      <c r="B80" s="63" t="n">
        <v>0.0251411589895989</v>
      </c>
      <c r="C80" s="63" t="n">
        <v>0.0251411589895989</v>
      </c>
      <c r="D80" s="63" t="n">
        <v>0.0193645640074211</v>
      </c>
      <c r="E80" s="63" t="n">
        <v>0.0253668524627459</v>
      </c>
      <c r="F80" s="63" t="n">
        <v>0.0168626580874196</v>
      </c>
      <c r="G80" s="63" t="n">
        <v>0.0159829805804057</v>
      </c>
      <c r="H80" s="63" t="n">
        <v>0.0108993288590604</v>
      </c>
      <c r="I80" s="63" t="n">
        <v>0.0172615253877204</v>
      </c>
      <c r="J80" s="63" t="n">
        <v>0.0127917297551299</v>
      </c>
      <c r="K80" s="63" t="n">
        <v>0.00701103206516129</v>
      </c>
      <c r="L80" s="63" t="n">
        <v>0.0138732466468721</v>
      </c>
      <c r="M80" s="63" t="n">
        <v>0.0186821509719768</v>
      </c>
      <c r="N80" s="63" t="n">
        <v>0.019281288723668</v>
      </c>
      <c r="O80" s="63" t="n">
        <v>0.0210562147442133</v>
      </c>
      <c r="P80" s="63" t="n">
        <v>0.0203838643615755</v>
      </c>
      <c r="Q80" s="63" t="n">
        <v>0.0268378063010501</v>
      </c>
      <c r="R80" s="63" t="n">
        <v>0.0463636363636364</v>
      </c>
      <c r="S80" s="63" t="n">
        <v>0.062858384013901</v>
      </c>
      <c r="T80" s="63" t="n">
        <v>0.0639228348387624</v>
      </c>
      <c r="U80" s="63" t="n">
        <v>0.0415658253620683</v>
      </c>
      <c r="V80" s="63" t="n">
        <v>0.0212444214952237</v>
      </c>
      <c r="W80" s="63" t="n">
        <v>0.00494781321102233</v>
      </c>
      <c r="X80" s="63" t="n">
        <v>0.00316250988284339</v>
      </c>
      <c r="Y80" s="63" t="n">
        <v>0.00609013398294755</v>
      </c>
      <c r="Z80" s="63" t="n">
        <v>0.00491382993875522</v>
      </c>
      <c r="AA80" s="63" t="n">
        <v>0.00857487066827289</v>
      </c>
      <c r="AB80" s="63" t="n">
        <v>0.00217818999437891</v>
      </c>
      <c r="AC80" s="63" t="n">
        <v>0.00680081329313609</v>
      </c>
      <c r="AD80" s="63" t="n">
        <v>0.0129526462395544</v>
      </c>
      <c r="AE80" s="63" t="n">
        <v>0.00986525505293567</v>
      </c>
      <c r="AF80" s="63" t="n">
        <v>0.0134449777051635</v>
      </c>
      <c r="AG80" s="63" t="n">
        <v>0.0106804594612748</v>
      </c>
      <c r="AH80" s="63" t="n">
        <v>0.0123953210155523</v>
      </c>
      <c r="AI80" s="63" t="n">
        <v>0.0196619071065156</v>
      </c>
      <c r="AJ80" s="63" t="n">
        <v>0.0191218130311614</v>
      </c>
      <c r="AK80" s="63" t="n">
        <v>0.0178785772948384</v>
      </c>
      <c r="AL80" s="63" t="n">
        <v>0.0206367924528303</v>
      </c>
      <c r="AM80" s="63" t="n">
        <v>0.0271519352975156</v>
      </c>
      <c r="AN80" s="63" t="n">
        <v>0.0291871410810491</v>
      </c>
      <c r="AO80" s="63" t="n">
        <v>0.0283594109526</v>
      </c>
      <c r="AP80" s="63" t="n">
        <v>0.0273256139173241</v>
      </c>
      <c r="AQ80" s="63" t="n">
        <v>0.0286951076747159</v>
      </c>
      <c r="AR80" s="63" t="n">
        <v>0.0328701865819772</v>
      </c>
      <c r="AS80" s="63" t="n">
        <v>0.0295948958413406</v>
      </c>
      <c r="AT80" s="63" t="n">
        <v>0.0283211388183764</v>
      </c>
      <c r="AU80" s="63" t="n">
        <v>0.0239109390125847</v>
      </c>
      <c r="AV80" s="63" t="n">
        <v>0.0204925782357945</v>
      </c>
      <c r="AW80" s="63" t="n">
        <v>0.0178112333526348</v>
      </c>
      <c r="AX80" s="63" t="n">
        <v>0.0140178408884035</v>
      </c>
      <c r="AY80" s="63" t="n">
        <v>0.0167190305206462</v>
      </c>
      <c r="AZ80" s="63" t="n">
        <v>0.0118088511201855</v>
      </c>
      <c r="BA80" s="63" t="n">
        <v>0.0025305410122165</v>
      </c>
      <c r="BB80" s="63" t="n">
        <v>0.000935677604665397</v>
      </c>
      <c r="BC80" s="63" t="n">
        <v>-0.00134785538816073</v>
      </c>
      <c r="BD80" s="63" t="n">
        <v>0.000565992555020989</v>
      </c>
      <c r="BE80" s="63" t="n">
        <v>-0.000282836194330227</v>
      </c>
      <c r="BF80" s="63" t="n">
        <v>0.00108813928182805</v>
      </c>
      <c r="BG80" s="63" t="n">
        <v>0.00354347826086943</v>
      </c>
      <c r="BH80" s="63" t="n">
        <v>0.00322769317418703</v>
      </c>
      <c r="BI80" s="63" t="n">
        <v>0.00202971152185172</v>
      </c>
      <c r="BJ80" s="63" t="n">
        <v>0.00555962591044268</v>
      </c>
      <c r="BK80" s="63" t="n">
        <v>0.00308589062232123</v>
      </c>
      <c r="BL80" s="63" t="n">
        <v>0.00410186292941384</v>
      </c>
      <c r="BM80" s="63" t="n">
        <v>0.00595744680851062</v>
      </c>
      <c r="BN80" s="63" t="n">
        <v>0.00621827411167497</v>
      </c>
      <c r="BO80" s="63" t="n">
        <v>0.0102787236725943</v>
      </c>
      <c r="BP80" s="63" t="n">
        <v>0.00911303913613382</v>
      </c>
      <c r="BQ80" s="63" t="n">
        <v>0.0108245190820808</v>
      </c>
      <c r="BR80" s="63" t="n">
        <v>0.00640476481866759</v>
      </c>
      <c r="BS80" s="63" t="n">
        <v>0.0084110255370895</v>
      </c>
      <c r="BT80" s="63" t="n">
        <v>0.00890362777610276</v>
      </c>
      <c r="BU80" s="63" t="n">
        <v>0.00529901589704762</v>
      </c>
      <c r="BV80" s="63" t="n">
        <v>0.00804533925174389</v>
      </c>
      <c r="BW80" s="63" t="n">
        <v>0.00552388441124441</v>
      </c>
      <c r="BX80" s="63" t="n">
        <v>0.00645148677445206</v>
      </c>
      <c r="BY80" s="63" t="n">
        <v>0.00528350265146371</v>
      </c>
      <c r="BZ80" s="63" t="n">
        <v>0.0048306378374201</v>
      </c>
      <c r="CA80" s="63" t="n">
        <v>0.00811491644712792</v>
      </c>
      <c r="CB80" s="63" t="n">
        <v>0.0074201239866476</v>
      </c>
      <c r="CC80" s="63" t="n">
        <v>0.00550990267732043</v>
      </c>
      <c r="CD80" s="63" t="n">
        <v>0.0071932962997836</v>
      </c>
      <c r="CE80" s="63" t="n">
        <v>0.00882457419559901</v>
      </c>
      <c r="CF80" s="63" t="n">
        <v>0.00971107692877915</v>
      </c>
      <c r="CG80" s="63" t="n">
        <v>0.00266138061413668</v>
      </c>
      <c r="CH80" s="63" t="n">
        <v>0.00197700812769996</v>
      </c>
      <c r="CI80" s="63" t="n">
        <v>0.00515200233849766</v>
      </c>
      <c r="CJ80" s="63" t="n">
        <v>0.00265367697844354</v>
      </c>
      <c r="CK80" s="63" t="n">
        <v>-0.00250163149880356</v>
      </c>
      <c r="CL80" s="63" t="n">
        <v>-0.00261694471704299</v>
      </c>
      <c r="CM80" s="63" t="n">
        <v>0.00473743668233673</v>
      </c>
      <c r="CN80" s="63" t="n">
        <v>0.00203111965470959</v>
      </c>
      <c r="CO80" s="63" t="n">
        <v>0.00456075578238679</v>
      </c>
      <c r="CP80" s="63" t="n">
        <v>0.00744063704824693</v>
      </c>
      <c r="CQ80" s="63" t="n">
        <v>0.00582986104901728</v>
      </c>
      <c r="CR80" s="63" t="n">
        <v>0.00101342341541466</v>
      </c>
      <c r="CS80" s="63" t="n">
        <v>0.00467123725622542</v>
      </c>
      <c r="CT80" s="63" t="n">
        <v>0.00730133474763561</v>
      </c>
      <c r="CU80" s="63" t="n">
        <v>0.00433500649373442</v>
      </c>
      <c r="CV80" s="63" t="n">
        <v>0.0087549148099606</v>
      </c>
      <c r="CW80" s="63" t="n">
        <v>0.00833246717250469</v>
      </c>
      <c r="CX80" s="63" t="n">
        <v>0.0099816173312488</v>
      </c>
      <c r="CY80" s="63" t="n">
        <v>0.0071443151663606</v>
      </c>
      <c r="CZ80" s="63" t="n">
        <v>0.00552290231049857</v>
      </c>
      <c r="DA80" s="63" t="n">
        <v>0.00576131687242798</v>
      </c>
      <c r="DB80" s="63" t="n">
        <v>0.00536090049767868</v>
      </c>
      <c r="DC80" s="63" t="n">
        <v>0.001112975298593</v>
      </c>
      <c r="DD80" s="63" t="n">
        <v>0.004961338067899</v>
      </c>
      <c r="DE80" s="63" t="n">
        <v>0.00323619252043272</v>
      </c>
      <c r="DF80" s="63" t="n">
        <v>0.00564506838267964</v>
      </c>
      <c r="DG80" s="63" t="n">
        <v>0.00682443047918313</v>
      </c>
      <c r="DH80" s="63" t="n">
        <v>0.00253571951041098</v>
      </c>
      <c r="DI80" s="63" t="n">
        <v>0.00643675924574794</v>
      </c>
      <c r="DJ80" s="63" t="n">
        <v>0.000338305892966462</v>
      </c>
      <c r="DK80" s="63" t="n">
        <v>0.00062806989290598</v>
      </c>
      <c r="DL80" s="63" t="n">
        <v>0.00616409695174958</v>
      </c>
      <c r="DM80" s="63" t="n">
        <v>0.00564646416174797</v>
      </c>
      <c r="DN80" s="63" t="n">
        <v>0.00400827103547008</v>
      </c>
      <c r="DO80" s="63" t="n">
        <v>0.00741421374481166</v>
      </c>
      <c r="DP80" s="63" t="n">
        <v>0.00421449913508409</v>
      </c>
      <c r="DQ80" s="63" t="n">
        <v>0.00851890131228661</v>
      </c>
      <c r="DR80" s="63" t="n">
        <v>0.00791900872643714</v>
      </c>
      <c r="DS80" s="63" t="n">
        <v>0.0113846438254868</v>
      </c>
      <c r="DT80" s="63" t="n">
        <v>0.00654978598955092</v>
      </c>
      <c r="DU80" s="63" t="n">
        <v>0.00588671478942504</v>
      </c>
      <c r="DV80" s="63" t="n">
        <v>0.00616819617872721</v>
      </c>
      <c r="DW80" s="63" t="n">
        <v>0.00257177033492839</v>
      </c>
      <c r="DX80" s="63" t="n">
        <v>0.00313189763168875</v>
      </c>
      <c r="DY80" s="63" t="n">
        <v>0.00536707204662368</v>
      </c>
      <c r="DZ80" s="63" t="n">
        <v>0.00440678467385358</v>
      </c>
      <c r="EA80" s="63" t="n">
        <v>0.00543278220285326</v>
      </c>
      <c r="EB80" s="63" t="n">
        <v>0.00307512080831729</v>
      </c>
      <c r="EC80" s="63" t="n">
        <v>0.0017226277372262</v>
      </c>
      <c r="ED80" s="63" t="n">
        <v>0.00829228482322431</v>
      </c>
      <c r="EE80" s="63" t="n">
        <v>0.0010406579270672</v>
      </c>
      <c r="EF80" s="63" t="n">
        <v>0.00127059299152443</v>
      </c>
      <c r="EG80" s="63" t="n">
        <v>0.00276868501881844</v>
      </c>
      <c r="EH80" s="63" t="n">
        <v>0.00651433008815205</v>
      </c>
      <c r="EI80" s="63" t="n">
        <v>0.018373528403246</v>
      </c>
      <c r="EJ80" s="63" t="n">
        <v>0.0269227531636689</v>
      </c>
      <c r="EK80" s="63" t="n">
        <v>0.0240173777613837</v>
      </c>
      <c r="EL80" s="63" t="n">
        <v>0.00844506704022407</v>
      </c>
      <c r="EM80" s="63" t="n">
        <v>0.0188125099222101</v>
      </c>
      <c r="EN80" s="63" t="n">
        <v>0.0222698350863524</v>
      </c>
      <c r="EO80" s="63" t="n">
        <v>0.0139472848523341</v>
      </c>
      <c r="EP80" s="63" t="n">
        <v>0.00621374791726703</v>
      </c>
      <c r="EQ80" s="63" t="n">
        <v>0.0220371269562618</v>
      </c>
      <c r="ER80" s="63" t="n">
        <v>0.0139239118517707</v>
      </c>
      <c r="ES80" s="63" t="n">
        <v>0.0234645328719723</v>
      </c>
      <c r="ET80" s="63" t="n">
        <v>0.025227446146622</v>
      </c>
      <c r="EU80" s="63" t="n">
        <v>0.0104541186708498</v>
      </c>
      <c r="EV80" s="63" t="n">
        <v>0.0096320554806395</v>
      </c>
      <c r="EW80" s="63" t="n">
        <v>0.0117624611378611</v>
      </c>
      <c r="EX80" s="63" t="n">
        <v>0.00947362582505962</v>
      </c>
      <c r="EY80" s="63" t="n">
        <v>0.00769239222409035</v>
      </c>
      <c r="EZ80" s="63" t="n">
        <v>0.0129227145334192</v>
      </c>
      <c r="FA80" s="63" t="n">
        <v>0.0183239309245942</v>
      </c>
      <c r="FB80" s="63" t="n">
        <v>0.00623770959761494</v>
      </c>
      <c r="FC80" s="63" t="n">
        <v>-0.00878372698999741</v>
      </c>
      <c r="FD80" s="63" t="n">
        <v>-0.0090099639601442</v>
      </c>
      <c r="FE80" s="63" t="n">
        <v>-0.000770135843405573</v>
      </c>
      <c r="FF80" s="63" t="n">
        <v>0.00283671241088435</v>
      </c>
      <c r="FG80" s="63" t="n">
        <v>0.00434443815847052</v>
      </c>
      <c r="FH80" s="63" t="n">
        <v>0.00314592411520875</v>
      </c>
      <c r="FI80" s="63" t="n">
        <v>0.00449219163859049</v>
      </c>
      <c r="FJ80" s="63" t="n">
        <v>0.00604366627992814</v>
      </c>
      <c r="FK80" s="63" t="n">
        <v>0.0101066227734501</v>
      </c>
      <c r="FL80" s="63" t="n">
        <v>0.0113028947450362</v>
      </c>
      <c r="FM80" s="63" t="n">
        <v>0.00940104273574449</v>
      </c>
      <c r="FN80" s="63" t="n">
        <v>0.00749349276069622</v>
      </c>
      <c r="FO80" s="63" t="n">
        <v>0.00797263066536158</v>
      </c>
      <c r="FP80" s="63" t="n">
        <v>0.00538651768640053</v>
      </c>
      <c r="FQ80" s="63" t="n">
        <v>0.00197177768704493</v>
      </c>
      <c r="FR80" s="63" t="n">
        <v>0.00405506137255873</v>
      </c>
      <c r="FS80" s="63" t="n">
        <v>0.00509784900468202</v>
      </c>
      <c r="FT80" s="63" t="n">
        <v>0.005387145699147</v>
      </c>
      <c r="FU80" s="63" t="n">
        <v>0.00755252975461618</v>
      </c>
      <c r="FV80" s="63" t="n">
        <v>0.00562922921365794</v>
      </c>
      <c r="FW80" s="63" t="n">
        <v>0.00456325228404308</v>
      </c>
      <c r="FX80" s="63" t="n">
        <v>0.0048312433233566</v>
      </c>
      <c r="FY80" s="63" t="n">
        <v>0.00176230018484991</v>
      </c>
      <c r="FZ80" s="63" t="n">
        <v>-0.000296386947501337</v>
      </c>
      <c r="GA80" s="63" t="n">
        <v>0.00438974005852999</v>
      </c>
      <c r="GB80" s="63" t="n">
        <v>0.00283752773254875</v>
      </c>
      <c r="GC80" s="63" t="n">
        <v>-0.000550707849485965</v>
      </c>
      <c r="GD80" s="63" t="n">
        <v>-0.00242254966226807</v>
      </c>
      <c r="GE80" s="63" t="n">
        <v>0.00815191512865932</v>
      </c>
      <c r="GF80" s="63" t="n">
        <v>0.000755700818046101</v>
      </c>
      <c r="GG80" s="63" t="n">
        <v>0.00483283305959858</v>
      </c>
      <c r="GH80" s="63" t="n">
        <v>0.00670712232513582</v>
      </c>
      <c r="GI80" s="63" t="n">
        <v>0.00533741415347855</v>
      </c>
      <c r="GJ80" s="63" t="n">
        <v>0.00895674772600707</v>
      </c>
      <c r="GK80" s="63" t="n">
        <v>0.0057495055425234</v>
      </c>
      <c r="GL80" s="63" t="n">
        <v>0.0093935790725328</v>
      </c>
      <c r="GM80" s="63" t="n">
        <v>0.0139909566225975</v>
      </c>
      <c r="GN80" s="63" t="n">
        <v>0.00735471532872811</v>
      </c>
      <c r="GO80" s="63" t="n">
        <v>0.0103172350165004</v>
      </c>
      <c r="GP80" s="63" t="n">
        <v>0.00390738187852868</v>
      </c>
      <c r="GQ80" s="63" t="n">
        <v>0.0117989714165763</v>
      </c>
      <c r="GR80" s="63" t="n">
        <v>0.00473716513515621</v>
      </c>
      <c r="GS80" s="63" t="n">
        <v>0.00147123351315082</v>
      </c>
      <c r="GT80" s="63" t="n">
        <v>0.00259450171821296</v>
      </c>
      <c r="GU80" s="63" t="n">
        <v>-0.00191941869033951</v>
      </c>
      <c r="GV80" s="63" t="n">
        <v>0.0101821803258986</v>
      </c>
      <c r="GW80" s="63" t="n">
        <v>0.00457234158281206</v>
      </c>
      <c r="GX80" s="63" t="n">
        <v>0.0156680936024771</v>
      </c>
      <c r="GY80" s="63" t="n">
        <v>0.0251803355156845</v>
      </c>
      <c r="GZ80" s="63" t="n">
        <v>0.0226281108574307</v>
      </c>
      <c r="HA80" s="63" t="n">
        <v>0.0290238515199186</v>
      </c>
      <c r="HB80" s="63" t="n">
        <v>0.0303130911477436</v>
      </c>
      <c r="HC80" t="n">
        <v>0.0328384829250381</v>
      </c>
      <c r="HD80" t="n">
        <v>0.0225434071236297</v>
      </c>
      <c r="HE80" t="n">
        <v>0.0129142127297239</v>
      </c>
    </row>
    <row r="81">
      <c r="A81" s="63" t="s">
        <v>2515</v>
      </c>
      <c r="B81" s="63" t="n">
        <v>545.1</v>
      </c>
      <c r="C81" s="63" t="n">
        <v>549</v>
      </c>
      <c r="D81" s="63" t="n">
        <v>555.7</v>
      </c>
      <c r="E81" s="63" t="n">
        <v>556.3</v>
      </c>
      <c r="F81" s="63" t="n">
        <v>570.5</v>
      </c>
      <c r="G81" s="63" t="n">
        <v>580.4</v>
      </c>
      <c r="H81" s="63" t="n">
        <v>588.8</v>
      </c>
      <c r="I81" s="63" t="n">
        <v>598.4</v>
      </c>
      <c r="J81" s="63" t="n">
        <v>618.5</v>
      </c>
      <c r="K81" s="63" t="n">
        <v>630.4</v>
      </c>
      <c r="L81" s="63" t="n">
        <v>642.3</v>
      </c>
      <c r="M81" s="63" t="n">
        <v>664</v>
      </c>
      <c r="N81" s="63" t="n">
        <v>683.4</v>
      </c>
      <c r="O81" s="63" t="n">
        <v>700.2</v>
      </c>
      <c r="P81" s="63" t="n">
        <v>716.2</v>
      </c>
      <c r="Q81" s="63" t="n">
        <v>735.4</v>
      </c>
      <c r="R81" s="63" t="n">
        <v>748.2</v>
      </c>
      <c r="S81" s="63" t="n">
        <v>765.3</v>
      </c>
      <c r="T81" s="63" t="n">
        <v>783.2</v>
      </c>
      <c r="U81" s="63" t="n">
        <v>792.5</v>
      </c>
      <c r="V81" s="63" t="n">
        <v>792</v>
      </c>
      <c r="W81" s="63" t="n">
        <v>800.4</v>
      </c>
      <c r="X81" s="63" t="n">
        <v>821.3</v>
      </c>
      <c r="Y81" s="63" t="n">
        <v>845.8</v>
      </c>
      <c r="Z81" s="63" t="n">
        <v>871.3</v>
      </c>
      <c r="AA81" s="63" t="n">
        <v>889.4</v>
      </c>
      <c r="AB81" s="63" t="n">
        <v>908.5</v>
      </c>
      <c r="AC81" s="63" t="n">
        <v>930</v>
      </c>
      <c r="AD81" s="63" t="n">
        <v>950.1</v>
      </c>
      <c r="AE81" s="63" t="n">
        <v>981</v>
      </c>
      <c r="AF81" s="63" t="n">
        <v>1007.6</v>
      </c>
      <c r="AG81" s="63" t="n">
        <v>1038.2</v>
      </c>
      <c r="AH81" s="63" t="n">
        <v>1063.9</v>
      </c>
      <c r="AI81" s="63" t="n">
        <v>1106.1</v>
      </c>
      <c r="AJ81" s="63" t="n">
        <v>1138.1</v>
      </c>
      <c r="AK81" s="63" t="n">
        <v>1174.5</v>
      </c>
      <c r="AL81" s="63" t="n">
        <v>1208.6</v>
      </c>
      <c r="AM81" s="63" t="n">
        <v>1234.5</v>
      </c>
      <c r="AN81" s="63" t="n">
        <v>1269.5</v>
      </c>
      <c r="AO81" s="63" t="n">
        <v>1301</v>
      </c>
      <c r="AP81" s="63" t="n">
        <v>1333.9</v>
      </c>
      <c r="AQ81" s="63" t="n">
        <v>1354</v>
      </c>
      <c r="AR81" s="63" t="n">
        <v>1377.4</v>
      </c>
      <c r="AS81" s="63" t="n">
        <v>1428.8</v>
      </c>
      <c r="AT81" s="63" t="n">
        <v>1467.8</v>
      </c>
      <c r="AU81" s="63" t="n">
        <v>1496.8</v>
      </c>
      <c r="AV81" s="63" t="n">
        <v>1530.7</v>
      </c>
      <c r="AW81" s="63" t="n">
        <v>1550.7</v>
      </c>
      <c r="AX81" s="63" t="n">
        <v>1567.7</v>
      </c>
      <c r="AY81" s="63" t="n">
        <v>1581.9</v>
      </c>
      <c r="AZ81" s="63" t="n">
        <v>1596.6</v>
      </c>
      <c r="BA81" s="63" t="n">
        <v>1604.5</v>
      </c>
      <c r="BB81" s="63" t="n">
        <v>1622.6</v>
      </c>
      <c r="BC81" s="63" t="n">
        <v>1654.8</v>
      </c>
      <c r="BD81" s="63" t="n">
        <v>1691.6</v>
      </c>
      <c r="BE81" s="63" t="n">
        <v>1741.7</v>
      </c>
      <c r="BF81" s="63" t="n">
        <v>1784.2</v>
      </c>
      <c r="BG81" s="63" t="n">
        <v>1828.4</v>
      </c>
      <c r="BH81" s="63" t="n">
        <v>1867.3</v>
      </c>
      <c r="BI81" s="63" t="n">
        <v>1900.7</v>
      </c>
      <c r="BJ81" s="63" t="n">
        <v>1932.4</v>
      </c>
      <c r="BK81" s="63" t="n">
        <v>1963.8</v>
      </c>
      <c r="BL81" s="63" t="n">
        <v>1997.6</v>
      </c>
      <c r="BM81" s="63" t="n">
        <v>2037.2</v>
      </c>
      <c r="BN81" s="63" t="n">
        <v>2065.5</v>
      </c>
      <c r="BO81" s="63" t="n">
        <v>2083.6</v>
      </c>
      <c r="BP81" s="63" t="n">
        <v>2113.1</v>
      </c>
      <c r="BQ81" s="63" t="n">
        <v>2154.2</v>
      </c>
      <c r="BR81" s="63" t="n">
        <v>2194.3</v>
      </c>
      <c r="BS81" s="63" t="n">
        <v>2231.4</v>
      </c>
      <c r="BT81" s="63" t="n">
        <v>2272</v>
      </c>
      <c r="BU81" s="63" t="n">
        <v>2332.8</v>
      </c>
      <c r="BV81" s="63" t="n">
        <v>2367.1</v>
      </c>
      <c r="BW81" s="63" t="n">
        <v>2422.5</v>
      </c>
      <c r="BX81" s="63" t="n">
        <v>2463.6</v>
      </c>
      <c r="BY81" s="63" t="n">
        <v>2509.5</v>
      </c>
      <c r="BZ81" s="63" t="n">
        <v>2541.9</v>
      </c>
      <c r="CA81" s="63" t="n">
        <v>2564.7</v>
      </c>
      <c r="CB81" s="63" t="n">
        <v>2593.5</v>
      </c>
      <c r="CC81" s="63" t="n">
        <v>2637.3</v>
      </c>
      <c r="CD81" s="63" t="n">
        <v>2686.6</v>
      </c>
      <c r="CE81" s="63" t="n">
        <v>2741</v>
      </c>
      <c r="CF81" s="63" t="n">
        <v>2771.6</v>
      </c>
      <c r="CG81" s="63" t="n">
        <v>2774.8</v>
      </c>
      <c r="CH81" s="63" t="n">
        <v>2774.1</v>
      </c>
      <c r="CI81" s="63" t="n">
        <v>2802.8</v>
      </c>
      <c r="CJ81" s="63" t="n">
        <v>2830.9</v>
      </c>
      <c r="CK81" s="63" t="n">
        <v>2861.2</v>
      </c>
      <c r="CL81" s="63" t="n">
        <v>2915.9</v>
      </c>
      <c r="CM81" s="63" t="n">
        <v>2955</v>
      </c>
      <c r="CN81" s="63" t="n">
        <v>2979.4</v>
      </c>
      <c r="CO81" s="63" t="n">
        <v>3023.8</v>
      </c>
      <c r="CP81" s="63" t="n">
        <v>3019</v>
      </c>
      <c r="CQ81" s="63" t="n">
        <v>3069.8</v>
      </c>
      <c r="CR81" s="63" t="n">
        <v>3096.9</v>
      </c>
      <c r="CS81" s="63" t="n">
        <v>3144.9</v>
      </c>
      <c r="CT81" s="63" t="n">
        <v>3156.6</v>
      </c>
      <c r="CU81" s="63" t="n">
        <v>3227.4</v>
      </c>
      <c r="CV81" s="63" t="n">
        <v>3262.7</v>
      </c>
      <c r="CW81" s="63" t="n">
        <v>3315.7</v>
      </c>
      <c r="CX81" s="63" t="n">
        <v>3362.1</v>
      </c>
      <c r="CY81" s="63" t="n">
        <v>3399.3</v>
      </c>
      <c r="CZ81" s="63" t="n">
        <v>3443</v>
      </c>
      <c r="DA81" s="63" t="n">
        <v>3484.1</v>
      </c>
      <c r="DB81" s="63" t="n">
        <v>3528.3</v>
      </c>
      <c r="DC81" s="63" t="n">
        <v>3594</v>
      </c>
      <c r="DD81" s="63" t="n">
        <v>3651.3</v>
      </c>
      <c r="DE81" s="63" t="n">
        <v>3708.7</v>
      </c>
      <c r="DF81" s="63" t="n">
        <v>3780.5</v>
      </c>
      <c r="DG81" s="63" t="n">
        <v>3840</v>
      </c>
      <c r="DH81" s="63" t="n">
        <v>3907.4</v>
      </c>
      <c r="DI81" s="63" t="n">
        <v>3997.1</v>
      </c>
      <c r="DJ81" s="63" t="n">
        <v>4079.3</v>
      </c>
      <c r="DK81" s="63" t="n">
        <v>4149.9</v>
      </c>
      <c r="DL81" s="63" t="n">
        <v>4222</v>
      </c>
      <c r="DM81" s="63" t="n">
        <v>4293.5</v>
      </c>
      <c r="DN81" s="63" t="n">
        <v>4372.7</v>
      </c>
      <c r="DO81" s="63" t="n">
        <v>4416.9</v>
      </c>
      <c r="DP81" s="63" t="n">
        <v>4480.2</v>
      </c>
      <c r="DQ81" s="63" t="n">
        <v>4591</v>
      </c>
      <c r="DR81" s="63" t="n">
        <v>4758.7</v>
      </c>
      <c r="DS81" s="63" t="n">
        <v>4786.6</v>
      </c>
      <c r="DT81" s="63" t="n">
        <v>4878.8</v>
      </c>
      <c r="DU81" s="63" t="n">
        <v>4905.7</v>
      </c>
      <c r="DV81" s="63" t="n">
        <v>4987.2</v>
      </c>
      <c r="DW81" s="63" t="n">
        <v>4969.3</v>
      </c>
      <c r="DX81" s="63" t="n">
        <v>4944.1</v>
      </c>
      <c r="DY81" s="63" t="n">
        <v>4946</v>
      </c>
      <c r="DZ81" s="63" t="n">
        <v>4953.9</v>
      </c>
      <c r="EA81" s="63" t="n">
        <v>5006.4</v>
      </c>
      <c r="EB81" s="63" t="n">
        <v>5020.5</v>
      </c>
      <c r="EC81" s="63" t="n">
        <v>5035.5</v>
      </c>
      <c r="ED81" s="63" t="n">
        <v>5035.7</v>
      </c>
      <c r="EE81" s="63" t="n">
        <v>5109.8</v>
      </c>
      <c r="EF81" s="63" t="n">
        <v>5177.4</v>
      </c>
      <c r="EG81" s="63" t="n">
        <v>5264.9</v>
      </c>
      <c r="EH81" s="63" t="n">
        <v>5284</v>
      </c>
      <c r="EI81" s="63" t="n">
        <v>5390.8</v>
      </c>
      <c r="EJ81" s="63" t="n">
        <v>5502.5</v>
      </c>
      <c r="EK81" s="63" t="n">
        <v>5546.1</v>
      </c>
      <c r="EL81" s="63" t="n">
        <v>5586.1</v>
      </c>
      <c r="EM81" s="63" t="n">
        <v>5649.4</v>
      </c>
      <c r="EN81" s="63" t="n">
        <v>5749.8</v>
      </c>
      <c r="EO81" s="63" t="n">
        <v>5826.7</v>
      </c>
      <c r="EP81" s="63" t="n">
        <v>5983.1</v>
      </c>
      <c r="EQ81" s="63" t="n">
        <v>6024.2</v>
      </c>
      <c r="ER81" s="63" t="n">
        <v>6073</v>
      </c>
      <c r="ES81" s="63" t="n">
        <v>6193</v>
      </c>
      <c r="ET81" s="63" t="n">
        <v>6354.7</v>
      </c>
      <c r="EU81" s="63" t="n">
        <v>6381.4</v>
      </c>
      <c r="EV81" s="63" t="n">
        <v>6407.7</v>
      </c>
      <c r="EW81" s="63" t="n">
        <v>6485.3</v>
      </c>
      <c r="EX81" s="63" t="n">
        <v>6552.3</v>
      </c>
      <c r="EY81" s="63" t="n">
        <v>6544.1</v>
      </c>
      <c r="EZ81" s="63" t="n">
        <v>6558</v>
      </c>
      <c r="FA81" s="63" t="n">
        <v>6529.4</v>
      </c>
      <c r="FB81" s="63" t="n">
        <v>6234.6</v>
      </c>
      <c r="FC81" s="63" t="n">
        <v>6262.8</v>
      </c>
      <c r="FD81" s="63" t="n">
        <v>6245.2</v>
      </c>
      <c r="FE81" s="63" t="n">
        <v>6286.6</v>
      </c>
      <c r="FF81" s="63" t="n">
        <v>6240.2</v>
      </c>
      <c r="FG81" s="63" t="n">
        <v>6368.2</v>
      </c>
      <c r="FH81" s="63" t="n">
        <v>6430.5</v>
      </c>
      <c r="FI81" s="63" t="n">
        <v>6481.4</v>
      </c>
      <c r="FJ81" s="63" t="n">
        <v>6584.9</v>
      </c>
      <c r="FK81" s="63" t="n">
        <v>6615.9</v>
      </c>
      <c r="FL81" s="63" t="n">
        <v>6689.7</v>
      </c>
      <c r="FM81" s="63" t="n">
        <v>6645.7</v>
      </c>
      <c r="FN81" s="63" t="n">
        <v>6844.2</v>
      </c>
      <c r="FO81" s="63" t="n">
        <v>6884.3</v>
      </c>
      <c r="FP81" s="63" t="n">
        <v>6914.2</v>
      </c>
      <c r="FQ81" s="63" t="n">
        <v>7101.8</v>
      </c>
      <c r="FR81" s="63" t="n">
        <v>7052.2</v>
      </c>
      <c r="FS81" s="63" t="n">
        <v>7111.5</v>
      </c>
      <c r="FT81" s="63" t="n">
        <v>7121.5</v>
      </c>
      <c r="FU81" s="63" t="n">
        <v>7205.1</v>
      </c>
      <c r="FV81" s="63" t="n">
        <v>7367.7</v>
      </c>
      <c r="FW81" s="63" t="n">
        <v>7418.9</v>
      </c>
      <c r="FX81" s="63" t="n">
        <v>7512.6</v>
      </c>
      <c r="FY81" s="63" t="n">
        <v>7643.9</v>
      </c>
      <c r="FZ81" s="63" t="n">
        <v>7755.9</v>
      </c>
      <c r="GA81" s="63" t="n">
        <v>7840.7</v>
      </c>
      <c r="GB81" s="63" t="n">
        <v>7913.3</v>
      </c>
      <c r="GC81" s="63" t="n">
        <v>7968.5</v>
      </c>
      <c r="GD81" s="63" t="n">
        <v>8003.5</v>
      </c>
      <c r="GE81" s="63" t="n">
        <v>8050.2</v>
      </c>
      <c r="GF81" s="63" t="n">
        <v>8130.4</v>
      </c>
      <c r="GG81" s="63" t="n">
        <v>8224.9</v>
      </c>
      <c r="GH81" s="63" t="n">
        <v>8321.3</v>
      </c>
      <c r="GI81" s="63" t="n">
        <v>8412.8</v>
      </c>
      <c r="GJ81" s="63" t="n">
        <v>8529.1</v>
      </c>
      <c r="GK81" s="63" t="n">
        <v>8676.9</v>
      </c>
      <c r="GL81" s="63" t="n">
        <v>8772.9</v>
      </c>
      <c r="GM81" s="63" t="n">
        <v>8853.4</v>
      </c>
      <c r="GN81" s="63" t="n">
        <v>8979.9</v>
      </c>
      <c r="GO81" s="63" t="n">
        <v>9035.1</v>
      </c>
      <c r="GP81" s="63" t="n">
        <v>9233.6</v>
      </c>
      <c r="GQ81" s="63" t="n">
        <v>9284.7</v>
      </c>
      <c r="GR81" s="63" t="n">
        <v>9340.5</v>
      </c>
      <c r="GS81" s="63" t="n">
        <v>9487</v>
      </c>
      <c r="GT81" s="63" t="n">
        <v>9634.1</v>
      </c>
      <c r="GU81" s="63" t="n">
        <v>9002.7</v>
      </c>
      <c r="GV81" s="63" t="n">
        <v>9432.5</v>
      </c>
      <c r="GW81" s="63" t="n">
        <v>9791.5</v>
      </c>
      <c r="GX81" s="63" t="n">
        <v>9861.1</v>
      </c>
      <c r="GY81" s="63" t="n">
        <v>10148.7</v>
      </c>
      <c r="GZ81" s="63" t="n">
        <v>10433.6</v>
      </c>
      <c r="HA81" s="63" t="n">
        <v>10759.7</v>
      </c>
      <c r="HB81" s="63" t="n">
        <v>10939.3</v>
      </c>
      <c r="HC81" t="n">
        <v>11071.9</v>
      </c>
      <c r="HD81" t="n">
        <v>11374.7</v>
      </c>
      <c r="HE81" t="n">
        <v>11566.2</v>
      </c>
    </row>
    <row r="82">
      <c r="A82" s="63" t="s">
        <v>2516</v>
      </c>
      <c r="B82" s="63" t="n">
        <v>77.1</v>
      </c>
      <c r="C82" s="63" t="n">
        <v>76.7</v>
      </c>
      <c r="D82" s="63" t="n">
        <v>78.5</v>
      </c>
      <c r="E82" s="63" t="n">
        <v>78.9</v>
      </c>
      <c r="F82" s="63" t="n">
        <v>80.3</v>
      </c>
      <c r="G82" s="63" t="n">
        <v>82.8</v>
      </c>
      <c r="H82" s="63" t="n">
        <v>84.6</v>
      </c>
      <c r="I82" s="63" t="n">
        <v>87.9</v>
      </c>
      <c r="J82" s="63" t="n">
        <v>87.9</v>
      </c>
      <c r="K82" s="63" t="n">
        <v>91.3</v>
      </c>
      <c r="L82" s="63" t="n">
        <v>95.5</v>
      </c>
      <c r="M82" s="63" t="n">
        <v>105.6</v>
      </c>
      <c r="N82" s="63" t="n">
        <v>104.1</v>
      </c>
      <c r="O82" s="63" t="n">
        <v>109.9</v>
      </c>
      <c r="P82" s="63" t="n">
        <v>113.8</v>
      </c>
      <c r="Q82" s="63" t="n">
        <v>122.2</v>
      </c>
      <c r="R82" s="63" t="n">
        <v>115.7</v>
      </c>
      <c r="S82" s="63" t="n">
        <v>108.6</v>
      </c>
      <c r="T82" s="63" t="n">
        <v>111</v>
      </c>
      <c r="U82" s="63" t="n">
        <v>113.5</v>
      </c>
      <c r="V82" s="63" t="n">
        <v>112.7</v>
      </c>
      <c r="W82" s="63" t="n">
        <v>114.3</v>
      </c>
      <c r="X82" s="63" t="n">
        <v>120.7</v>
      </c>
      <c r="Y82" s="63" t="n">
        <v>125.2</v>
      </c>
      <c r="Z82" s="63" t="n">
        <v>126.4</v>
      </c>
      <c r="AA82" s="63" t="n">
        <v>128.6</v>
      </c>
      <c r="AB82" s="63" t="n">
        <v>132.7</v>
      </c>
      <c r="AC82" s="63" t="n">
        <v>136.2</v>
      </c>
      <c r="AD82" s="63" t="n">
        <v>138.6</v>
      </c>
      <c r="AE82" s="63" t="n">
        <v>140.5</v>
      </c>
      <c r="AF82" s="63" t="n">
        <v>142.4</v>
      </c>
      <c r="AG82" s="63" t="n">
        <v>156.5</v>
      </c>
      <c r="AH82" s="63" t="n">
        <v>158.5</v>
      </c>
      <c r="AI82" s="63" t="n">
        <v>166.1</v>
      </c>
      <c r="AJ82" s="63" t="n">
        <v>168.3</v>
      </c>
      <c r="AK82" s="63" t="n">
        <v>170.9</v>
      </c>
      <c r="AL82" s="63" t="n">
        <v>180.1</v>
      </c>
      <c r="AM82" s="63" t="n">
        <v>179.2</v>
      </c>
      <c r="AN82" s="63" t="n">
        <v>180.7</v>
      </c>
      <c r="AO82" s="63" t="n">
        <v>177.8</v>
      </c>
      <c r="AP82" s="63" t="n">
        <v>167.6</v>
      </c>
      <c r="AQ82" s="63" t="n">
        <v>160.3</v>
      </c>
      <c r="AR82" s="63" t="n">
        <v>173.4</v>
      </c>
      <c r="AS82" s="63" t="n">
        <v>185</v>
      </c>
      <c r="AT82" s="63" t="n">
        <v>188.2</v>
      </c>
      <c r="AU82" s="63" t="n">
        <v>176.4</v>
      </c>
      <c r="AV82" s="63" t="n">
        <v>182.3</v>
      </c>
      <c r="AW82" s="63" t="n">
        <v>171.8</v>
      </c>
      <c r="AX82" s="63" t="n">
        <v>165.2</v>
      </c>
      <c r="AY82" s="63" t="n">
        <v>169.4</v>
      </c>
      <c r="AZ82" s="63" t="n">
        <v>170.7</v>
      </c>
      <c r="BA82" s="63" t="n">
        <v>179.5</v>
      </c>
      <c r="BB82" s="63" t="n">
        <v>183.3</v>
      </c>
      <c r="BC82" s="63" t="n">
        <v>182.6</v>
      </c>
      <c r="BD82" s="63" t="n">
        <v>183.8</v>
      </c>
      <c r="BE82" s="63" t="n">
        <v>195.3</v>
      </c>
      <c r="BF82" s="63" t="n">
        <v>221.9</v>
      </c>
      <c r="BG82" s="63" t="n">
        <v>231.8</v>
      </c>
      <c r="BH82" s="63" t="n">
        <v>232.4</v>
      </c>
      <c r="BI82" s="63" t="n">
        <v>226.9</v>
      </c>
      <c r="BJ82" s="63" t="n">
        <v>240.7</v>
      </c>
      <c r="BK82" s="63" t="n">
        <v>238.5</v>
      </c>
      <c r="BL82" s="63" t="n">
        <v>240.7</v>
      </c>
      <c r="BM82" s="63" t="n">
        <v>244.3</v>
      </c>
      <c r="BN82" s="63" t="n">
        <v>245.6</v>
      </c>
      <c r="BO82" s="63" t="n">
        <v>251.6</v>
      </c>
      <c r="BP82" s="63" t="n">
        <v>264.4</v>
      </c>
      <c r="BQ82" s="63" t="n">
        <v>264.2</v>
      </c>
      <c r="BR82" s="63" t="n">
        <v>275.4</v>
      </c>
      <c r="BS82" s="63" t="n">
        <v>282.3</v>
      </c>
      <c r="BT82" s="63" t="n">
        <v>289.5</v>
      </c>
      <c r="BU82" s="63" t="n">
        <v>298.6</v>
      </c>
      <c r="BV82" s="63" t="n">
        <v>319.2</v>
      </c>
      <c r="BW82" s="63" t="n">
        <v>322.5</v>
      </c>
      <c r="BX82" s="63" t="n">
        <v>333.6</v>
      </c>
      <c r="BY82" s="63" t="n">
        <v>326.8</v>
      </c>
      <c r="BZ82" s="63" t="n">
        <v>348.1</v>
      </c>
      <c r="CA82" s="63" t="n">
        <v>339.5</v>
      </c>
      <c r="CB82" s="63" t="n">
        <v>337.2</v>
      </c>
      <c r="CC82" s="63" t="n">
        <v>339.7</v>
      </c>
      <c r="CD82" s="63" t="n">
        <v>345.6</v>
      </c>
      <c r="CE82" s="63" t="n">
        <v>351.1</v>
      </c>
      <c r="CF82" s="63" t="n">
        <v>358.9</v>
      </c>
      <c r="CG82" s="63" t="n">
        <v>357</v>
      </c>
      <c r="CH82" s="63" t="n">
        <v>347.5</v>
      </c>
      <c r="CI82" s="63" t="n">
        <v>353</v>
      </c>
      <c r="CJ82" s="63" t="n">
        <v>353.6</v>
      </c>
      <c r="CK82" s="63" t="n">
        <v>362.6</v>
      </c>
      <c r="CL82" s="63" t="n">
        <v>378.7</v>
      </c>
      <c r="CM82" s="63" t="n">
        <v>395.2</v>
      </c>
      <c r="CN82" s="63" t="n">
        <v>407.9</v>
      </c>
      <c r="CO82" s="63" t="n">
        <v>418.8</v>
      </c>
      <c r="CP82" s="63" t="n">
        <v>418.9</v>
      </c>
      <c r="CQ82" s="63" t="n">
        <v>429.6</v>
      </c>
      <c r="CR82" s="63" t="n">
        <v>423.4</v>
      </c>
      <c r="CS82" s="63" t="n">
        <v>440</v>
      </c>
      <c r="CT82" s="63" t="n">
        <v>450.2</v>
      </c>
      <c r="CU82" s="63" t="n">
        <v>454.1</v>
      </c>
      <c r="CV82" s="63" t="n">
        <v>456.8</v>
      </c>
      <c r="CW82" s="63" t="n">
        <v>465.5</v>
      </c>
      <c r="CX82" s="63" t="n">
        <v>467.4</v>
      </c>
      <c r="CY82" s="63" t="n">
        <v>472</v>
      </c>
      <c r="CZ82" s="63" t="n">
        <v>484.5</v>
      </c>
      <c r="DA82" s="63" t="n">
        <v>501</v>
      </c>
      <c r="DB82" s="63" t="n">
        <v>523.3</v>
      </c>
      <c r="DC82" s="63" t="n">
        <v>547.5</v>
      </c>
      <c r="DD82" s="63" t="n">
        <v>547.5</v>
      </c>
      <c r="DE82" s="63" t="n">
        <v>556.8</v>
      </c>
      <c r="DF82" s="63" t="n">
        <v>575.6</v>
      </c>
      <c r="DG82" s="63" t="n">
        <v>575.1</v>
      </c>
      <c r="DH82" s="63" t="n">
        <v>588.5</v>
      </c>
      <c r="DI82" s="63" t="n">
        <v>596.6</v>
      </c>
      <c r="DJ82" s="63" t="n">
        <v>617.4</v>
      </c>
      <c r="DK82" s="63" t="n">
        <v>629.6</v>
      </c>
      <c r="DL82" s="63" t="n">
        <v>645</v>
      </c>
      <c r="DM82" s="63" t="n">
        <v>668.7</v>
      </c>
      <c r="DN82" s="63" t="n">
        <v>681.9</v>
      </c>
      <c r="DO82" s="63" t="n">
        <v>690.1</v>
      </c>
      <c r="DP82" s="63" t="n">
        <v>699.8</v>
      </c>
      <c r="DQ82" s="63" t="n">
        <v>713.9</v>
      </c>
      <c r="DR82" s="63" t="n">
        <v>720.9</v>
      </c>
      <c r="DS82" s="63" t="n">
        <v>751.3</v>
      </c>
      <c r="DT82" s="63" t="n">
        <v>760.8</v>
      </c>
      <c r="DU82" s="63" t="n">
        <v>782.4</v>
      </c>
      <c r="DV82" s="63" t="n">
        <v>809.8</v>
      </c>
      <c r="DW82" s="63" t="n">
        <v>827.7</v>
      </c>
      <c r="DX82" s="63" t="n">
        <v>845.6</v>
      </c>
      <c r="DY82" s="63" t="n">
        <v>840.9</v>
      </c>
      <c r="DZ82" s="63" t="n">
        <v>859.5</v>
      </c>
      <c r="EA82" s="63" t="n">
        <v>864.5</v>
      </c>
      <c r="EB82" s="63" t="n">
        <v>872.9</v>
      </c>
      <c r="EC82" s="63" t="n">
        <v>883.3</v>
      </c>
      <c r="ED82" s="63" t="n">
        <v>876.3</v>
      </c>
      <c r="EE82" s="63" t="n">
        <v>892.4</v>
      </c>
      <c r="EF82" s="63" t="n">
        <v>905.3</v>
      </c>
      <c r="EG82" s="63" t="n">
        <v>916.1</v>
      </c>
      <c r="EH82" s="63" t="n">
        <v>946.5</v>
      </c>
      <c r="EI82" s="63" t="n">
        <v>963</v>
      </c>
      <c r="EJ82" s="63" t="n">
        <v>964.2</v>
      </c>
      <c r="EK82" s="63" t="n">
        <v>977.8</v>
      </c>
      <c r="EL82" s="63" t="n">
        <v>957.1</v>
      </c>
      <c r="EM82" s="63" t="n">
        <v>964.1</v>
      </c>
      <c r="EN82" s="63" t="n">
        <v>988.1</v>
      </c>
      <c r="EO82" s="63" t="n">
        <v>1007.2</v>
      </c>
      <c r="EP82" s="63" t="n">
        <v>1049.1</v>
      </c>
      <c r="EQ82" s="63" t="n">
        <v>1052.1</v>
      </c>
      <c r="ER82" s="63" t="n">
        <v>1049</v>
      </c>
      <c r="ES82" s="63" t="n">
        <v>1053.3</v>
      </c>
      <c r="ET82" s="63" t="n">
        <v>1017.5</v>
      </c>
      <c r="EU82" s="63" t="n">
        <v>997.9</v>
      </c>
      <c r="EV82" s="63" t="n">
        <v>986.8</v>
      </c>
      <c r="EW82" s="63" t="n">
        <v>979.8</v>
      </c>
      <c r="EX82" s="63" t="n">
        <v>964.1</v>
      </c>
      <c r="EY82" s="63" t="n">
        <v>967.2</v>
      </c>
      <c r="EZ82" s="63" t="n">
        <v>956.6</v>
      </c>
      <c r="FA82" s="63" t="n">
        <v>950.7</v>
      </c>
      <c r="FB82" s="63" t="n">
        <v>913.2</v>
      </c>
      <c r="FC82" s="63" t="n">
        <v>901.5</v>
      </c>
      <c r="FD82" s="63" t="n">
        <v>934.5</v>
      </c>
      <c r="FE82" s="63" t="n">
        <v>1001.3</v>
      </c>
      <c r="FF82" s="63" t="n">
        <v>1055.8</v>
      </c>
      <c r="FG82" s="63" t="n">
        <v>1102.7</v>
      </c>
      <c r="FH82" s="63" t="n">
        <v>1128</v>
      </c>
      <c r="FI82" s="63" t="n">
        <v>1142.7</v>
      </c>
      <c r="FJ82" s="63" t="n">
        <v>1179</v>
      </c>
      <c r="FK82" s="63" t="n">
        <v>1210.2</v>
      </c>
      <c r="FL82" s="63" t="n">
        <v>1251.6</v>
      </c>
      <c r="FM82" s="63" t="n">
        <v>1268.9</v>
      </c>
      <c r="FN82" s="63" t="n">
        <v>1321.8</v>
      </c>
      <c r="FO82" s="63" t="n">
        <v>1355.6</v>
      </c>
      <c r="FP82" s="63" t="n">
        <v>1344.9</v>
      </c>
      <c r="FQ82" s="63" t="n">
        <v>1363.2</v>
      </c>
      <c r="FR82" s="63" t="n">
        <v>1387.2</v>
      </c>
      <c r="FS82" s="63" t="n">
        <v>1410.6</v>
      </c>
      <c r="FT82" s="63" t="n">
        <v>1411</v>
      </c>
      <c r="FU82" s="63" t="n">
        <v>1400</v>
      </c>
      <c r="FV82" s="63" t="n">
        <v>1411.4</v>
      </c>
      <c r="FW82" s="63" t="n">
        <v>1450.6</v>
      </c>
      <c r="FX82" s="63" t="n">
        <v>1466.2</v>
      </c>
      <c r="FY82" s="63" t="n">
        <v>1454.4</v>
      </c>
      <c r="FZ82" s="63" t="n">
        <v>1434.9</v>
      </c>
      <c r="GA82" s="63" t="n">
        <v>1411.3</v>
      </c>
      <c r="GB82" s="63" t="n">
        <v>1423.2</v>
      </c>
      <c r="GC82" s="63" t="n">
        <v>1413.8</v>
      </c>
      <c r="GD82" s="63" t="n">
        <v>1410.1</v>
      </c>
      <c r="GE82" s="63" t="n">
        <v>1409.6</v>
      </c>
      <c r="GF82" s="63" t="n">
        <v>1431</v>
      </c>
      <c r="GG82" s="63" t="n">
        <v>1442.5</v>
      </c>
      <c r="GH82" s="63" t="n">
        <v>1485</v>
      </c>
      <c r="GI82" s="63" t="n">
        <v>1501.4</v>
      </c>
      <c r="GJ82" s="63" t="n">
        <v>1502.6</v>
      </c>
      <c r="GK82" s="63" t="n">
        <v>1529.4</v>
      </c>
      <c r="GL82" s="63" t="n">
        <v>1550.1</v>
      </c>
      <c r="GM82" s="63" t="n">
        <v>1557.3</v>
      </c>
      <c r="GN82" s="63" t="n">
        <v>1571.3</v>
      </c>
      <c r="GO82" s="63" t="n">
        <v>1596.1</v>
      </c>
      <c r="GP82" s="63" t="n">
        <v>1583.4</v>
      </c>
      <c r="GQ82" s="63" t="n">
        <v>1575.2</v>
      </c>
      <c r="GR82" s="63" t="n">
        <v>1615.3</v>
      </c>
      <c r="GS82" s="63" t="n">
        <v>1631.9</v>
      </c>
      <c r="GT82" s="63" t="n">
        <v>1643.2</v>
      </c>
      <c r="GU82" s="63" t="n">
        <v>1475.6</v>
      </c>
      <c r="GV82" s="63" t="n">
        <v>1751.6</v>
      </c>
      <c r="GW82" s="63" t="n">
        <v>1702</v>
      </c>
      <c r="GX82" s="63" t="n">
        <v>1655</v>
      </c>
      <c r="GY82" s="63" t="n">
        <v>1776.9</v>
      </c>
      <c r="GZ82" s="63" t="n">
        <v>1792.7</v>
      </c>
      <c r="HA82" s="63" t="n">
        <v>1789.8</v>
      </c>
      <c r="HB82" s="63" t="n">
        <v>1811.4</v>
      </c>
      <c r="HC82" t="n">
        <v>1835.4</v>
      </c>
      <c r="HD82" t="n">
        <v>1863.5</v>
      </c>
      <c r="HE82" t="n">
        <v>1883.5</v>
      </c>
    </row>
    <row r="83">
      <c r="A83" s="63" t="s">
        <v>2517</v>
      </c>
      <c r="B83" s="63" t="n">
        <v>20.4</v>
      </c>
      <c r="C83" s="63" t="n">
        <v>20.2</v>
      </c>
      <c r="D83" s="63" t="n">
        <v>20.9</v>
      </c>
      <c r="E83" s="63" t="n">
        <v>21.2</v>
      </c>
      <c r="F83" s="63" t="n">
        <v>21.1</v>
      </c>
      <c r="G83" s="63" t="n">
        <v>21.7</v>
      </c>
      <c r="H83" s="63" t="n">
        <v>22</v>
      </c>
      <c r="I83" s="63" t="n">
        <v>22.5</v>
      </c>
      <c r="J83" s="63" t="n">
        <v>23.1</v>
      </c>
      <c r="K83" s="63" t="n">
        <v>20.2</v>
      </c>
      <c r="L83" s="63" t="n">
        <v>23.9</v>
      </c>
      <c r="M83" s="63" t="n">
        <v>23.8</v>
      </c>
      <c r="N83" s="63" t="n">
        <v>23.5</v>
      </c>
      <c r="O83" s="63" t="n">
        <v>23.3</v>
      </c>
      <c r="P83" s="63" t="n">
        <v>22.3</v>
      </c>
      <c r="Q83" s="63" t="n">
        <v>23.3</v>
      </c>
      <c r="R83" s="63" t="n">
        <v>23.5</v>
      </c>
      <c r="S83" s="63" t="n">
        <v>22.9</v>
      </c>
      <c r="T83" s="63" t="n">
        <v>23.3</v>
      </c>
      <c r="U83" s="63" t="n">
        <v>23</v>
      </c>
      <c r="V83" s="63" t="n">
        <v>22.7</v>
      </c>
      <c r="W83" s="63" t="n">
        <v>22.4</v>
      </c>
      <c r="X83" s="63" t="n">
        <v>22.2</v>
      </c>
      <c r="Y83" s="63" t="n">
        <v>21.9</v>
      </c>
      <c r="Z83" s="63" t="n">
        <v>21.6</v>
      </c>
      <c r="AA83" s="63" t="n">
        <v>20.5</v>
      </c>
      <c r="AB83" s="63" t="n">
        <v>20</v>
      </c>
      <c r="AC83" s="63" t="n">
        <v>19.1</v>
      </c>
      <c r="AD83" s="63" t="n">
        <v>16.4</v>
      </c>
      <c r="AE83" s="63" t="n">
        <v>16.3</v>
      </c>
      <c r="AF83" s="63" t="n">
        <v>15.6</v>
      </c>
      <c r="AG83" s="63" t="n">
        <v>15.1</v>
      </c>
      <c r="AH83" s="63" t="n">
        <v>15.9</v>
      </c>
      <c r="AI83" s="63" t="n">
        <v>15.6</v>
      </c>
      <c r="AJ83" s="63" t="n">
        <v>17.1</v>
      </c>
      <c r="AK83" s="63" t="n">
        <v>17.5</v>
      </c>
      <c r="AL83" s="63" t="n">
        <v>17.3</v>
      </c>
      <c r="AM83" s="63" t="n">
        <v>15.6</v>
      </c>
      <c r="AN83" s="63" t="n">
        <v>15.4</v>
      </c>
      <c r="AO83" s="63" t="n">
        <v>16.1</v>
      </c>
      <c r="AP83" s="63" t="n">
        <v>15.8</v>
      </c>
      <c r="AQ83" s="63" t="n">
        <v>17.1</v>
      </c>
      <c r="AR83" s="63" t="n">
        <v>19.9</v>
      </c>
      <c r="AS83" s="63" t="n">
        <v>23.2</v>
      </c>
      <c r="AT83" s="63" t="n">
        <v>24</v>
      </c>
      <c r="AU83" s="63" t="n">
        <v>23.3</v>
      </c>
      <c r="AV83" s="63" t="n">
        <v>23.1</v>
      </c>
      <c r="AW83" s="63" t="n">
        <v>24.7</v>
      </c>
      <c r="AX83" s="63" t="n">
        <v>23.5</v>
      </c>
      <c r="AY83" s="63" t="n">
        <v>21.1</v>
      </c>
      <c r="AZ83" s="63" t="n">
        <v>24.4</v>
      </c>
      <c r="BA83" s="63" t="n">
        <v>26.3</v>
      </c>
      <c r="BB83" s="63" t="n">
        <v>25.8</v>
      </c>
      <c r="BC83" s="63" t="n">
        <v>24.7</v>
      </c>
      <c r="BD83" s="63" t="n">
        <v>23.7</v>
      </c>
      <c r="BE83" s="63" t="n">
        <v>23.5</v>
      </c>
      <c r="BF83" s="63" t="n">
        <v>23.2</v>
      </c>
      <c r="BG83" s="63" t="n">
        <v>21.7</v>
      </c>
      <c r="BH83" s="63" t="n">
        <v>24.4</v>
      </c>
      <c r="BI83" s="63" t="n">
        <v>29.3</v>
      </c>
      <c r="BJ83" s="63" t="n">
        <v>26.9</v>
      </c>
      <c r="BK83" s="63" t="n">
        <v>25.3</v>
      </c>
      <c r="BL83" s="63" t="n">
        <v>27.1</v>
      </c>
      <c r="BM83" s="63" t="n">
        <v>25.6</v>
      </c>
      <c r="BN83" s="63" t="n">
        <v>22</v>
      </c>
      <c r="BO83" s="63" t="n">
        <v>21.1</v>
      </c>
      <c r="BP83" s="63" t="n">
        <v>16.6</v>
      </c>
      <c r="BQ83" s="63" t="n">
        <v>13.4</v>
      </c>
      <c r="BR83" s="63" t="n">
        <v>14.5</v>
      </c>
      <c r="BS83" s="63" t="n">
        <v>14.1</v>
      </c>
      <c r="BT83" s="63" t="n">
        <v>17.5</v>
      </c>
      <c r="BU83" s="63" t="n">
        <v>20.3</v>
      </c>
      <c r="BV83" s="63" t="n">
        <v>21.1</v>
      </c>
      <c r="BW83" s="63" t="n">
        <v>20.3</v>
      </c>
      <c r="BX83" s="63" t="n">
        <v>21.2</v>
      </c>
      <c r="BY83" s="63" t="n">
        <v>27.4</v>
      </c>
      <c r="BZ83" s="63" t="n">
        <v>23.1</v>
      </c>
      <c r="CA83" s="63" t="n">
        <v>21.2</v>
      </c>
      <c r="CB83" s="63" t="n">
        <v>20</v>
      </c>
      <c r="CC83" s="63" t="n">
        <v>21.8</v>
      </c>
      <c r="CD83" s="63" t="n">
        <v>23.1</v>
      </c>
      <c r="CE83" s="63" t="n">
        <v>26.7</v>
      </c>
      <c r="CF83" s="63" t="n">
        <v>31.6</v>
      </c>
      <c r="CG83" s="63" t="n">
        <v>31.3</v>
      </c>
      <c r="CH83" s="63" t="n">
        <v>33</v>
      </c>
      <c r="CI83" s="63" t="n">
        <v>35.5</v>
      </c>
      <c r="CJ83" s="63" t="n">
        <v>39.4</v>
      </c>
      <c r="CK83" s="63" t="n">
        <v>46.4</v>
      </c>
      <c r="CL83" s="63" t="n">
        <v>50</v>
      </c>
      <c r="CM83" s="63" t="n">
        <v>57.3</v>
      </c>
      <c r="CN83" s="63" t="n">
        <v>64.3</v>
      </c>
      <c r="CO83" s="63" t="n">
        <v>70.7</v>
      </c>
      <c r="CP83" s="63" t="n">
        <v>80.7</v>
      </c>
      <c r="CQ83" s="63" t="n">
        <v>86.9</v>
      </c>
      <c r="CR83" s="63" t="n">
        <v>92.5</v>
      </c>
      <c r="CS83" s="63" t="n">
        <v>100.2</v>
      </c>
      <c r="CT83" s="63" t="n">
        <v>109</v>
      </c>
      <c r="CU83" s="63" t="n">
        <v>113.5</v>
      </c>
      <c r="CV83" s="63" t="n">
        <v>116.3</v>
      </c>
      <c r="CW83" s="63" t="n">
        <v>115.9</v>
      </c>
      <c r="CX83" s="63" t="n">
        <v>118.3</v>
      </c>
      <c r="CY83" s="63" t="n">
        <v>121.6</v>
      </c>
      <c r="CZ83" s="63" t="n">
        <v>125.7</v>
      </c>
      <c r="DA83" s="63" t="n">
        <v>134</v>
      </c>
      <c r="DB83" s="63" t="n">
        <v>139.5</v>
      </c>
      <c r="DC83" s="63" t="n">
        <v>141.6</v>
      </c>
      <c r="DD83" s="63" t="n">
        <v>143.7</v>
      </c>
      <c r="DE83" s="63" t="n">
        <v>145.3</v>
      </c>
      <c r="DF83" s="63" t="n">
        <v>144.2</v>
      </c>
      <c r="DG83" s="63" t="n">
        <v>144.6</v>
      </c>
      <c r="DH83" s="63" t="n">
        <v>147.4</v>
      </c>
      <c r="DI83" s="63" t="n">
        <v>152.1</v>
      </c>
      <c r="DJ83" s="63" t="n">
        <v>156.8</v>
      </c>
      <c r="DK83" s="63" t="n">
        <v>162.6</v>
      </c>
      <c r="DL83" s="63" t="n">
        <v>168</v>
      </c>
      <c r="DM83" s="63" t="n">
        <v>173.4</v>
      </c>
      <c r="DN83" s="63" t="n">
        <v>176.1</v>
      </c>
      <c r="DO83" s="63" t="n">
        <v>179.6</v>
      </c>
      <c r="DP83" s="63" t="n">
        <v>179.4</v>
      </c>
      <c r="DQ83" s="63" t="n">
        <v>178.9</v>
      </c>
      <c r="DR83" s="63" t="n">
        <v>179.8</v>
      </c>
      <c r="DS83" s="63" t="n">
        <v>180.2</v>
      </c>
      <c r="DT83" s="63" t="n">
        <v>182.9</v>
      </c>
      <c r="DU83" s="63" t="n">
        <v>191</v>
      </c>
      <c r="DV83" s="63" t="n">
        <v>197.1</v>
      </c>
      <c r="DW83" s="63" t="n">
        <v>202.6</v>
      </c>
      <c r="DX83" s="63" t="n">
        <v>204.8</v>
      </c>
      <c r="DY83" s="63" t="n">
        <v>205.1</v>
      </c>
      <c r="DZ83" s="63" t="n">
        <v>207.3</v>
      </c>
      <c r="EA83" s="63" t="n">
        <v>208.9</v>
      </c>
      <c r="EB83" s="63" t="n">
        <v>207.7</v>
      </c>
      <c r="EC83" s="63" t="n">
        <v>209.9</v>
      </c>
      <c r="ED83" s="63" t="n">
        <v>218.7</v>
      </c>
      <c r="EE83" s="63" t="n">
        <v>223.2</v>
      </c>
      <c r="EF83" s="63" t="n">
        <v>227.5</v>
      </c>
      <c r="EG83" s="63" t="n">
        <v>239</v>
      </c>
      <c r="EH83" s="63" t="n">
        <v>243</v>
      </c>
      <c r="EI83" s="63" t="n">
        <v>243.4</v>
      </c>
      <c r="EJ83" s="63" t="n">
        <v>241.8</v>
      </c>
      <c r="EK83" s="63" t="n">
        <v>242.9</v>
      </c>
      <c r="EL83" s="63" t="n">
        <v>233.7</v>
      </c>
      <c r="EM83" s="63" t="n">
        <v>231.2</v>
      </c>
      <c r="EN83" s="63" t="n">
        <v>213.6</v>
      </c>
      <c r="EO83" s="63" t="n">
        <v>206</v>
      </c>
      <c r="EP83" s="63" t="n">
        <v>194.5</v>
      </c>
      <c r="EQ83" s="63" t="n">
        <v>183.4</v>
      </c>
      <c r="ER83" s="63" t="n">
        <v>177.8</v>
      </c>
      <c r="ES83" s="63" t="n">
        <v>168.7</v>
      </c>
      <c r="ET83" s="63" t="n">
        <v>162.5</v>
      </c>
      <c r="EU83" s="63" t="n">
        <v>180.3</v>
      </c>
      <c r="EV83" s="63" t="n">
        <v>193.6</v>
      </c>
      <c r="EW83" s="63" t="n">
        <v>208.7</v>
      </c>
      <c r="EX83" s="63" t="n">
        <v>249.2</v>
      </c>
      <c r="EY83" s="63" t="n">
        <v>280.9</v>
      </c>
      <c r="EZ83" s="63" t="n">
        <v>305.3</v>
      </c>
      <c r="FA83" s="63" t="n">
        <v>325.7</v>
      </c>
      <c r="FB83" s="63" t="n">
        <v>326.6</v>
      </c>
      <c r="FC83" s="63" t="n">
        <v>335.9</v>
      </c>
      <c r="FD83" s="63" t="n">
        <v>355.8</v>
      </c>
      <c r="FE83" s="63" t="n">
        <v>372</v>
      </c>
      <c r="FF83" s="63" t="n">
        <v>404.9</v>
      </c>
      <c r="FG83" s="63" t="n">
        <v>428.9</v>
      </c>
      <c r="FH83" s="63" t="n">
        <v>442.6</v>
      </c>
      <c r="FI83" s="63" t="n">
        <v>458.3</v>
      </c>
      <c r="FJ83" s="63" t="n">
        <v>489.1</v>
      </c>
      <c r="FK83" s="63" t="n">
        <v>501.4</v>
      </c>
      <c r="FL83" s="63" t="n">
        <v>510.1</v>
      </c>
      <c r="FM83" s="63" t="n">
        <v>525.6</v>
      </c>
      <c r="FN83" s="63" t="n">
        <v>526.7</v>
      </c>
      <c r="FO83" s="63" t="n">
        <v>532.4</v>
      </c>
      <c r="FP83" s="63" t="n">
        <v>536.1</v>
      </c>
      <c r="FQ83" s="63" t="n">
        <v>542.8</v>
      </c>
      <c r="FR83" s="63" t="n">
        <v>560.8</v>
      </c>
      <c r="FS83" s="63" t="n">
        <v>573.1</v>
      </c>
      <c r="FT83" s="63" t="n">
        <v>585.1</v>
      </c>
      <c r="FU83" s="63" t="n">
        <v>590.7</v>
      </c>
      <c r="FV83" s="63" t="n">
        <v>598.1</v>
      </c>
      <c r="FW83" s="63" t="n">
        <v>602.6</v>
      </c>
      <c r="FX83" s="63" t="n">
        <v>604.6</v>
      </c>
      <c r="FY83" s="63" t="n">
        <v>605.5</v>
      </c>
      <c r="FZ83" s="63" t="n">
        <v>596.2</v>
      </c>
      <c r="GA83" s="63" t="n">
        <v>611.3</v>
      </c>
      <c r="GB83" s="63" t="n">
        <v>614.9</v>
      </c>
      <c r="GC83" s="63" t="n">
        <v>615.6</v>
      </c>
      <c r="GD83" s="63" t="n">
        <v>619.8</v>
      </c>
      <c r="GE83" s="63" t="n">
        <v>626.7</v>
      </c>
      <c r="GF83" s="63" t="n">
        <v>627.6</v>
      </c>
      <c r="GG83" s="63" t="n">
        <v>632.5</v>
      </c>
      <c r="GH83" s="63" t="n">
        <v>643</v>
      </c>
      <c r="GI83" s="63" t="n">
        <v>643.3</v>
      </c>
      <c r="GJ83" s="63" t="n">
        <v>652.3</v>
      </c>
      <c r="GK83" s="63" t="n">
        <v>663.8</v>
      </c>
      <c r="GL83" s="63" t="n">
        <v>668.6</v>
      </c>
      <c r="GM83" s="63" t="n">
        <v>674.5</v>
      </c>
      <c r="GN83" s="63" t="n">
        <v>688.2</v>
      </c>
      <c r="GO83" s="63" t="n">
        <v>688.6</v>
      </c>
      <c r="GP83" s="63" t="n">
        <v>689.6</v>
      </c>
      <c r="GQ83" s="63" t="n">
        <v>696.1</v>
      </c>
      <c r="GR83" s="63" t="n">
        <v>699.1</v>
      </c>
      <c r="GS83" s="63" t="n">
        <v>708</v>
      </c>
      <c r="GT83" s="63" t="n">
        <v>722.6</v>
      </c>
      <c r="GU83" s="63" t="n">
        <v>717.9</v>
      </c>
      <c r="GV83" s="63" t="n">
        <v>722.6</v>
      </c>
      <c r="GW83" s="63" t="n">
        <v>716.3</v>
      </c>
      <c r="GX83" s="63" t="n">
        <v>719.4</v>
      </c>
      <c r="GY83" s="63" t="n">
        <v>713.5</v>
      </c>
      <c r="GZ83" s="63" t="n">
        <v>722.7</v>
      </c>
      <c r="HA83" s="63" t="n">
        <v>739.6</v>
      </c>
      <c r="HB83" s="63" t="n">
        <v>744.9</v>
      </c>
      <c r="HC83" t="n">
        <v>775.9</v>
      </c>
      <c r="HD83" t="n">
        <v>794.9</v>
      </c>
      <c r="HE83" t="n">
        <v>809.4</v>
      </c>
    </row>
    <row r="84">
      <c r="A84" s="63" t="s">
        <v>2518</v>
      </c>
      <c r="B84" s="63" t="n">
        <v>109.2</v>
      </c>
      <c r="C84" s="63" t="n">
        <v>113.1</v>
      </c>
      <c r="D84" s="63" t="n">
        <v>117.5</v>
      </c>
      <c r="E84" s="63" t="n">
        <v>120</v>
      </c>
      <c r="F84" s="63" t="n">
        <v>122.8</v>
      </c>
      <c r="G84" s="63" t="n">
        <v>124.2</v>
      </c>
      <c r="H84" s="63" t="n">
        <v>126.1</v>
      </c>
      <c r="I84" s="63" t="n">
        <v>127.4</v>
      </c>
      <c r="J84" s="63" t="n">
        <v>131</v>
      </c>
      <c r="K84" s="63" t="n">
        <v>134.1</v>
      </c>
      <c r="L84" s="63" t="n">
        <v>138.4</v>
      </c>
      <c r="M84" s="63" t="n">
        <v>142.8</v>
      </c>
      <c r="N84" s="63" t="n">
        <v>146.6</v>
      </c>
      <c r="O84" s="63" t="n">
        <v>151.6</v>
      </c>
      <c r="P84" s="63" t="n">
        <v>158.8</v>
      </c>
      <c r="Q84" s="63" t="n">
        <v>164.6</v>
      </c>
      <c r="R84" s="63" t="n">
        <v>170.5</v>
      </c>
      <c r="S84" s="63" t="n">
        <v>177.6</v>
      </c>
      <c r="T84" s="63" t="n">
        <v>183.9</v>
      </c>
      <c r="U84" s="63" t="n">
        <v>190.4</v>
      </c>
      <c r="V84" s="63" t="n">
        <v>196.4</v>
      </c>
      <c r="W84" s="63" t="n">
        <v>198.5</v>
      </c>
      <c r="X84" s="63" t="n">
        <v>202.5</v>
      </c>
      <c r="Y84" s="63" t="n">
        <v>206.5</v>
      </c>
      <c r="Z84" s="63" t="n">
        <v>210.5</v>
      </c>
      <c r="AA84" s="63" t="n">
        <v>217.1</v>
      </c>
      <c r="AB84" s="63" t="n">
        <v>222.8</v>
      </c>
      <c r="AC84" s="63" t="n">
        <v>229.7</v>
      </c>
      <c r="AD84" s="63" t="n">
        <v>238.8</v>
      </c>
      <c r="AE84" s="63" t="n">
        <v>246.6</v>
      </c>
      <c r="AF84" s="63" t="n">
        <v>255.4</v>
      </c>
      <c r="AG84" s="63" t="n">
        <v>265.5</v>
      </c>
      <c r="AH84" s="63" t="n">
        <v>273.3</v>
      </c>
      <c r="AI84" s="63" t="n">
        <v>281.3</v>
      </c>
      <c r="AJ84" s="63" t="n">
        <v>289.8</v>
      </c>
      <c r="AK84" s="63" t="n">
        <v>298.9</v>
      </c>
      <c r="AL84" s="63" t="n">
        <v>308.8</v>
      </c>
      <c r="AM84" s="63" t="n">
        <v>318.8</v>
      </c>
      <c r="AN84" s="63" t="n">
        <v>330.4</v>
      </c>
      <c r="AO84" s="63" t="n">
        <v>350.4</v>
      </c>
      <c r="AP84" s="63" t="n">
        <v>377.5</v>
      </c>
      <c r="AQ84" s="63" t="n">
        <v>391.2</v>
      </c>
      <c r="AR84" s="63" t="n">
        <v>397</v>
      </c>
      <c r="AS84" s="63" t="n">
        <v>421.9</v>
      </c>
      <c r="AT84" s="63" t="n">
        <v>440.5</v>
      </c>
      <c r="AU84" s="63" t="n">
        <v>469</v>
      </c>
      <c r="AV84" s="63" t="n">
        <v>508.5</v>
      </c>
      <c r="AW84" s="63" t="n">
        <v>525.4</v>
      </c>
      <c r="AX84" s="63" t="n">
        <v>544.1</v>
      </c>
      <c r="AY84" s="63" t="n">
        <v>559.9</v>
      </c>
      <c r="AZ84" s="63" t="n">
        <v>560.8</v>
      </c>
      <c r="BA84" s="63" t="n">
        <v>563.2</v>
      </c>
      <c r="BB84" s="63" t="n">
        <v>574.3</v>
      </c>
      <c r="BC84" s="63" t="n">
        <v>584.4</v>
      </c>
      <c r="BD84" s="63" t="n">
        <v>609.2</v>
      </c>
      <c r="BE84" s="63" t="n">
        <v>630.2</v>
      </c>
      <c r="BF84" s="63" t="n">
        <v>645.6</v>
      </c>
      <c r="BG84" s="63" t="n">
        <v>671.4</v>
      </c>
      <c r="BH84" s="63" t="n">
        <v>698.4</v>
      </c>
      <c r="BI84" s="63" t="n">
        <v>707.7</v>
      </c>
      <c r="BJ84" s="63" t="n">
        <v>718.6</v>
      </c>
      <c r="BK84" s="63" t="n">
        <v>723.8</v>
      </c>
      <c r="BL84" s="63" t="n">
        <v>724.1</v>
      </c>
      <c r="BM84" s="63" t="n">
        <v>738.7</v>
      </c>
      <c r="BN84" s="63" t="n">
        <v>762.3</v>
      </c>
      <c r="BO84" s="63" t="n">
        <v>770.2</v>
      </c>
      <c r="BP84" s="63" t="n">
        <v>770.3</v>
      </c>
      <c r="BQ84" s="63" t="n">
        <v>769.8</v>
      </c>
      <c r="BR84" s="63" t="n">
        <v>771.1</v>
      </c>
      <c r="BS84" s="63" t="n">
        <v>781</v>
      </c>
      <c r="BT84" s="63" t="n">
        <v>796.9</v>
      </c>
      <c r="BU84" s="63" t="n">
        <v>815.4</v>
      </c>
      <c r="BV84" s="63" t="n">
        <v>824</v>
      </c>
      <c r="BW84" s="63" t="n">
        <v>833.7</v>
      </c>
      <c r="BX84" s="63" t="n">
        <v>860.5</v>
      </c>
      <c r="BY84" s="63" t="n">
        <v>887.5</v>
      </c>
      <c r="BZ84" s="63" t="n">
        <v>933.6</v>
      </c>
      <c r="CA84" s="63" t="n">
        <v>961.5</v>
      </c>
      <c r="CB84" s="63" t="n">
        <v>975.6</v>
      </c>
      <c r="CC84" s="63" t="n">
        <v>986.6</v>
      </c>
      <c r="CD84" s="63" t="n">
        <v>999.5</v>
      </c>
      <c r="CE84" s="63" t="n">
        <v>1003.1</v>
      </c>
      <c r="CF84" s="63" t="n">
        <v>1010</v>
      </c>
      <c r="CG84" s="63" t="n">
        <v>1008.7</v>
      </c>
      <c r="CH84" s="63" t="n">
        <v>1003.9</v>
      </c>
      <c r="CI84" s="63" t="n">
        <v>1004.2</v>
      </c>
      <c r="CJ84" s="63" t="n">
        <v>1006.8</v>
      </c>
      <c r="CK84" s="63" t="n">
        <v>999.9</v>
      </c>
      <c r="CL84" s="63" t="n">
        <v>996.8</v>
      </c>
      <c r="CM84" s="63" t="n">
        <v>1000.4</v>
      </c>
      <c r="CN84" s="63" t="n">
        <v>997.1</v>
      </c>
      <c r="CO84" s="63" t="n">
        <v>1000.9</v>
      </c>
      <c r="CP84" s="63" t="n">
        <v>1007.7</v>
      </c>
      <c r="CQ84" s="63" t="n">
        <v>1007.4</v>
      </c>
      <c r="CR84" s="63" t="n">
        <v>1006.4</v>
      </c>
      <c r="CS84" s="63" t="n">
        <v>1006.7</v>
      </c>
      <c r="CT84" s="63" t="n">
        <v>1015.2</v>
      </c>
      <c r="CU84" s="63" t="n">
        <v>1035.9</v>
      </c>
      <c r="CV84" s="63" t="n">
        <v>1057.7</v>
      </c>
      <c r="CW84" s="63" t="n">
        <v>1090.4</v>
      </c>
      <c r="CX84" s="63" t="n">
        <v>1112.7</v>
      </c>
      <c r="CY84" s="63" t="n">
        <v>1130.9</v>
      </c>
      <c r="CZ84" s="63" t="n">
        <v>1144.3</v>
      </c>
      <c r="DA84" s="63" t="n">
        <v>1158.4</v>
      </c>
      <c r="DB84" s="63" t="n">
        <v>1170.8</v>
      </c>
      <c r="DC84" s="63" t="n">
        <v>1188.5</v>
      </c>
      <c r="DD84" s="63" t="n">
        <v>1210.7</v>
      </c>
      <c r="DE84" s="63" t="n">
        <v>1234.7</v>
      </c>
      <c r="DF84" s="63" t="n">
        <v>1251.4</v>
      </c>
      <c r="DG84" s="63" t="n">
        <v>1274.5</v>
      </c>
      <c r="DH84" s="63" t="n">
        <v>1294.9</v>
      </c>
      <c r="DI84" s="63" t="n">
        <v>1319.4</v>
      </c>
      <c r="DJ84" s="63" t="n">
        <v>1353.9</v>
      </c>
      <c r="DK84" s="63" t="n">
        <v>1379.1</v>
      </c>
      <c r="DL84" s="63" t="n">
        <v>1385.2</v>
      </c>
      <c r="DM84" s="63" t="n">
        <v>1365.3</v>
      </c>
      <c r="DN84" s="63" t="n">
        <v>1349.7</v>
      </c>
      <c r="DO84" s="63" t="n">
        <v>1347.3</v>
      </c>
      <c r="DP84" s="63" t="n">
        <v>1367.2</v>
      </c>
      <c r="DQ84" s="63" t="n">
        <v>1393</v>
      </c>
      <c r="DR84" s="63" t="n">
        <v>1432.6</v>
      </c>
      <c r="DS84" s="63" t="n">
        <v>1477.5</v>
      </c>
      <c r="DT84" s="63" t="n">
        <v>1512.9</v>
      </c>
      <c r="DU84" s="63" t="n">
        <v>1536.8</v>
      </c>
      <c r="DV84" s="63" t="n">
        <v>1528.9</v>
      </c>
      <c r="DW84" s="63" t="n">
        <v>1507</v>
      </c>
      <c r="DX84" s="63" t="n">
        <v>1474.9</v>
      </c>
      <c r="DY84" s="63" t="n">
        <v>1416</v>
      </c>
      <c r="DZ84" s="63" t="n">
        <v>1397</v>
      </c>
      <c r="EA84" s="63" t="n">
        <v>1408.1</v>
      </c>
      <c r="EB84" s="63" t="n">
        <v>1413.1</v>
      </c>
      <c r="EC84" s="63" t="n">
        <v>1436.3</v>
      </c>
      <c r="ED84" s="63" t="n">
        <v>1444.5</v>
      </c>
      <c r="EE84" s="63" t="n">
        <v>1436.1</v>
      </c>
      <c r="EF84" s="63" t="n">
        <v>1455.3</v>
      </c>
      <c r="EG84" s="63" t="n">
        <v>1473.4</v>
      </c>
      <c r="EH84" s="63" t="n">
        <v>1473.6</v>
      </c>
      <c r="EI84" s="63" t="n">
        <v>1490.5</v>
      </c>
      <c r="EJ84" s="63" t="n">
        <v>1507.5</v>
      </c>
      <c r="EK84" s="63" t="n">
        <v>1636.7</v>
      </c>
      <c r="EL84" s="63" t="n">
        <v>1598.1</v>
      </c>
      <c r="EM84" s="63" t="n">
        <v>1669.6</v>
      </c>
      <c r="EN84" s="63" t="n">
        <v>1713</v>
      </c>
      <c r="EO84" s="63" t="n">
        <v>1800.1</v>
      </c>
      <c r="EP84" s="63" t="n">
        <v>1882.7</v>
      </c>
      <c r="EQ84" s="63" t="n">
        <v>1988</v>
      </c>
      <c r="ER84" s="63" t="n">
        <v>2015.8</v>
      </c>
      <c r="ES84" s="63" t="n">
        <v>2040.4</v>
      </c>
      <c r="ET84" s="63" t="n">
        <v>2087.1</v>
      </c>
      <c r="EU84" s="63" t="n">
        <v>2212.3</v>
      </c>
      <c r="EV84" s="63" t="n">
        <v>2231.6</v>
      </c>
      <c r="EW84" s="63" t="n">
        <v>2246.9</v>
      </c>
      <c r="EX84" s="63" t="n">
        <v>2248.2</v>
      </c>
      <c r="EY84" s="63" t="n">
        <v>2204.2</v>
      </c>
      <c r="EZ84" s="63" t="n">
        <v>2222.5</v>
      </c>
      <c r="FA84" s="63" t="n">
        <v>2141.3</v>
      </c>
      <c r="FB84" s="63" t="n">
        <v>2006.9</v>
      </c>
      <c r="FC84" s="63" t="n">
        <v>1875.6</v>
      </c>
      <c r="FD84" s="63" t="n">
        <v>1783.9</v>
      </c>
      <c r="FE84" s="63" t="n">
        <v>1748.4</v>
      </c>
      <c r="FF84" s="63" t="n">
        <v>1763.3</v>
      </c>
      <c r="FG84" s="63" t="n">
        <v>1775.8</v>
      </c>
      <c r="FH84" s="63" t="n">
        <v>1780.5</v>
      </c>
      <c r="FI84" s="63" t="n">
        <v>1827.5</v>
      </c>
      <c r="FJ84" s="63" t="n">
        <v>1887.8</v>
      </c>
      <c r="FK84" s="63" t="n">
        <v>1915.4</v>
      </c>
      <c r="FL84" s="63" t="n">
        <v>1935.6</v>
      </c>
      <c r="FM84" s="63" t="n">
        <v>2009.8</v>
      </c>
      <c r="FN84" s="63" t="n">
        <v>2081.4</v>
      </c>
      <c r="FO84" s="63" t="n">
        <v>2136</v>
      </c>
      <c r="FP84" s="63" t="n">
        <v>2078.6</v>
      </c>
      <c r="FQ84" s="63" t="n">
        <v>2318.7</v>
      </c>
      <c r="FR84" s="63" t="n">
        <v>2026.1</v>
      </c>
      <c r="FS84" s="63" t="n">
        <v>2036.5</v>
      </c>
      <c r="FT84" s="63" t="n">
        <v>2074.2</v>
      </c>
      <c r="FU84" s="63" t="n">
        <v>2099</v>
      </c>
      <c r="FV84" s="63" t="n">
        <v>2167</v>
      </c>
      <c r="FW84" s="63" t="n">
        <v>2266.7</v>
      </c>
      <c r="FX84" s="63" t="n">
        <v>2336</v>
      </c>
      <c r="FY84" s="63" t="n">
        <v>2390.4</v>
      </c>
      <c r="FZ84" s="63" t="n">
        <v>2447.6</v>
      </c>
      <c r="GA84" s="63" t="n">
        <v>2469.7</v>
      </c>
      <c r="GB84" s="63" t="n">
        <v>2478.9</v>
      </c>
      <c r="GC84" s="63" t="n">
        <v>2503.2</v>
      </c>
      <c r="GD84" s="63" t="n">
        <v>2517</v>
      </c>
      <c r="GE84" s="63" t="n">
        <v>2524.3</v>
      </c>
      <c r="GF84" s="63" t="n">
        <v>2549.9</v>
      </c>
      <c r="GG84" s="63" t="n">
        <v>2579.4</v>
      </c>
      <c r="GH84" s="63" t="n">
        <v>2645.5</v>
      </c>
      <c r="GI84" s="63" t="n">
        <v>2711.5</v>
      </c>
      <c r="GJ84" s="63" t="n">
        <v>2723.3</v>
      </c>
      <c r="GK84" s="63" t="n">
        <v>2733.8</v>
      </c>
      <c r="GL84" s="63" t="n">
        <v>2758.1</v>
      </c>
      <c r="GM84" s="63" t="n">
        <v>2816.3</v>
      </c>
      <c r="GN84" s="63" t="n">
        <v>2878.4</v>
      </c>
      <c r="GO84" s="63" t="n">
        <v>2996.1</v>
      </c>
      <c r="GP84" s="63" t="n">
        <v>3047.7</v>
      </c>
      <c r="GQ84" s="63" t="n">
        <v>3121.8</v>
      </c>
      <c r="GR84" s="63" t="n">
        <v>3148.6</v>
      </c>
      <c r="GS84" s="63" t="n">
        <v>3158</v>
      </c>
      <c r="GT84" s="63" t="n">
        <v>3144.3</v>
      </c>
      <c r="GU84" s="63" t="n">
        <v>3076.3</v>
      </c>
      <c r="GV84" s="63" t="n">
        <v>3043.8</v>
      </c>
      <c r="GW84" s="63" t="n">
        <v>3117.4</v>
      </c>
      <c r="GX84" s="63" t="n">
        <v>3132</v>
      </c>
      <c r="GY84" s="63" t="n">
        <v>3196.3</v>
      </c>
      <c r="GZ84" s="63" t="n">
        <v>3222.9</v>
      </c>
      <c r="HA84" s="63" t="n">
        <v>3258.5</v>
      </c>
      <c r="HB84" s="63" t="n">
        <v>3269.9</v>
      </c>
      <c r="HC84" t="n">
        <v>3323</v>
      </c>
      <c r="HD84" t="n">
        <v>3358.8</v>
      </c>
      <c r="HE84" t="n">
        <v>3414.8</v>
      </c>
    </row>
    <row r="85">
      <c r="A85" s="63" t="s">
        <v>2519</v>
      </c>
      <c r="B85" s="63" t="n">
        <v>77.5</v>
      </c>
      <c r="C85" s="63" t="n">
        <v>81.1</v>
      </c>
      <c r="D85" s="63" t="n">
        <v>81.1</v>
      </c>
      <c r="E85" s="63" t="n">
        <v>76.9</v>
      </c>
      <c r="F85" s="63" t="n">
        <v>89.1</v>
      </c>
      <c r="G85" s="63" t="n">
        <v>90.8</v>
      </c>
      <c r="H85" s="63" t="n">
        <v>93.7</v>
      </c>
      <c r="I85" s="63" t="n">
        <v>97.6</v>
      </c>
      <c r="J85" s="63" t="n">
        <v>102.7</v>
      </c>
      <c r="K85" s="63" t="n">
        <v>104.3</v>
      </c>
      <c r="L85" s="63" t="n">
        <v>108.2</v>
      </c>
      <c r="M85" s="63" t="n">
        <v>115.5</v>
      </c>
      <c r="N85" s="63" t="n">
        <v>121</v>
      </c>
      <c r="O85" s="63" t="n">
        <v>117.2</v>
      </c>
      <c r="P85" s="63" t="n">
        <v>116.6</v>
      </c>
      <c r="Q85" s="63" t="n">
        <v>119.1</v>
      </c>
      <c r="R85" s="63" t="n">
        <v>111.1</v>
      </c>
      <c r="S85" s="63" t="n">
        <v>110.8</v>
      </c>
      <c r="T85" s="63" t="n">
        <v>107.3</v>
      </c>
      <c r="U85" s="63" t="n">
        <v>103.8</v>
      </c>
      <c r="V85" s="63" t="n">
        <v>103.9</v>
      </c>
      <c r="W85" s="63" t="n">
        <v>115.6</v>
      </c>
      <c r="X85" s="63" t="n">
        <v>135.4</v>
      </c>
      <c r="Y85" s="63" t="n">
        <v>142</v>
      </c>
      <c r="Z85" s="63" t="n">
        <v>159.1</v>
      </c>
      <c r="AA85" s="63" t="n">
        <v>156.6</v>
      </c>
      <c r="AB85" s="63" t="n">
        <v>158.4</v>
      </c>
      <c r="AC85" s="63" t="n">
        <v>157.1</v>
      </c>
      <c r="AD85" s="63" t="n">
        <v>165</v>
      </c>
      <c r="AE85" s="63" t="n">
        <v>185.7</v>
      </c>
      <c r="AF85" s="63" t="n">
        <v>199.9</v>
      </c>
      <c r="AG85" s="63" t="n">
        <v>196.1</v>
      </c>
      <c r="AH85" s="63" t="n">
        <v>187.5</v>
      </c>
      <c r="AI85" s="63" t="n">
        <v>220</v>
      </c>
      <c r="AJ85" s="63" t="n">
        <v>223.8</v>
      </c>
      <c r="AK85" s="63" t="n">
        <v>231.5</v>
      </c>
      <c r="AL85" s="63" t="n">
        <v>221.9</v>
      </c>
      <c r="AM85" s="63" t="n">
        <v>219.4</v>
      </c>
      <c r="AN85" s="63" t="n">
        <v>211.1</v>
      </c>
      <c r="AO85" s="63" t="n">
        <v>205.1</v>
      </c>
      <c r="AP85" s="63" t="n">
        <v>197.2</v>
      </c>
      <c r="AQ85" s="63" t="n">
        <v>170.2</v>
      </c>
      <c r="AR85" s="63" t="n">
        <v>179.7</v>
      </c>
      <c r="AS85" s="63" t="n">
        <v>205.2</v>
      </c>
      <c r="AT85" s="63" t="n">
        <v>214.2</v>
      </c>
      <c r="AU85" s="63" t="n">
        <v>213.3</v>
      </c>
      <c r="AV85" s="63" t="n">
        <v>230.4</v>
      </c>
      <c r="AW85" s="63" t="n">
        <v>213.3</v>
      </c>
      <c r="AX85" s="63" t="n">
        <v>190.2</v>
      </c>
      <c r="AY85" s="63" t="n">
        <v>202.6</v>
      </c>
      <c r="AZ85" s="63" t="n">
        <v>202.5</v>
      </c>
      <c r="BA85" s="63" t="n">
        <v>193.7</v>
      </c>
      <c r="BB85" s="63" t="n">
        <v>211.7</v>
      </c>
      <c r="BC85" s="63" t="n">
        <v>240.3</v>
      </c>
      <c r="BD85" s="63" t="n">
        <v>256.2</v>
      </c>
      <c r="BE85" s="63" t="n">
        <v>270.6</v>
      </c>
      <c r="BF85" s="63" t="n">
        <v>302</v>
      </c>
      <c r="BG85" s="63" t="n">
        <v>301.8</v>
      </c>
      <c r="BH85" s="63" t="n">
        <v>295.7</v>
      </c>
      <c r="BI85" s="63" t="n">
        <v>305.7</v>
      </c>
      <c r="BJ85" s="63" t="n">
        <v>312.3</v>
      </c>
      <c r="BK85" s="63" t="n">
        <v>311.6</v>
      </c>
      <c r="BL85" s="63" t="n">
        <v>333.1</v>
      </c>
      <c r="BM85" s="63" t="n">
        <v>308.5</v>
      </c>
      <c r="BN85" s="63" t="n">
        <v>298.8</v>
      </c>
      <c r="BO85" s="63" t="n">
        <v>288.1</v>
      </c>
      <c r="BP85" s="63" t="n">
        <v>276.2</v>
      </c>
      <c r="BQ85" s="63" t="n">
        <v>276.4</v>
      </c>
      <c r="BR85" s="63" t="n">
        <v>284.6</v>
      </c>
      <c r="BS85" s="63" t="n">
        <v>314.4</v>
      </c>
      <c r="BT85" s="63" t="n">
        <v>338.6</v>
      </c>
      <c r="BU85" s="63" t="n">
        <v>334.3</v>
      </c>
      <c r="BV85" s="63" t="n">
        <v>341.5</v>
      </c>
      <c r="BW85" s="63" t="n">
        <v>350.9</v>
      </c>
      <c r="BX85" s="63" t="n">
        <v>358.1</v>
      </c>
      <c r="BY85" s="63" t="n">
        <v>379.5</v>
      </c>
      <c r="BZ85" s="63" t="n">
        <v>359.7</v>
      </c>
      <c r="CA85" s="63" t="n">
        <v>351.9</v>
      </c>
      <c r="CB85" s="63" t="n">
        <v>350.1</v>
      </c>
      <c r="CC85" s="63" t="n">
        <v>327</v>
      </c>
      <c r="CD85" s="63" t="n">
        <v>340.5</v>
      </c>
      <c r="CE85" s="63" t="n">
        <v>358.8</v>
      </c>
      <c r="CF85" s="63" t="n">
        <v>336.8</v>
      </c>
      <c r="CG85" s="63" t="n">
        <v>330.6</v>
      </c>
      <c r="CH85" s="63" t="n">
        <v>370.8</v>
      </c>
      <c r="CI85" s="63" t="n">
        <v>378</v>
      </c>
      <c r="CJ85" s="63" t="n">
        <v>380.7</v>
      </c>
      <c r="CK85" s="63" t="n">
        <v>375</v>
      </c>
      <c r="CL85" s="63" t="n">
        <v>399.7</v>
      </c>
      <c r="CM85" s="63" t="n">
        <v>404</v>
      </c>
      <c r="CN85" s="63" t="n">
        <v>393.9</v>
      </c>
      <c r="CO85" s="63" t="n">
        <v>418.7</v>
      </c>
      <c r="CP85" s="63" t="n">
        <v>400.8</v>
      </c>
      <c r="CQ85" s="63" t="n">
        <v>439</v>
      </c>
      <c r="CR85" s="63" t="n">
        <v>446.2</v>
      </c>
      <c r="CS85" s="63" t="n">
        <v>504.6</v>
      </c>
      <c r="CT85" s="63" t="n">
        <v>509.3</v>
      </c>
      <c r="CU85" s="63" t="n">
        <v>530</v>
      </c>
      <c r="CV85" s="63" t="n">
        <v>562.2</v>
      </c>
      <c r="CW85" s="63" t="n">
        <v>585.8</v>
      </c>
      <c r="CX85" s="63" t="n">
        <v>579</v>
      </c>
      <c r="CY85" s="63" t="n">
        <v>595.7</v>
      </c>
      <c r="CZ85" s="63" t="n">
        <v>639.4</v>
      </c>
      <c r="DA85" s="63" t="n">
        <v>639</v>
      </c>
      <c r="DB85" s="63" t="n">
        <v>671.6</v>
      </c>
      <c r="DC85" s="63" t="n">
        <v>686.9</v>
      </c>
      <c r="DD85" s="63" t="n">
        <v>691.4</v>
      </c>
      <c r="DE85" s="63" t="n">
        <v>700.2</v>
      </c>
      <c r="DF85" s="63" t="n">
        <v>735.7</v>
      </c>
      <c r="DG85" s="63" t="n">
        <v>748.6</v>
      </c>
      <c r="DH85" s="63" t="n">
        <v>787.1</v>
      </c>
      <c r="DI85" s="63" t="n">
        <v>777.2</v>
      </c>
      <c r="DJ85" s="63" t="n">
        <v>704</v>
      </c>
      <c r="DK85" s="63" t="n">
        <v>703.4</v>
      </c>
      <c r="DL85" s="63" t="n">
        <v>721.5</v>
      </c>
      <c r="DM85" s="63" t="n">
        <v>693.8</v>
      </c>
      <c r="DN85" s="63" t="n">
        <v>732.4</v>
      </c>
      <c r="DO85" s="63" t="n">
        <v>723.4</v>
      </c>
      <c r="DP85" s="63" t="n">
        <v>705.2</v>
      </c>
      <c r="DQ85" s="63" t="n">
        <v>691.7</v>
      </c>
      <c r="DR85" s="63" t="n">
        <v>677.3</v>
      </c>
      <c r="DS85" s="63" t="n">
        <v>659.6</v>
      </c>
      <c r="DT85" s="63" t="n">
        <v>636.7</v>
      </c>
      <c r="DU85" s="63" t="n">
        <v>589.9</v>
      </c>
      <c r="DV85" s="63" t="n">
        <v>588.6</v>
      </c>
      <c r="DW85" s="63" t="n">
        <v>607.9</v>
      </c>
      <c r="DX85" s="63" t="n">
        <v>601.2</v>
      </c>
      <c r="DY85" s="63" t="n">
        <v>561.9</v>
      </c>
      <c r="DZ85" s="63" t="n">
        <v>694.1</v>
      </c>
      <c r="EA85" s="63" t="n">
        <v>737.7</v>
      </c>
      <c r="EB85" s="63" t="n">
        <v>759.1</v>
      </c>
      <c r="EC85" s="63" t="n">
        <v>828.9</v>
      </c>
      <c r="ED85" s="63" t="n">
        <v>844.2</v>
      </c>
      <c r="EE85" s="63" t="n">
        <v>872.2</v>
      </c>
      <c r="EF85" s="63" t="n">
        <v>919.9</v>
      </c>
      <c r="EG85" s="63" t="n">
        <v>953.1</v>
      </c>
      <c r="EH85" s="63" t="n">
        <v>1038.4</v>
      </c>
      <c r="EI85" s="63" t="n">
        <v>1083.9</v>
      </c>
      <c r="EJ85" s="63" t="n">
        <v>1125.2</v>
      </c>
      <c r="EK85" s="63" t="n">
        <v>1129.3</v>
      </c>
      <c r="EL85" s="63" t="n">
        <v>1219.8</v>
      </c>
      <c r="EM85" s="63" t="n">
        <v>1236.8</v>
      </c>
      <c r="EN85" s="63" t="n">
        <v>1244.4</v>
      </c>
      <c r="EO85" s="63" t="n">
        <v>1350.6</v>
      </c>
      <c r="EP85" s="63" t="n">
        <v>1399.2</v>
      </c>
      <c r="EQ85" s="63" t="n">
        <v>1404.9</v>
      </c>
      <c r="ER85" s="63" t="n">
        <v>1455.1</v>
      </c>
      <c r="ES85" s="63" t="n">
        <v>1366.9</v>
      </c>
      <c r="ET85" s="63" t="n">
        <v>1257.7</v>
      </c>
      <c r="EU85" s="63" t="n">
        <v>1285.5</v>
      </c>
      <c r="EV85" s="63" t="n">
        <v>1165.3</v>
      </c>
      <c r="EW85" s="63" t="n">
        <v>1073.1</v>
      </c>
      <c r="EX85" s="63" t="n">
        <v>988</v>
      </c>
      <c r="EY85" s="63" t="n">
        <v>963.5</v>
      </c>
      <c r="EZ85" s="63" t="n">
        <v>949.5</v>
      </c>
      <c r="FA85" s="63" t="n">
        <v>681.6</v>
      </c>
      <c r="FB85" s="63" t="n">
        <v>911.1</v>
      </c>
      <c r="FC85" s="63" t="n">
        <v>965.2</v>
      </c>
      <c r="FD85" s="63" t="n">
        <v>1087.1</v>
      </c>
      <c r="FE85" s="63" t="n">
        <v>1188.7</v>
      </c>
      <c r="FF85" s="63" t="n">
        <v>1253.4</v>
      </c>
      <c r="FG85" s="63" t="n">
        <v>1255.5</v>
      </c>
      <c r="FH85" s="63" t="n">
        <v>1428</v>
      </c>
      <c r="FI85" s="63" t="n">
        <v>1434.9</v>
      </c>
      <c r="FJ85" s="63" t="n">
        <v>1273.6</v>
      </c>
      <c r="FK85" s="63" t="n">
        <v>1392.8</v>
      </c>
      <c r="FL85" s="63" t="n">
        <v>1393.4</v>
      </c>
      <c r="FM85" s="63" t="n">
        <v>1529</v>
      </c>
      <c r="FN85" s="63" t="n">
        <v>1606.9</v>
      </c>
      <c r="FO85" s="63" t="n">
        <v>1605.9</v>
      </c>
      <c r="FP85" s="63" t="n">
        <v>1583</v>
      </c>
      <c r="FQ85" s="63" t="n">
        <v>1572.4</v>
      </c>
      <c r="FR85" s="63" t="n">
        <v>1596.1</v>
      </c>
      <c r="FS85" s="63" t="n">
        <v>1605.3</v>
      </c>
      <c r="FT85" s="63" t="n">
        <v>1602.5</v>
      </c>
      <c r="FU85" s="63" t="n">
        <v>1643.5</v>
      </c>
      <c r="FV85" s="63" t="n">
        <v>1561.5</v>
      </c>
      <c r="FW85" s="63" t="n">
        <v>1743.6</v>
      </c>
      <c r="FX85" s="63" t="n">
        <v>1769.4</v>
      </c>
      <c r="FY85" s="63" t="n">
        <v>1786.9</v>
      </c>
      <c r="FZ85" s="63" t="n">
        <v>1728.9</v>
      </c>
      <c r="GA85" s="63" t="n">
        <v>1721.5</v>
      </c>
      <c r="GB85" s="63" t="n">
        <v>1673.6</v>
      </c>
      <c r="GC85" s="63" t="n">
        <v>1537.1</v>
      </c>
      <c r="GD85" s="63" t="n">
        <v>1645.7</v>
      </c>
      <c r="GE85" s="63" t="n">
        <v>1600.3</v>
      </c>
      <c r="GF85" s="63" t="n">
        <v>1625.4</v>
      </c>
      <c r="GG85" s="63" t="n">
        <v>1599.7</v>
      </c>
      <c r="GH85" s="63" t="n">
        <v>1601.7</v>
      </c>
      <c r="GI85" s="63" t="n">
        <v>1630.8</v>
      </c>
      <c r="GJ85" s="63" t="n">
        <v>1635.8</v>
      </c>
      <c r="GK85" s="63" t="n">
        <v>1650.3</v>
      </c>
      <c r="GL85" s="63" t="n">
        <v>1706.2</v>
      </c>
      <c r="GM85" s="63" t="n">
        <v>1747.5</v>
      </c>
      <c r="GN85" s="63" t="n">
        <v>1825.6</v>
      </c>
      <c r="GO85" s="63" t="n">
        <v>1886.2</v>
      </c>
      <c r="GP85" s="63" t="n">
        <v>1806.1</v>
      </c>
      <c r="GQ85" s="63" t="n">
        <v>1872</v>
      </c>
      <c r="GR85" s="63" t="n">
        <v>1882</v>
      </c>
      <c r="GS85" s="63" t="n">
        <v>1933.8</v>
      </c>
      <c r="GT85" s="63" t="n">
        <v>1736.3</v>
      </c>
      <c r="GU85" s="63" t="n">
        <v>1597.1</v>
      </c>
      <c r="GV85" s="63" t="n">
        <v>2041.1</v>
      </c>
      <c r="GW85" s="63" t="n">
        <v>1947.4</v>
      </c>
      <c r="GX85" s="63" t="n">
        <v>2152.8</v>
      </c>
      <c r="GY85" s="63" t="n">
        <v>2407.1</v>
      </c>
      <c r="GZ85" s="63" t="n">
        <v>2431.8</v>
      </c>
      <c r="HA85" s="63" t="n">
        <v>2443.2</v>
      </c>
      <c r="HB85" t="n">
        <v>2432.7</v>
      </c>
      <c r="HC85" t="n">
        <v>2538.9</v>
      </c>
      <c r="HD85" t="n">
        <v>2553.2</v>
      </c>
      <c r="HE85"/>
    </row>
    <row r="86">
      <c r="A86" s="63" t="s">
        <v>2520</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c r="EI86" s="63"/>
      <c r="EJ86" s="63"/>
      <c r="EK86" s="63"/>
      <c r="EL86" s="63"/>
      <c r="EM86" s="63"/>
      <c r="EN86" s="63"/>
      <c r="EO86" s="63"/>
      <c r="EP86" s="63"/>
      <c r="EQ86" s="63"/>
      <c r="ER86" s="63"/>
      <c r="ES86" s="63"/>
      <c r="ET86" s="63"/>
      <c r="EU86" s="63"/>
      <c r="EV86" s="63"/>
      <c r="EW86" s="63"/>
      <c r="EX86" s="63"/>
      <c r="EY86" s="63"/>
      <c r="EZ86" s="63"/>
      <c r="FA86" s="63"/>
      <c r="FB86" s="63"/>
      <c r="FC86" s="63"/>
      <c r="FD86" s="63"/>
      <c r="FE86" s="63"/>
      <c r="FF86" s="63"/>
      <c r="FG86" s="63"/>
      <c r="FH86" s="63"/>
      <c r="FI86" s="63"/>
      <c r="FJ86" s="63"/>
      <c r="FK86" s="63"/>
      <c r="FL86" s="63"/>
      <c r="FM86" s="63"/>
      <c r="FN86" s="63"/>
      <c r="FO86" s="63"/>
      <c r="FP86" s="63"/>
      <c r="FQ86" s="63"/>
      <c r="FR86" s="63"/>
      <c r="FS86" s="63"/>
      <c r="FT86" s="63"/>
      <c r="FU86" s="63"/>
      <c r="FV86" s="63"/>
      <c r="FW86" s="63"/>
      <c r="FX86" s="63"/>
      <c r="FY86" s="63"/>
      <c r="FZ86" s="63"/>
      <c r="GA86" s="63"/>
      <c r="GB86" s="63"/>
      <c r="GC86" s="63"/>
      <c r="GD86" s="63"/>
      <c r="GE86" s="63"/>
      <c r="GF86" s="63"/>
      <c r="GG86" s="63"/>
      <c r="GH86" s="63"/>
      <c r="GI86" s="63"/>
      <c r="GJ86" s="63"/>
      <c r="GK86" s="63"/>
      <c r="GL86" s="63"/>
      <c r="GM86" s="63"/>
      <c r="GN86" s="63"/>
      <c r="GO86" s="63"/>
      <c r="GP86" s="63"/>
      <c r="GQ86" s="63"/>
      <c r="GR86" s="63"/>
      <c r="GS86" s="63"/>
      <c r="GT86" s="63"/>
      <c r="GU86" s="63"/>
      <c r="GV86" s="63"/>
      <c r="GW86" s="63"/>
      <c r="GX86" s="63" t="n">
        <v>0</v>
      </c>
      <c r="GY86" s="63" t="n">
        <v>21.4</v>
      </c>
      <c r="GZ86" s="63" t="n">
        <v>57</v>
      </c>
      <c r="HA86" s="63" t="n">
        <v>35.5</v>
      </c>
      <c r="HB86" s="63" t="n">
        <v>0</v>
      </c>
      <c r="HC86" t="n">
        <v>0</v>
      </c>
      <c r="HD86" t="n">
        <v>0</v>
      </c>
      <c r="HE86" t="n">
        <v>0</v>
      </c>
    </row>
    <row r="87">
      <c r="A87" s="63" t="s">
        <v>2521</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c r="EI87" s="63"/>
      <c r="EJ87" s="63"/>
      <c r="EK87" s="63"/>
      <c r="EL87" s="63"/>
      <c r="EM87" s="63"/>
      <c r="EN87" s="63"/>
      <c r="EO87" s="63"/>
      <c r="EP87" s="63"/>
      <c r="EQ87" s="63"/>
      <c r="ER87" s="63"/>
      <c r="ES87" s="63"/>
      <c r="ET87" s="63"/>
      <c r="EU87" s="63"/>
      <c r="EV87" s="63"/>
      <c r="EW87" s="63"/>
      <c r="EX87" s="63"/>
      <c r="EY87" s="63"/>
      <c r="EZ87" s="63"/>
      <c r="FA87" s="63"/>
      <c r="FB87" s="63"/>
      <c r="FC87" s="63"/>
      <c r="FD87" s="63"/>
      <c r="FE87" s="63"/>
      <c r="FF87" s="63"/>
      <c r="FG87" s="63"/>
      <c r="FH87" s="63"/>
      <c r="FI87" s="63"/>
      <c r="FJ87" s="63"/>
      <c r="FK87" s="63"/>
      <c r="FL87" s="63"/>
      <c r="FM87" s="63"/>
      <c r="FN87" s="63"/>
      <c r="FO87" s="63"/>
      <c r="FP87" s="63"/>
      <c r="FQ87" s="63"/>
      <c r="FR87" s="63"/>
      <c r="FS87" s="63"/>
      <c r="FT87" s="63"/>
      <c r="FU87" s="63"/>
      <c r="FV87" s="63"/>
      <c r="FW87" s="63"/>
      <c r="FX87" s="63"/>
      <c r="FY87" s="63"/>
      <c r="FZ87" s="63"/>
      <c r="GA87" s="63"/>
      <c r="GB87" s="63"/>
      <c r="GC87" s="63"/>
      <c r="GD87" s="63"/>
      <c r="GE87" s="63"/>
      <c r="GF87" s="63"/>
      <c r="GG87" s="63"/>
      <c r="GH87" s="63"/>
      <c r="GI87" s="63"/>
      <c r="GJ87" s="63"/>
      <c r="GK87" s="63"/>
      <c r="GL87" s="63"/>
      <c r="GM87" s="63"/>
      <c r="GN87" s="63"/>
      <c r="GO87" s="63"/>
      <c r="GP87" s="63"/>
      <c r="GQ87" s="63"/>
      <c r="GR87" s="63"/>
      <c r="GS87" s="63"/>
      <c r="GT87" s="63"/>
      <c r="GU87" s="63" t="n">
        <v>60.3</v>
      </c>
      <c r="GV87" s="63" t="n">
        <v>18.5</v>
      </c>
      <c r="GW87" s="63" t="n">
        <v>0</v>
      </c>
      <c r="GX87" s="63" t="n">
        <v>0.3</v>
      </c>
      <c r="GY87" s="63" t="n">
        <v>11.3</v>
      </c>
      <c r="GZ87" s="63" t="n">
        <v>10.4</v>
      </c>
      <c r="HA87" s="63" t="n">
        <v>5.3</v>
      </c>
      <c r="HB87" s="63" t="n">
        <v>2.4</v>
      </c>
      <c r="HC87" t="n">
        <v>0.3</v>
      </c>
      <c r="HD87" t="n">
        <v>0</v>
      </c>
      <c r="HE87" t="n">
        <v>0</v>
      </c>
    </row>
    <row r="88" ht="19.350000000000001" customHeight="1">
      <c r="A88" s="63" t="s">
        <v>2522</v>
      </c>
      <c r="B88" s="63" t="n">
        <v>27088</v>
      </c>
      <c r="C88" s="63" t="n">
        <v>34148</v>
      </c>
      <c r="D88" s="63" t="n">
        <v>31952</v>
      </c>
      <c r="E88" s="63" t="n">
        <v>32332</v>
      </c>
      <c r="F88" s="63" t="n">
        <v>32820</v>
      </c>
      <c r="G88" s="63" t="n">
        <v>38700</v>
      </c>
      <c r="H88" s="63" t="n">
        <v>37216</v>
      </c>
      <c r="I88" s="63" t="n">
        <v>37732</v>
      </c>
      <c r="J88" s="63" t="n">
        <v>38284</v>
      </c>
      <c r="K88" s="63" t="n">
        <v>38748</v>
      </c>
      <c r="L88" s="63" t="n">
        <v>39284</v>
      </c>
      <c r="M88" s="63" t="n">
        <v>47476</v>
      </c>
      <c r="N88" s="63" t="n">
        <v>49096</v>
      </c>
      <c r="O88" s="63" t="n">
        <v>50332</v>
      </c>
      <c r="P88" s="63" t="n">
        <v>51216</v>
      </c>
      <c r="Q88" s="63" t="n">
        <v>52016</v>
      </c>
      <c r="R88" s="63" t="n">
        <v>52464</v>
      </c>
      <c r="S88" s="63" t="n">
        <v>56916</v>
      </c>
      <c r="T88" s="63" t="n">
        <v>59804</v>
      </c>
      <c r="U88" s="63" t="n">
        <v>61244</v>
      </c>
      <c r="V88" s="63" t="n">
        <v>62000</v>
      </c>
      <c r="W88" s="63" t="n">
        <v>62888</v>
      </c>
      <c r="X88" s="63" t="n">
        <v>69012</v>
      </c>
      <c r="Y88" s="63" t="n">
        <v>69680</v>
      </c>
      <c r="Z88" s="63" t="n">
        <v>70960</v>
      </c>
      <c r="AA88" s="63" t="n">
        <v>71416</v>
      </c>
      <c r="AB88" s="63" t="n">
        <v>76996</v>
      </c>
      <c r="AC88" s="63" t="n">
        <v>78632</v>
      </c>
      <c r="AD88" s="63" t="n">
        <v>79228</v>
      </c>
      <c r="AE88" s="63" t="n">
        <v>80364</v>
      </c>
      <c r="AF88" s="63" t="n">
        <v>86256</v>
      </c>
      <c r="AG88" s="63" t="n">
        <v>87108</v>
      </c>
      <c r="AH88" s="63" t="n">
        <v>87776</v>
      </c>
      <c r="AI88" s="63" t="n">
        <v>87912</v>
      </c>
      <c r="AJ88" s="63" t="n">
        <v>94276</v>
      </c>
      <c r="AK88" s="63" t="n">
        <v>95556</v>
      </c>
      <c r="AL88" s="63" t="n">
        <v>96528</v>
      </c>
      <c r="AM88" s="63" t="n">
        <v>97848</v>
      </c>
      <c r="AN88" s="63" t="n">
        <v>107624</v>
      </c>
      <c r="AO88" s="63" t="n">
        <v>108324</v>
      </c>
      <c r="AP88" s="63" t="n">
        <v>109348</v>
      </c>
      <c r="AQ88" s="63" t="n">
        <v>109988</v>
      </c>
      <c r="AR88" s="63" t="n">
        <v>126932</v>
      </c>
      <c r="AS88" s="63" t="n">
        <v>128076</v>
      </c>
      <c r="AT88" s="63" t="n">
        <v>130716</v>
      </c>
      <c r="AU88" s="63" t="n">
        <v>131096</v>
      </c>
      <c r="AV88" s="63" t="n">
        <v>146284</v>
      </c>
      <c r="AW88" s="63" t="n">
        <v>146480</v>
      </c>
      <c r="AX88" s="63" t="n">
        <v>146772</v>
      </c>
      <c r="AY88" s="63" t="n">
        <v>147528</v>
      </c>
      <c r="AZ88" s="63" t="n">
        <v>157636</v>
      </c>
      <c r="BA88" s="63" t="n">
        <v>162896</v>
      </c>
      <c r="BB88" s="63" t="n">
        <v>162144</v>
      </c>
      <c r="BC88" s="63" t="n">
        <v>164008</v>
      </c>
      <c r="BD88" s="63" t="n">
        <v>163980</v>
      </c>
      <c r="BE88" s="63" t="n">
        <v>167572</v>
      </c>
      <c r="BF88" s="63" t="n">
        <v>170936</v>
      </c>
      <c r="BG88" s="63" t="n">
        <v>172680</v>
      </c>
      <c r="BH88" s="63" t="n">
        <v>172444</v>
      </c>
      <c r="BI88" s="63" t="n">
        <v>176048</v>
      </c>
      <c r="BJ88" s="63" t="n">
        <v>181540</v>
      </c>
      <c r="BK88" s="63" t="n">
        <v>181976</v>
      </c>
      <c r="BL88" s="63" t="n">
        <v>185252</v>
      </c>
      <c r="BM88" s="63" t="n">
        <v>184332</v>
      </c>
      <c r="BN88" s="63" t="n">
        <v>191100</v>
      </c>
      <c r="BO88" s="63" t="n">
        <v>192104</v>
      </c>
      <c r="BP88" s="63" t="n">
        <v>195880</v>
      </c>
      <c r="BQ88" s="63" t="n">
        <v>195440</v>
      </c>
      <c r="BR88" s="63" t="n">
        <v>198912</v>
      </c>
      <c r="BS88" s="63" t="n">
        <v>201652</v>
      </c>
      <c r="BT88" s="63" t="n">
        <v>201436</v>
      </c>
      <c r="BU88" s="63" t="n">
        <v>201980</v>
      </c>
      <c r="BV88" s="63" t="n">
        <v>213484</v>
      </c>
      <c r="BW88" s="63" t="n">
        <v>213536</v>
      </c>
      <c r="BX88" s="63" t="n">
        <v>214156</v>
      </c>
      <c r="BY88" s="63" t="n">
        <v>214488</v>
      </c>
      <c r="BZ88" s="63" t="n">
        <v>225904</v>
      </c>
      <c r="CA88" s="63" t="n">
        <v>226768</v>
      </c>
      <c r="CB88" s="63" t="n">
        <v>227804</v>
      </c>
      <c r="CC88" s="63" t="n">
        <v>229044</v>
      </c>
      <c r="CD88" s="63" t="n">
        <v>241024</v>
      </c>
      <c r="CE88" s="63" t="n">
        <v>243792</v>
      </c>
      <c r="CF88" s="63" t="n">
        <v>244712</v>
      </c>
      <c r="CG88" s="63" t="n">
        <v>247012</v>
      </c>
      <c r="CH88" s="63" t="n">
        <v>261292</v>
      </c>
      <c r="CI88" s="63" t="n">
        <v>263620</v>
      </c>
      <c r="CJ88" s="63" t="n">
        <v>265076</v>
      </c>
      <c r="CK88" s="63" t="n">
        <v>266828</v>
      </c>
      <c r="CL88" s="63" t="n">
        <v>278568</v>
      </c>
      <c r="CM88" s="63" t="n">
        <v>281744</v>
      </c>
      <c r="CN88" s="63" t="n">
        <v>282848</v>
      </c>
      <c r="CO88" s="63" t="n">
        <v>283944</v>
      </c>
      <c r="CP88" s="63" t="n">
        <v>295568</v>
      </c>
      <c r="CQ88" s="63" t="n">
        <v>297064</v>
      </c>
      <c r="CR88" s="63" t="n">
        <v>298552</v>
      </c>
      <c r="CS88" s="63" t="n">
        <v>300556</v>
      </c>
      <c r="CT88" s="63" t="n">
        <v>308800</v>
      </c>
      <c r="CU88" s="63" t="n">
        <v>311776</v>
      </c>
      <c r="CV88" s="63" t="n">
        <v>312956</v>
      </c>
      <c r="CW88" s="63" t="n">
        <v>315112</v>
      </c>
      <c r="CX88" s="63" t="n">
        <v>324784</v>
      </c>
      <c r="CY88" s="63" t="n">
        <v>327504</v>
      </c>
      <c r="CZ88" s="63" t="n">
        <v>328632</v>
      </c>
      <c r="DA88" s="63" t="n">
        <v>329780</v>
      </c>
      <c r="DB88" s="63" t="n">
        <v>339100</v>
      </c>
      <c r="DC88" s="63" t="n">
        <v>341412</v>
      </c>
      <c r="DD88" s="63" t="n">
        <v>342632</v>
      </c>
      <c r="DE88" s="63" t="n">
        <v>344876</v>
      </c>
      <c r="DF88" s="63" t="n">
        <v>353920</v>
      </c>
      <c r="DG88" s="63" t="n">
        <v>355872</v>
      </c>
      <c r="DH88" s="63" t="n">
        <v>357524</v>
      </c>
      <c r="DI88" s="63" t="n">
        <v>359052</v>
      </c>
      <c r="DJ88" s="63" t="n">
        <v>366632</v>
      </c>
      <c r="DK88" s="63" t="n">
        <v>368208</v>
      </c>
      <c r="DL88" s="63" t="n">
        <v>370704</v>
      </c>
      <c r="DM88" s="63" t="n">
        <v>371184</v>
      </c>
      <c r="DN88" s="63" t="n">
        <v>376964</v>
      </c>
      <c r="DO88" s="63" t="n">
        <v>378944</v>
      </c>
      <c r="DP88" s="63" t="n">
        <v>380800</v>
      </c>
      <c r="DQ88" s="63" t="n">
        <v>382748</v>
      </c>
      <c r="DR88" s="63" t="n">
        <v>392512</v>
      </c>
      <c r="DS88" s="63" t="n">
        <v>404664</v>
      </c>
      <c r="DT88" s="63" t="n">
        <v>403872</v>
      </c>
      <c r="DU88" s="63" t="n">
        <v>404524</v>
      </c>
      <c r="DV88" s="63" t="n">
        <v>420812</v>
      </c>
      <c r="DW88" s="63" t="n">
        <v>422668</v>
      </c>
      <c r="DX88" s="63" t="n">
        <v>428384</v>
      </c>
      <c r="DY88" s="63" t="n">
        <v>428472</v>
      </c>
      <c r="DZ88" s="63" t="n">
        <v>442872</v>
      </c>
      <c r="EA88" s="63" t="n">
        <v>445487</v>
      </c>
      <c r="EB88" s="63" t="n">
        <v>448080</v>
      </c>
      <c r="EC88" s="63" t="n">
        <v>451196</v>
      </c>
      <c r="ED88" s="63" t="n">
        <v>458142</v>
      </c>
      <c r="EE88" s="63" t="n">
        <v>463083</v>
      </c>
      <c r="EF88" s="63" t="n">
        <v>464765</v>
      </c>
      <c r="EG88" s="63" t="n">
        <v>468133</v>
      </c>
      <c r="EH88" s="63" t="n">
        <v>479685</v>
      </c>
      <c r="EI88" s="63" t="n">
        <v>484798</v>
      </c>
      <c r="EJ88" s="63" t="n">
        <v>486184</v>
      </c>
      <c r="EK88" s="63" t="n">
        <v>491380</v>
      </c>
      <c r="EL88" s="63" t="n">
        <v>506486</v>
      </c>
      <c r="EM88" s="63" t="n">
        <v>512872</v>
      </c>
      <c r="EN88" s="63" t="n">
        <v>514043</v>
      </c>
      <c r="EO88" s="63" t="n">
        <v>517512</v>
      </c>
      <c r="EP88" s="63" t="n">
        <v>538042</v>
      </c>
      <c r="EQ88" s="63" t="n">
        <v>543660</v>
      </c>
      <c r="ER88" s="63" t="n">
        <v>546105</v>
      </c>
      <c r="ES88" s="63" t="n">
        <v>548576</v>
      </c>
      <c r="ET88" s="63" t="n">
        <v>568277</v>
      </c>
      <c r="EU88" s="63" t="n">
        <v>575021</v>
      </c>
      <c r="EV88" s="63" t="n">
        <v>578227</v>
      </c>
      <c r="EW88" s="63" t="n">
        <v>581089</v>
      </c>
      <c r="EX88" s="63" t="n">
        <v>597326</v>
      </c>
      <c r="EY88" s="63" t="n">
        <v>602859</v>
      </c>
      <c r="EZ88" s="63" t="n">
        <v>608868</v>
      </c>
      <c r="FA88" s="63" t="n">
        <v>613115</v>
      </c>
      <c r="FB88" s="63" t="n">
        <v>651871</v>
      </c>
      <c r="FC88" s="63" t="n">
        <v>662422</v>
      </c>
      <c r="FD88" s="63" t="n">
        <v>667932</v>
      </c>
      <c r="FE88" s="63" t="n">
        <v>675654</v>
      </c>
      <c r="FF88" s="63" t="n">
        <v>678854</v>
      </c>
      <c r="FG88" s="63" t="n">
        <v>689251</v>
      </c>
      <c r="FH88" s="63" t="n">
        <v>693594</v>
      </c>
      <c r="FI88" s="63" t="n">
        <v>698996</v>
      </c>
      <c r="FJ88" s="63" t="n">
        <v>703143</v>
      </c>
      <c r="FK88" s="63" t="n">
        <v>712039</v>
      </c>
      <c r="FL88" s="63" t="n">
        <v>716021</v>
      </c>
      <c r="FM88" s="63" t="n">
        <v>721840</v>
      </c>
      <c r="FN88" s="63" t="n">
        <v>753212</v>
      </c>
      <c r="FO88" s="63" t="n">
        <v>759410</v>
      </c>
      <c r="FP88" s="63" t="n">
        <v>765124</v>
      </c>
      <c r="FQ88" s="63" t="n">
        <v>770811</v>
      </c>
      <c r="FR88" s="63" t="n">
        <v>789992</v>
      </c>
      <c r="FS88" s="63" t="n">
        <v>795240</v>
      </c>
      <c r="FT88" s="63" t="n">
        <v>802336</v>
      </c>
      <c r="FU88" s="63" t="n">
        <v>808608</v>
      </c>
      <c r="FV88" s="63" t="n">
        <v>824825</v>
      </c>
      <c r="FW88" s="63" t="n">
        <v>831664</v>
      </c>
      <c r="FX88" s="63" t="n">
        <v>836478</v>
      </c>
      <c r="FY88" s="63" t="n">
        <v>845592</v>
      </c>
      <c r="FZ88" s="63" t="n">
        <v>861827</v>
      </c>
      <c r="GA88" s="63" t="n">
        <v>868501</v>
      </c>
      <c r="GB88" s="63" t="n">
        <v>873921</v>
      </c>
      <c r="GC88" s="63" t="n">
        <v>882925</v>
      </c>
      <c r="GD88" s="63" t="n">
        <v>886054</v>
      </c>
      <c r="GE88" s="63" t="n">
        <v>893200</v>
      </c>
      <c r="GF88" s="63" t="n">
        <v>899396</v>
      </c>
      <c r="GG88" s="63" t="n">
        <v>907237</v>
      </c>
      <c r="GH88" s="63" t="n">
        <v>916306</v>
      </c>
      <c r="GI88" s="63" t="n">
        <v>922033</v>
      </c>
      <c r="GJ88" s="63" t="n">
        <v>929279</v>
      </c>
      <c r="GK88" s="63" t="n">
        <v>936668</v>
      </c>
      <c r="GL88" s="63" t="n">
        <v>960827</v>
      </c>
      <c r="GM88" s="63" t="n">
        <v>968287</v>
      </c>
      <c r="GN88" s="63" t="n">
        <v>976649</v>
      </c>
      <c r="GO88" s="63" t="n">
        <v>983886</v>
      </c>
      <c r="GP88" s="63" t="n">
        <v>1019209</v>
      </c>
      <c r="GQ88" s="63" t="n">
        <v>1026622</v>
      </c>
      <c r="GR88" s="63" t="n">
        <v>1034357</v>
      </c>
      <c r="GS88" s="63" t="n">
        <v>1042782</v>
      </c>
      <c r="GT88" s="63" t="n">
        <v>1068228</v>
      </c>
      <c r="GU88" s="63" t="n">
        <v>1074912</v>
      </c>
      <c r="GV88" s="63" t="n">
        <v>1080340</v>
      </c>
      <c r="GW88" s="63" t="n">
        <v>1088233</v>
      </c>
      <c r="GX88" s="63" t="n">
        <v>1105676</v>
      </c>
      <c r="GY88" s="63" t="n">
        <v>1109371</v>
      </c>
      <c r="GZ88" s="63" t="n">
        <v>1116815</v>
      </c>
      <c r="HA88" s="63" t="n">
        <v>1126539</v>
      </c>
      <c r="HB88" s="63" t="n">
        <v>1198712</v>
      </c>
      <c r="HC88" t="n">
        <v>1206892</v>
      </c>
      <c r="HD88" t="n">
        <v>1214637</v>
      </c>
      <c r="HE88" t="n">
        <v>1226014</v>
      </c>
    </row>
    <row r="89">
      <c r="A89" s="63" t="s">
        <v>2523</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t="n">
        <v>34.4</v>
      </c>
      <c r="GY89" s="63" t="n">
        <v>34.4</v>
      </c>
      <c r="GZ89" s="63" t="n">
        <v>218.933333333333</v>
      </c>
      <c r="HA89" s="63" t="n">
        <v>223.133333333333</v>
      </c>
      <c r="HB89" s="63" t="n">
        <v>94.3</v>
      </c>
      <c r="HC89" t="n">
        <v>94.3</v>
      </c>
      <c r="HD89" t="n">
        <v>94.3</v>
      </c>
      <c r="HE89" t="n">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zoomScale="109" workbookViewId="0">
      <selection activeCell="C20" sqref="C20"/>
    </sheetView>
  </sheetViews>
  <sheetFormatPr defaultRowHeight="15.0" baseColWidth="10"/>
  <cols>
    <col min="1" max="1" width="15.140625" hidden="0" customWidth="1"/>
    <col min="2" max="2" width="28.42578125" hidden="0" customWidth="1"/>
    <col min="3" max="3" width="25.140625" hidden="0" customWidth="1"/>
    <col min="4" max="4" width="11.140625" hidden="0" customWidth="1"/>
    <col min="5" max="5" width="15.140625" hidden="0" customWidth="1"/>
    <col min="6" max="6" width="12.42578125" hidden="0" customWidth="1"/>
    <col min="7" max="7" width="11.85546875" hidden="0" customWidth="1"/>
  </cols>
  <sheetData>
    <row r="1">
      <c r="A1" s="88" t="s">
        <v>85</v>
      </c>
      <c r="B1" s="88" t="s">
        <v>86</v>
      </c>
      <c r="C1" s="88" t="s">
        <v>87</v>
      </c>
      <c r="D1" s="88" t="s">
        <v>88</v>
      </c>
      <c r="E1" s="88" t="s">
        <v>89</v>
      </c>
      <c r="F1" s="88" t="s">
        <v>90</v>
      </c>
    </row>
    <row r="2">
      <c r="C2" s="84" t="str">
        <f>'Haver Pivoted'!A1</f>
        <v>name</v>
      </c>
      <c r="D2" s="89" t="s">
        <v>1877</v>
      </c>
      <c r="E2" s="89" t="s">
        <v>1877</v>
      </c>
      <c r="F2" s="89"/>
      <c r="H2" s="90"/>
    </row>
    <row r="3">
      <c r="B3" s="84" t="s">
        <v>91</v>
      </c>
      <c r="C3" s="84" t="str">
        <f>'Haver Pivoted'!A2</f>
        <v>gdp</v>
      </c>
      <c r="D3" t="n">
        <v>26132.5</v>
      </c>
      <c r="E3" s="84" t="n">
        <f>'Haver Pivoted'!HE2</f>
        <v>26145</v>
      </c>
      <c r="F3" s="84" t="n">
        <f>E3-D3</f>
        <v>12.5</v>
      </c>
      <c r="G3" s="91" t="n">
        <f>F3/D3</f>
        <v>4.7833157945087533E-4</v>
      </c>
      <c r="H3" s="92"/>
    </row>
    <row r="4">
      <c r="B4" s="84" t="s">
        <v>92</v>
      </c>
      <c r="C4" s="84" t="str">
        <f>'Haver Pivoted'!A3</f>
        <v>gdph</v>
      </c>
      <c r="D4" t="n">
        <v>20198.099999999999</v>
      </c>
      <c r="E4" s="84" t="n">
        <f>'Haver Pivoted'!HE3</f>
        <v>20187.5</v>
      </c>
      <c r="F4" s="84" t="n">
        <f t="shared" ref="F4:F67" si="0">E4-D4</f>
        <v>-10.599999999998545</v>
      </c>
      <c r="G4" s="91" t="n">
        <f t="shared" ref="G4:G67" si="1">F4/D4</f>
        <v>-5.2480183779655238E-4</v>
      </c>
      <c r="H4" s="92"/>
    </row>
    <row r="5">
      <c r="B5" s="84" t="s">
        <v>93</v>
      </c>
      <c r="C5" s="84" t="str">
        <f>'Haver Pivoted'!A4</f>
        <v>jgdp</v>
      </c>
      <c r="D5" t="n">
        <v>129.374</v>
      </c>
      <c r="E5" s="84" t="n">
        <f>'Haver Pivoted'!HE4</f>
        <v>129.50200000000001</v>
      </c>
      <c r="F5" s="84" t="n">
        <f t="shared" si="0"/>
        <v>0.12800000000001432</v>
      </c>
      <c r="G5" s="91" t="n">
        <f t="shared" si="1"/>
        <v>9.8937962805520688E-4</v>
      </c>
      <c r="H5" s="93"/>
    </row>
    <row r="6">
      <c r="B6" s="84" t="s">
        <v>94</v>
      </c>
      <c r="C6" s="84" t="str">
        <f>'Haver Pivoted'!A5</f>
        <v>c</v>
      </c>
      <c r="D6" t="n">
        <v>17771.3</v>
      </c>
      <c r="E6" s="84" t="n">
        <f>'Haver Pivoted'!HE5</f>
        <v>17762.7</v>
      </c>
      <c r="F6" s="84" t="n">
        <f t="shared" si="0"/>
        <v>-8.5999999999985448</v>
      </c>
      <c r="G6" s="91" t="n">
        <f t="shared" si="1"/>
        <v>-4.8392633065665118E-4</v>
      </c>
    </row>
    <row r="7">
      <c r="B7" s="84" t="s">
        <v>95</v>
      </c>
      <c r="C7" s="84" t="str">
        <f>'Haver Pivoted'!A6</f>
        <v>ch</v>
      </c>
      <c r="D7" t="n">
        <v>14252.2</v>
      </c>
      <c r="E7" s="84" t="n">
        <f>'Haver Pivoted'!HE6</f>
        <v>14226.8</v>
      </c>
      <c r="F7" s="84" t="n">
        <f t="shared" si="0"/>
        <v>-25.400000000001455</v>
      </c>
      <c r="G7" s="91" t="n">
        <f t="shared" si="1"/>
        <v>-1.7821809966181679E-3</v>
      </c>
      <c r="K7" s="93"/>
    </row>
    <row r="8">
      <c r="B8" s="84" t="s">
        <v>96</v>
      </c>
      <c r="C8" s="84" t="str">
        <f>'Haver Pivoted'!A7</f>
        <v>jc</v>
      </c>
      <c r="D8" t="n">
        <v>124.72499999999999</v>
      </c>
      <c r="E8" s="84" t="n">
        <f>'Haver Pivoted'!HE7</f>
        <v>124.88800000000001</v>
      </c>
      <c r="F8" s="84" t="n">
        <f t="shared" si="0"/>
        <v>0.16300000000001091</v>
      </c>
      <c r="G8" s="91" t="n">
        <f t="shared" si="1"/>
        <v>1.306875125275694E-3</v>
      </c>
    </row>
    <row r="9">
      <c r="B9" s="84" t="s">
        <v>97</v>
      </c>
      <c r="C9" s="84" t="str">
        <f>'Haver Pivoted'!A8</f>
        <v>jgf</v>
      </c>
      <c r="D9" t="n">
        <v>123.247</v>
      </c>
      <c r="E9" s="84" t="n">
        <f>'Haver Pivoted'!HE8</f>
        <v>123.316</v>
      </c>
      <c r="F9" s="84" t="n">
        <f t="shared" si="0"/>
        <v>6.9000000000002615E-2</v>
      </c>
      <c r="G9" s="91" t="n">
        <f t="shared" si="1"/>
        <v>5.598513554082665E-4</v>
      </c>
    </row>
    <row r="10">
      <c r="B10" s="84" t="s">
        <v>98</v>
      </c>
      <c r="C10" s="84" t="str">
        <f>'Haver Pivoted'!A9</f>
        <v>jgs</v>
      </c>
      <c r="D10" t="n">
        <v>138.97200000000001</v>
      </c>
      <c r="E10" s="84" t="n">
        <f>'Haver Pivoted'!HE9</f>
        <v>139.19499999999999</v>
      </c>
      <c r="F10" s="84" t="n">
        <f t="shared" si="0"/>
        <v>0.22299999999998477</v>
      </c>
      <c r="G10" s="91" t="n">
        <f t="shared" si="1"/>
        <v>1.6046397835534118E-3</v>
      </c>
    </row>
    <row r="11">
      <c r="B11" s="84" t="s">
        <v>99</v>
      </c>
      <c r="C11" s="84" t="str">
        <f>'Haver Pivoted'!A10</f>
        <v>jgse</v>
      </c>
      <c r="D11" t="n">
        <v>138.20500000000001</v>
      </c>
      <c r="E11" s="84" t="n">
        <f>'Haver Pivoted'!HE10</f>
        <v>138.47300000000001</v>
      </c>
      <c r="F11" s="84" t="n">
        <f t="shared" si="0"/>
        <v>0.26800000000000068</v>
      </c>
      <c r="G11" s="91" t="n">
        <f t="shared" si="1"/>
        <v>1.939148366556931E-3</v>
      </c>
    </row>
    <row r="12">
      <c r="B12" s="84" t="s">
        <v>100</v>
      </c>
      <c r="C12" s="84" t="str">
        <f>'Haver Pivoted'!A11</f>
        <v>jgsi</v>
      </c>
      <c r="D12" t="n">
        <v>142.75</v>
      </c>
      <c r="E12" s="84" t="n">
        <f>'Haver Pivoted'!HE11</f>
        <v>142.75</v>
      </c>
      <c r="F12" s="84" t="n">
        <f t="shared" si="0"/>
        <v>0</v>
      </c>
      <c r="G12" s="91" t="n">
        <f t="shared" si="1"/>
        <v>0</v>
      </c>
    </row>
    <row r="13">
      <c r="A13" s="84" t="s">
        <v>55</v>
      </c>
      <c r="B13" s="84" t="s">
        <v>55</v>
      </c>
      <c r="C13" s="84" t="str">
        <f>'Haver Pivoted'!A12</f>
        <v>yptmr</v>
      </c>
      <c r="D13" t="n">
        <v>941.6</v>
      </c>
      <c r="E13" s="84" t="n">
        <f>'Haver Pivoted'!HE12</f>
        <v>941.6</v>
      </c>
      <c r="F13" s="84" t="n">
        <f t="shared" si="0"/>
        <v>0</v>
      </c>
      <c r="G13" s="91" t="n">
        <f t="shared" si="1"/>
        <v>0</v>
      </c>
      <c r="I13" s="94"/>
    </row>
    <row r="14">
      <c r="A14" s="84" t="s">
        <v>54</v>
      </c>
      <c r="B14" s="84" t="s">
        <v>101</v>
      </c>
      <c r="C14" s="84" t="str">
        <f>'Haver Pivoted'!A13</f>
        <v>yptmd</v>
      </c>
      <c r="D14" t="n">
        <v>784.6</v>
      </c>
      <c r="E14" s="84" t="n">
        <f>'Haver Pivoted'!HE13</f>
        <v>793.3</v>
      </c>
      <c r="F14" s="84" t="n">
        <f t="shared" si="0"/>
        <v>8.6999999999999318</v>
      </c>
      <c r="G14" s="91" t="n">
        <f t="shared" si="1"/>
        <v>1.1088452714759025E-2</v>
      </c>
    </row>
    <row r="15">
      <c r="A15" s="84" t="s">
        <v>53</v>
      </c>
      <c r="B15" s="84" t="s">
        <v>102</v>
      </c>
      <c r="C15" s="84" t="str">
        <f>'Haver Pivoted'!A14</f>
        <v>yptu</v>
      </c>
      <c r="D15" t="n">
        <v>20.399999999999999</v>
      </c>
      <c r="E15" s="84" t="n">
        <f>'Haver Pivoted'!HE14</f>
        <v>20.399999999999999</v>
      </c>
      <c r="F15" s="84" t="n">
        <f t="shared" si="0"/>
        <v>0</v>
      </c>
      <c r="G15" s="91" t="n">
        <f t="shared" si="1"/>
        <v>0</v>
      </c>
    </row>
    <row r="16">
      <c r="B16" s="84" t="s">
        <v>57</v>
      </c>
      <c r="C16" s="84" t="str">
        <f>'Haver Pivoted'!A15</f>
        <v>gtfp</v>
      </c>
      <c r="D16" t="n">
        <v>3913.5</v>
      </c>
      <c r="E16" s="84" t="n">
        <f>'Haver Pivoted'!HE15</f>
        <v>3925.9</v>
      </c>
      <c r="F16" s="84" t="n">
        <f t="shared" si="0"/>
        <v>12.400000000000091</v>
      </c>
      <c r="G16" s="91" t="n">
        <f t="shared" si="1"/>
        <v>3.1685192283122756E-3</v>
      </c>
    </row>
    <row r="17">
      <c r="B17" s="84" t="s">
        <v>103</v>
      </c>
      <c r="C17" s="84" t="str">
        <f>'Haver Pivoted'!A16</f>
        <v>ypog</v>
      </c>
      <c r="D17" t="n">
        <v>117</v>
      </c>
      <c r="E17" s="84" t="n">
        <f>'Haver Pivoted'!HE16</f>
        <v>117</v>
      </c>
      <c r="F17" s="84" t="n">
        <f t="shared" si="0"/>
        <v>0</v>
      </c>
      <c r="G17" s="91" t="n">
        <f t="shared" si="1"/>
        <v>0</v>
      </c>
    </row>
    <row r="18">
      <c r="B18" s="84" t="s">
        <v>104</v>
      </c>
      <c r="C18" s="84" t="str">
        <f>'Haver Pivoted'!A17</f>
        <v>yptx</v>
      </c>
      <c r="D18" t="n">
        <v>3243.3</v>
      </c>
      <c r="E18" s="84" t="n">
        <f>'Haver Pivoted'!HE17</f>
        <v>3232.5</v>
      </c>
      <c r="F18" s="84" t="n">
        <f t="shared" si="0"/>
        <v>-10.800000000000182</v>
      </c>
      <c r="G18" s="91" t="n">
        <f t="shared" si="1"/>
        <v>-3.3299417260198505E-3</v>
      </c>
    </row>
    <row r="19">
      <c r="B19" s="84" t="s">
        <v>105</v>
      </c>
      <c r="C19" s="84" t="str">
        <f>'Haver Pivoted'!A18</f>
        <v>ytpi</v>
      </c>
      <c r="D19" t="n">
        <v>1785.3</v>
      </c>
      <c r="E19" s="84" t="n">
        <f>'Haver Pivoted'!HE18</f>
        <v>1785.5</v>
      </c>
      <c r="F19" s="84" t="n">
        <f t="shared" si="0"/>
        <v>0.20000000000004547</v>
      </c>
      <c r="G19" s="91" t="n">
        <f t="shared" si="1"/>
        <v>1.1202599002971236E-4</v>
      </c>
    </row>
    <row r="20">
      <c r="B20" s="84" t="s">
        <v>106</v>
      </c>
      <c r="C20" s="84" t="str">
        <f>'Haver Pivoted'!A19</f>
        <v>yctlg</v>
      </c>
      <c r="D20" t="n">
        <v>441.3</v>
      </c>
      <c r="E20" s="84" t="n">
        <f>'Haver Pivoted'!HE19</f>
        <v>0</v>
      </c>
      <c r="F20" s="84" t="n">
        <f t="shared" si="0"/>
        <v>-441.3</v>
      </c>
      <c r="G20" s="91" t="n">
        <f t="shared" si="1"/>
        <v>-1</v>
      </c>
    </row>
    <row r="21">
      <c r="B21" s="84" t="s">
        <v>107</v>
      </c>
      <c r="C21" s="84" t="str">
        <f>'Haver Pivoted'!A20</f>
        <v>g</v>
      </c>
      <c r="D21" t="n">
        <v>4568</v>
      </c>
      <c r="E21" s="84" t="n">
        <f>'Haver Pivoted'!HE20</f>
        <v>4572.5</v>
      </c>
      <c r="F21" s="84" t="n">
        <f t="shared" si="0"/>
        <v>4.5</v>
      </c>
      <c r="G21" s="91" t="n">
        <f t="shared" si="1"/>
        <v>9.8511383537653241E-4</v>
      </c>
    </row>
    <row r="22">
      <c r="B22" s="84" t="s">
        <v>108</v>
      </c>
      <c r="C22" s="84" t="str">
        <f>'Haver Pivoted'!A21</f>
        <v>grcsi</v>
      </c>
      <c r="D22" t="n">
        <v>1706</v>
      </c>
      <c r="E22" s="84" t="n">
        <f>'Haver Pivoted'!HE21</f>
        <v>1727.7</v>
      </c>
      <c r="F22" s="84" t="n">
        <f t="shared" si="0"/>
        <v>21.700000000000045</v>
      </c>
      <c r="G22" s="91" t="n">
        <f t="shared" si="1"/>
        <v>1.2719812426729218E-2</v>
      </c>
    </row>
    <row r="23">
      <c r="B23" s="84" t="s">
        <v>96</v>
      </c>
      <c r="C23" s="84" t="str">
        <f>'Haver Pivoted'!A22</f>
        <v>dc</v>
      </c>
      <c r="D23" t="n">
        <v>124.69199999999999</v>
      </c>
      <c r="E23" s="84" t="n">
        <f>'Haver Pivoted'!HE22</f>
        <v>124.854</v>
      </c>
      <c r="F23" s="84" t="n">
        <f t="shared" si="0"/>
        <v>0.16200000000000614</v>
      </c>
      <c r="G23" s="91" t="n">
        <f t="shared" si="1"/>
        <v>1.2992012318352912E-3</v>
      </c>
    </row>
    <row r="24">
      <c r="A24" s="84" t="s">
        <v>109</v>
      </c>
      <c r="B24" s="84" t="s">
        <v>110</v>
      </c>
      <c r="C24" s="84" t="str">
        <f>'Haver Pivoted'!A23</f>
        <v>gf</v>
      </c>
      <c r="D24" t="n">
        <v>1693.9</v>
      </c>
      <c r="E24" s="84" t="n">
        <f>'Haver Pivoted'!HE23</f>
        <v>1693.8</v>
      </c>
      <c r="F24" s="84" t="n">
        <f t="shared" si="0"/>
        <v>-0.10000000000013642</v>
      </c>
      <c r="G24" s="91" t="n">
        <f t="shared" si="1"/>
        <v>-5.9035362182027519E-5</v>
      </c>
    </row>
    <row r="25">
      <c r="A25" s="84" t="s">
        <v>109</v>
      </c>
      <c r="B25" s="84" t="s">
        <v>111</v>
      </c>
      <c r="C25" s="84" t="str">
        <f>'Haver Pivoted'!A24</f>
        <v>gs</v>
      </c>
      <c r="D25" t="n">
        <v>2874.1</v>
      </c>
      <c r="E25" s="84" t="n">
        <f>'Haver Pivoted'!HE24</f>
        <v>2878.7</v>
      </c>
      <c r="F25" s="84" t="n">
        <f t="shared" si="0"/>
        <v>4.5999999999999091</v>
      </c>
      <c r="G25" s="91" t="n">
        <f t="shared" si="1"/>
        <v>1.6005010264082352E-3</v>
      </c>
    </row>
    <row r="26">
      <c r="B26" s="84" t="s">
        <v>112</v>
      </c>
      <c r="C26" s="84" t="str">
        <f>'Haver Pivoted'!A25</f>
        <v>gfh</v>
      </c>
      <c r="D26" t="n">
        <v>1374.1</v>
      </c>
      <c r="E26" s="84" t="n">
        <f>'Haver Pivoted'!HE25</f>
        <v>1373.2</v>
      </c>
      <c r="F26" s="84" t="n">
        <f t="shared" si="0"/>
        <v>-0.89999999999986358</v>
      </c>
      <c r="G26" s="91" t="n">
        <f t="shared" si="1"/>
        <v>-6.5497416490784054E-4</v>
      </c>
    </row>
    <row r="27">
      <c r="B27" s="84" t="s">
        <v>113</v>
      </c>
      <c r="C27" s="84" t="str">
        <f>'Haver Pivoted'!A26</f>
        <v>gsh</v>
      </c>
      <c r="D27" t="n">
        <v>2068.3000000000002</v>
      </c>
      <c r="E27" s="84" t="n">
        <f>'Haver Pivoted'!HE26</f>
        <v>2068.3000000000002</v>
      </c>
      <c r="F27" s="84" t="n">
        <f t="shared" si="0"/>
        <v>0</v>
      </c>
      <c r="G27" s="91" t="n">
        <f t="shared" si="1"/>
        <v>0</v>
      </c>
    </row>
    <row r="28">
      <c r="A28" s="84" t="s">
        <v>58</v>
      </c>
      <c r="B28" s="84" t="s">
        <v>114</v>
      </c>
      <c r="C28" s="84" t="s">
        <v>115</v>
      </c>
      <c r="D28" t="n">
        <v>2654.8</v>
      </c>
      <c r="E28" s="84" t="n">
        <f>'Haver Pivoted'!HE27</f>
        <v>2650.4</v>
      </c>
      <c r="F28" s="84" t="n">
        <f t="shared" si="0"/>
        <v>-4.4000000000000909</v>
      </c>
      <c r="G28" s="91" t="n">
        <f t="shared" si="1"/>
        <v>-1.657375320174812E-3</v>
      </c>
    </row>
    <row r="29">
      <c r="A29" s="84" t="s">
        <v>58</v>
      </c>
      <c r="B29" s="84" t="s">
        <v>116</v>
      </c>
      <c r="C29" s="84" t="s">
        <v>117</v>
      </c>
      <c r="D29" t="n">
        <v>192.5</v>
      </c>
      <c r="E29" s="84" t="n">
        <f>'Haver Pivoted'!HE28</f>
        <v>192.5</v>
      </c>
      <c r="F29" s="84" t="n">
        <f t="shared" si="0"/>
        <v>0</v>
      </c>
      <c r="G29" s="91" t="n">
        <f t="shared" si="1"/>
        <v>0</v>
      </c>
    </row>
    <row r="30">
      <c r="A30" s="84" t="s">
        <v>58</v>
      </c>
      <c r="B30" s="84" t="s">
        <v>118</v>
      </c>
      <c r="C30" s="84" t="s">
        <v>119</v>
      </c>
      <c r="D30" t="n">
        <v>340.6</v>
      </c>
      <c r="E30" s="84" t="n">
        <f>'Haver Pivoted'!HE29</f>
        <v>0</v>
      </c>
      <c r="F30" s="84" t="n">
        <f t="shared" si="0"/>
        <v>-340.6</v>
      </c>
      <c r="G30" s="91" t="n">
        <f t="shared" si="1"/>
        <v>-1</v>
      </c>
    </row>
    <row r="31">
      <c r="A31" s="84" t="s">
        <v>58</v>
      </c>
      <c r="B31" s="84" t="s">
        <v>120</v>
      </c>
      <c r="C31" s="84" t="s">
        <v>121</v>
      </c>
      <c r="D31" t="n">
        <v>1681.5</v>
      </c>
      <c r="E31" s="84" t="n">
        <f>'Haver Pivoted'!HE30</f>
        <v>1703.1</v>
      </c>
      <c r="F31" s="84" t="n">
        <f t="shared" si="0"/>
        <v>21.599999999999909</v>
      </c>
      <c r="G31" s="91" t="n">
        <f t="shared" si="1"/>
        <v>1.2845673505798341E-2</v>
      </c>
    </row>
    <row r="32">
      <c r="A32" s="84" t="s">
        <v>122</v>
      </c>
      <c r="B32" s="84" t="s">
        <v>123</v>
      </c>
      <c r="C32" s="84" t="str">
        <f>'Haver Pivoted'!A31</f>
        <v>gftfp</v>
      </c>
      <c r="D32" t="n">
        <v>2879.8</v>
      </c>
      <c r="E32" s="84" t="n">
        <f>'Haver Pivoted'!HE31</f>
        <v>2882.9</v>
      </c>
      <c r="F32" s="84" t="n">
        <f t="shared" si="0"/>
        <v>3.0999999999999091</v>
      </c>
      <c r="G32" s="91" t="n">
        <f t="shared" si="1"/>
        <v>1.0764636433085314E-3</v>
      </c>
    </row>
    <row r="33">
      <c r="A33" s="84" t="s">
        <v>51</v>
      </c>
      <c r="B33" s="83" t="s">
        <v>124</v>
      </c>
      <c r="C33" s="84" t="str">
        <f>'Haver Pivoted'!A32</f>
        <v>gfeg</v>
      </c>
      <c r="D33" t="n">
        <v>918.1</v>
      </c>
      <c r="E33" s="84" t="n">
        <f>'Haver Pivoted'!HE32</f>
        <v>917.2</v>
      </c>
      <c r="F33" s="84" t="n">
        <f t="shared" si="0"/>
        <v>-0.89999999999997726</v>
      </c>
      <c r="G33" s="91" t="n">
        <f t="shared" si="1"/>
        <v>-9.8028537196381349E-4</v>
      </c>
    </row>
    <row r="34">
      <c r="A34" s="84" t="s">
        <v>58</v>
      </c>
      <c r="B34" s="84" t="s">
        <v>125</v>
      </c>
      <c r="C34" s="84" t="str">
        <f>'Haver Pivoted'!A33</f>
        <v>gsrpt</v>
      </c>
      <c r="D34" t="n">
        <v>588.5</v>
      </c>
      <c r="E34" s="84" t="n">
        <f>'Haver Pivoted'!HE33</f>
        <v>582.1</v>
      </c>
      <c r="F34" s="84" t="n">
        <f t="shared" si="0"/>
        <v>-6.3999999999999773</v>
      </c>
      <c r="G34" s="91" t="n">
        <f t="shared" si="1"/>
        <v>-1.0875106202208967E-2</v>
      </c>
    </row>
    <row r="35">
      <c r="A35" s="84" t="s">
        <v>58</v>
      </c>
      <c r="B35" s="84" t="s">
        <v>126</v>
      </c>
      <c r="C35" s="84" t="str">
        <f>'Haver Pivoted'!A34</f>
        <v>gsrpri</v>
      </c>
      <c r="D35" t="n">
        <v>1592.8</v>
      </c>
      <c r="E35" s="84" t="n">
        <f>'Haver Pivoted'!HE34</f>
        <v>1593</v>
      </c>
      <c r="F35" s="84" t="n">
        <f t="shared" si="0"/>
        <v>0.20000000000004547</v>
      </c>
      <c r="G35" s="91" t="n">
        <f t="shared" si="1"/>
        <v>1.2556504269214307E-4</v>
      </c>
    </row>
    <row r="36">
      <c r="A36" s="84" t="s">
        <v>58</v>
      </c>
      <c r="B36" s="84" t="s">
        <v>127</v>
      </c>
      <c r="C36" s="84" t="str">
        <f>'Haver Pivoted'!A35</f>
        <v>gsrcp</v>
      </c>
      <c r="D36" t="n">
        <v>0</v>
      </c>
      <c r="E36" s="84" t="n">
        <f>'Haver Pivoted'!HE35</f>
        <v>0</v>
      </c>
      <c r="F36" s="84" t="n">
        <f t="shared" si="0"/>
        <v>0</v>
      </c>
      <c r="G36" s="91" t="e">
        <f t="shared" si="1"/>
        <v>#DIV/0!</v>
      </c>
    </row>
    <row r="37">
      <c r="A37" s="84" t="s">
        <v>58</v>
      </c>
      <c r="B37" s="84" t="s">
        <v>128</v>
      </c>
      <c r="C37" s="84" t="str">
        <f>'Haver Pivoted'!A36</f>
        <v>gsrs</v>
      </c>
      <c r="D37" t="n">
        <v>24.5</v>
      </c>
      <c r="E37" s="84" t="n">
        <f>'Haver Pivoted'!HE36</f>
        <v>24.5</v>
      </c>
      <c r="F37" s="84" t="n">
        <f t="shared" si="0"/>
        <v>0</v>
      </c>
      <c r="G37" s="91" t="n">
        <f t="shared" si="1"/>
        <v>0</v>
      </c>
    </row>
    <row r="38">
      <c r="A38" s="84" t="s">
        <v>57</v>
      </c>
      <c r="B38" s="84" t="s">
        <v>129</v>
      </c>
      <c r="C38" s="84" t="str">
        <f>'Haver Pivoted'!A37</f>
        <v>gstfp</v>
      </c>
      <c r="D38" t="n">
        <v>1033.7</v>
      </c>
      <c r="E38" s="84" t="n">
        <f>'Haver Pivoted'!HE37</f>
        <v>1043</v>
      </c>
      <c r="F38" s="84" t="n">
        <f t="shared" si="0"/>
        <v>9.2999999999999545</v>
      </c>
      <c r="G38" s="91" t="n">
        <f t="shared" si="1"/>
        <v>8.9968075844054883E-3</v>
      </c>
    </row>
    <row r="39">
      <c r="B39" s="84" t="s">
        <v>130</v>
      </c>
      <c r="C39" s="84" t="str">
        <f>'Haver Pivoted'!A38</f>
        <v>gset</v>
      </c>
      <c r="D39" t="n">
        <v>3808.6</v>
      </c>
      <c r="E39" s="84" t="n">
        <f>'Haver Pivoted'!HE38</f>
        <v>3822.5</v>
      </c>
      <c r="F39" s="84" t="n">
        <f t="shared" si="0"/>
        <v>13.900000000000091</v>
      </c>
      <c r="G39" s="91" t="n">
        <f t="shared" si="1"/>
        <v>3.6496350364963745E-3</v>
      </c>
    </row>
    <row r="40">
      <c r="B40" s="84" t="s">
        <v>131</v>
      </c>
      <c r="C40" s="84" t="str">
        <f>'Haver Pivoted'!A39</f>
        <v>gfeghhx</v>
      </c>
      <c r="D40" t="n">
        <v>636.61</v>
      </c>
      <c r="E40" s="84" t="n">
        <f>'Haver Pivoted'!HE39</f>
        <v>636.82899999999995</v>
      </c>
      <c r="F40" s="84" t="n">
        <f t="shared" si="0"/>
        <v>0.21899999999993724</v>
      </c>
      <c r="G40" s="91" t="n">
        <f t="shared" si="1"/>
        <v>3.4400967625380886E-4</v>
      </c>
    </row>
    <row r="41">
      <c r="A41" s="84" t="s">
        <v>132</v>
      </c>
      <c r="B41" s="84" t="s">
        <v>133</v>
      </c>
      <c r="C41" s="84" t="str">
        <f>'Haver Pivoted'!A40</f>
        <v>gfeghdx</v>
      </c>
      <c r="D41" t="n">
        <v>604.79499999999996</v>
      </c>
      <c r="E41" s="84" t="n">
        <f>'Haver Pivoted'!HE40</f>
        <v>604.87400000000002</v>
      </c>
      <c r="F41" s="84" t="n">
        <f t="shared" si="0"/>
        <v>7.9000000000064574E-2</v>
      </c>
      <c r="G41" s="91" t="n">
        <f t="shared" si="1"/>
        <v>1.3062277300583599E-4</v>
      </c>
    </row>
    <row r="42">
      <c r="A42" s="84" t="s">
        <v>51</v>
      </c>
      <c r="B42" s="84" t="s">
        <v>134</v>
      </c>
      <c r="C42" s="84" t="str">
        <f>'Haver Pivoted'!A41</f>
        <v>gfeigx</v>
      </c>
      <c r="D42" t="n">
        <v>76.164000000000001</v>
      </c>
      <c r="E42" s="84" t="n">
        <f>'Haver Pivoted'!HE41</f>
        <v>75.936999999999998</v>
      </c>
      <c r="F42" s="84" t="n">
        <f t="shared" si="0"/>
        <v>-0.22700000000000387</v>
      </c>
      <c r="G42" s="91" t="n">
        <f t="shared" si="1"/>
        <v>-2.9804106927157695E-3</v>
      </c>
    </row>
    <row r="43">
      <c r="B43" s="84" t="s">
        <v>135</v>
      </c>
      <c r="C43" s="84" t="str">
        <f>'Haver Pivoted'!A42</f>
        <v>gfsub</v>
      </c>
      <c r="D43" t="n">
        <v>107.6</v>
      </c>
      <c r="E43" s="84" t="n">
        <f>'Haver Pivoted'!HE42</f>
        <v>110.8</v>
      </c>
      <c r="F43" s="84" t="n">
        <f t="shared" si="0"/>
        <v>3.2000000000000028</v>
      </c>
      <c r="G43" s="91" t="n">
        <f t="shared" si="1"/>
        <v>2.9739776951672889E-2</v>
      </c>
      <c r="I43" s="95"/>
      <c r="J43" s="92"/>
    </row>
    <row r="44">
      <c r="B44" s="84" t="s">
        <v>136</v>
      </c>
      <c r="C44" s="84" t="str">
        <f>'Haver Pivoted'!A43</f>
        <v>gssub</v>
      </c>
      <c r="D44" t="n">
        <v>0.7</v>
      </c>
      <c r="E44" s="84" t="n">
        <f>'Haver Pivoted'!HE43</f>
        <v>0.7</v>
      </c>
      <c r="F44" s="84" t="n">
        <f t="shared" si="0"/>
        <v>0</v>
      </c>
      <c r="G44" s="91" t="n">
        <f t="shared" si="1"/>
        <v>0</v>
      </c>
      <c r="I44" s="85"/>
      <c r="J44" s="92"/>
    </row>
    <row r="45">
      <c r="B45" s="84" t="s">
        <v>52</v>
      </c>
      <c r="C45" s="84" t="str">
        <f>'Haver Pivoted'!A44</f>
        <v>gsub</v>
      </c>
      <c r="D45" t="n">
        <v>108.3</v>
      </c>
      <c r="E45" s="84" t="n">
        <f>'Haver Pivoted'!HE44</f>
        <v>111.5</v>
      </c>
      <c r="F45" s="84" t="n">
        <f t="shared" si="0"/>
        <v>3.2000000000000028</v>
      </c>
      <c r="G45" s="91" t="n">
        <f t="shared" si="1"/>
        <v>2.9547553093259491E-2</v>
      </c>
      <c r="I45" s="85"/>
      <c r="J45" s="93"/>
    </row>
    <row r="46">
      <c r="A46" s="84" t="s">
        <v>56</v>
      </c>
      <c r="B46" s="84" t="s">
        <v>56</v>
      </c>
      <c r="C46" s="84" t="str">
        <f>'Haver Pivoted'!A45</f>
        <v>gftfpe</v>
      </c>
      <c r="D46" t="n">
        <v>0</v>
      </c>
      <c r="E46" s="84" t="n">
        <f>'Haver Pivoted'!HE45</f>
        <v>0</v>
      </c>
      <c r="F46" s="84" t="n">
        <f t="shared" si="0"/>
        <v>0</v>
      </c>
      <c r="G46" s="91" t="e">
        <f t="shared" si="1"/>
        <v>#DIV/0!</v>
      </c>
      <c r="I46" s="85"/>
      <c r="J46" s="93"/>
    </row>
    <row r="47">
      <c r="B47" s="84" t="s">
        <v>137</v>
      </c>
      <c r="C47" s="84" t="str">
        <f>'Haver Pivoted'!A46</f>
        <v>gftfpr</v>
      </c>
      <c r="D47" t="n">
        <v>0</v>
      </c>
      <c r="E47" s="84" t="n">
        <f>'Haver Pivoted'!HE46</f>
        <v>0</v>
      </c>
      <c r="F47" s="84" t="n">
        <f t="shared" si="0"/>
        <v>0</v>
      </c>
      <c r="G47" s="91" t="e">
        <f t="shared" si="1"/>
        <v>#DIV/0!</v>
      </c>
      <c r="I47" s="85"/>
      <c r="J47" s="93"/>
    </row>
    <row r="48">
      <c r="A48" s="84" t="s">
        <v>50</v>
      </c>
      <c r="B48" s="84" t="s">
        <v>138</v>
      </c>
      <c r="C48" s="84" t="str">
        <f>'Haver Pivoted'!A47</f>
        <v>gftfpp</v>
      </c>
      <c r="D48" t="n">
        <v>0</v>
      </c>
      <c r="E48" s="84" t="n">
        <f>'Haver Pivoted'!HE47</f>
        <v>0</v>
      </c>
      <c r="F48" s="84" t="n">
        <f t="shared" si="0"/>
        <v>0</v>
      </c>
      <c r="G48" s="91" t="e">
        <f t="shared" si="1"/>
        <v>#DIV/0!</v>
      </c>
      <c r="J48" s="93"/>
    </row>
    <row r="49">
      <c r="A49" s="84" t="s">
        <v>49</v>
      </c>
      <c r="B49" s="84" t="s">
        <v>139</v>
      </c>
      <c r="C49" s="84" t="str">
        <f>'Haver Pivoted'!A48</f>
        <v>gftfpv</v>
      </c>
      <c r="D49" t="n">
        <v>4.9000000000000004</v>
      </c>
      <c r="E49" s="84" t="n">
        <f>'Haver Pivoted'!HE48</f>
        <v>4.9000000000000004</v>
      </c>
      <c r="F49" s="84" t="n">
        <f t="shared" si="0"/>
        <v>0</v>
      </c>
      <c r="G49" s="91" t="n">
        <f t="shared" si="1"/>
        <v>0</v>
      </c>
      <c r="H49" s="86"/>
      <c r="I49" s="86"/>
    </row>
    <row r="50">
      <c r="A50" s="84" t="s">
        <v>140</v>
      </c>
      <c r="B50" s="81" t="s">
        <v>141</v>
      </c>
      <c r="C50" s="84" t="str">
        <f>'Haver Pivoted'!A49</f>
        <v>gfsubp</v>
      </c>
      <c r="D50" t="n">
        <v>0</v>
      </c>
      <c r="E50" s="84" t="n">
        <f>'Haver Pivoted'!HE49</f>
        <v>0</v>
      </c>
      <c r="F50" s="84" t="n">
        <f t="shared" si="0"/>
        <v>0</v>
      </c>
      <c r="G50" s="91" t="e">
        <f t="shared" si="1"/>
        <v>#DIV/0!</v>
      </c>
      <c r="H50" s="77"/>
      <c r="I50" s="78"/>
    </row>
    <row r="51">
      <c r="A51" s="84" t="s">
        <v>52</v>
      </c>
      <c r="B51" s="81" t="s">
        <v>142</v>
      </c>
      <c r="C51" s="84" t="str">
        <f>'Haver Pivoted'!A50</f>
        <v>gfsubg</v>
      </c>
      <c r="D51" t="n">
        <v>0.4</v>
      </c>
      <c r="E51" s="84" t="n">
        <f>'Haver Pivoted'!HE50</f>
        <v>0.4</v>
      </c>
      <c r="F51" s="84" t="n">
        <f t="shared" si="0"/>
        <v>0</v>
      </c>
      <c r="G51" s="91" t="n">
        <f t="shared" si="1"/>
        <v>0</v>
      </c>
      <c r="H51" s="97"/>
      <c r="I51" s="96"/>
    </row>
    <row r="52">
      <c r="A52" s="84" t="s">
        <v>52</v>
      </c>
      <c r="B52" s="81" t="s">
        <v>143</v>
      </c>
      <c r="C52" s="84" t="str">
        <f>'Haver Pivoted'!A51</f>
        <v>gfsube</v>
      </c>
      <c r="D52" t="n">
        <v>0</v>
      </c>
      <c r="E52" s="84" t="n">
        <f>'Haver Pivoted'!HE51</f>
        <v>0</v>
      </c>
      <c r="F52" s="84" t="n">
        <f t="shared" si="0"/>
        <v>0</v>
      </c>
      <c r="G52" s="91" t="e">
        <f t="shared" si="1"/>
        <v>#DIV/0!</v>
      </c>
      <c r="H52" s="80"/>
      <c r="I52" s="78"/>
    </row>
    <row r="53">
      <c r="A53" s="84" t="s">
        <v>52</v>
      </c>
      <c r="B53" s="81" t="s">
        <v>144</v>
      </c>
      <c r="C53" s="84" t="str">
        <f>'Haver Pivoted'!A52</f>
        <v>gfsubs</v>
      </c>
      <c r="D53" t="n">
        <v>15.8</v>
      </c>
      <c r="E53" s="84" t="n">
        <f>'Haver Pivoted'!HE52</f>
        <v>15.8</v>
      </c>
      <c r="F53" s="84" t="n">
        <f t="shared" si="0"/>
        <v>0</v>
      </c>
      <c r="G53" s="91" t="n">
        <f t="shared" si="1"/>
        <v>0</v>
      </c>
      <c r="H53" s="80"/>
      <c r="I53" s="78"/>
    </row>
    <row r="54">
      <c r="A54" s="84" t="s">
        <v>52</v>
      </c>
      <c r="B54" s="81" t="s">
        <v>145</v>
      </c>
      <c r="C54" s="84" t="str">
        <f>'Haver Pivoted'!A53</f>
        <v>gfsubf</v>
      </c>
      <c r="D54" t="n">
        <v>0</v>
      </c>
      <c r="E54" s="84" t="n">
        <f>'Haver Pivoted'!HE53</f>
        <v>0</v>
      </c>
      <c r="F54" s="84" t="n">
        <f t="shared" si="0"/>
        <v>0</v>
      </c>
      <c r="G54" s="91" t="e">
        <f t="shared" si="1"/>
        <v>#DIV/0!</v>
      </c>
      <c r="H54" s="77"/>
      <c r="I54" s="78"/>
    </row>
    <row r="55">
      <c r="A55" s="84" t="s">
        <v>146</v>
      </c>
      <c r="B55" s="81" t="s">
        <v>147</v>
      </c>
      <c r="C55" s="84" t="str">
        <f>'Haver Pivoted'!A54</f>
        <v>gfsubv</v>
      </c>
      <c r="D55" t="n">
        <v>3.6</v>
      </c>
      <c r="E55" s="84" t="n">
        <f>'Haver Pivoted'!HE54</f>
        <v>3.6</v>
      </c>
      <c r="F55" s="84" t="n">
        <f t="shared" si="0"/>
        <v>0</v>
      </c>
      <c r="G55" s="91" t="n">
        <f t="shared" si="1"/>
        <v>0</v>
      </c>
    </row>
    <row r="56">
      <c r="A56" s="84" t="s">
        <v>52</v>
      </c>
      <c r="B56" s="81" t="s">
        <v>148</v>
      </c>
      <c r="C56" s="84" t="str">
        <f>'Haver Pivoted'!A55</f>
        <v>gfsubk</v>
      </c>
      <c r="D56" t="n">
        <v>0</v>
      </c>
      <c r="E56" s="84" t="n">
        <f>'Haver Pivoted'!HE55</f>
        <v>0</v>
      </c>
      <c r="F56" s="84" t="n">
        <f t="shared" si="0"/>
        <v>0</v>
      </c>
      <c r="G56" s="91" t="e">
        <f t="shared" si="1"/>
        <v>#DIV/0!</v>
      </c>
      <c r="H56" s="77"/>
      <c r="I56" s="78"/>
    </row>
    <row r="57">
      <c r="A57" s="84" t="s">
        <v>51</v>
      </c>
      <c r="B57" s="83" t="s">
        <v>149</v>
      </c>
      <c r="C57" s="84" t="str">
        <f>'Haver Pivoted'!A56</f>
        <v>gfegc</v>
      </c>
      <c r="D57" t="n">
        <v>0</v>
      </c>
      <c r="E57" s="84" t="n">
        <f>'Haver Pivoted'!HE56</f>
        <v>0</v>
      </c>
      <c r="F57" s="84" t="n">
        <f t="shared" si="0"/>
        <v>0</v>
      </c>
      <c r="G57" s="91"/>
      <c r="H57" s="77"/>
      <c r="I57" s="78"/>
    </row>
    <row r="58">
      <c r="A58" s="84" t="s">
        <v>51</v>
      </c>
      <c r="B58" s="83" t="s">
        <v>150</v>
      </c>
      <c r="C58" s="84" t="str">
        <f>'Haver Pivoted'!A57</f>
        <v>gfege</v>
      </c>
      <c r="D58" t="n">
        <v>64</v>
      </c>
      <c r="E58" s="84" t="n">
        <f>'Haver Pivoted'!HE57</f>
        <v>64</v>
      </c>
      <c r="F58" s="84" t="n">
        <f t="shared" si="0"/>
        <v>0</v>
      </c>
      <c r="G58" s="91" t="n">
        <f t="shared" si="1"/>
        <v>0</v>
      </c>
      <c r="H58" s="77"/>
      <c r="I58" s="78"/>
    </row>
    <row r="59">
      <c r="A59" s="84" t="s">
        <v>151</v>
      </c>
      <c r="B59" s="83" t="s">
        <v>152</v>
      </c>
      <c r="C59" s="84" t="str">
        <f>'Haver Pivoted'!A58</f>
        <v>gfegv</v>
      </c>
      <c r="D59" t="n">
        <v>6.2</v>
      </c>
      <c r="E59" s="84" t="n">
        <f>'Haver Pivoted'!HE58</f>
        <v>6.2</v>
      </c>
      <c r="F59" s="84" t="n">
        <f t="shared" si="0"/>
        <v>0</v>
      </c>
      <c r="G59" s="91" t="n">
        <f t="shared" si="1"/>
        <v>0</v>
      </c>
    </row>
    <row r="60">
      <c r="A60" s="84" t="s">
        <v>53</v>
      </c>
      <c r="B60" s="84" t="s">
        <v>153</v>
      </c>
      <c r="C60" s="84" t="str">
        <f>'Haver Pivoted'!A59</f>
        <v>yptue</v>
      </c>
      <c r="D60" t="n">
        <v>0.2</v>
      </c>
      <c r="E60" s="84" t="n">
        <f>'Haver Pivoted'!HE59</f>
        <v>0.2</v>
      </c>
      <c r="F60" s="84" t="n">
        <f t="shared" si="0"/>
        <v>0</v>
      </c>
      <c r="G60" s="91" t="n">
        <f t="shared" si="1"/>
        <v>0</v>
      </c>
    </row>
    <row r="61">
      <c r="A61" s="84" t="s">
        <v>53</v>
      </c>
      <c r="B61" s="84" t="s">
        <v>154</v>
      </c>
      <c r="C61" s="84" t="str">
        <f>'Haver Pivoted'!A60</f>
        <v>yptup</v>
      </c>
      <c r="D61" t="n">
        <v>0.1</v>
      </c>
      <c r="E61" s="84" t="n">
        <f>'Haver Pivoted'!HE60</f>
        <v>0.1</v>
      </c>
      <c r="F61" s="84" t="n">
        <f t="shared" si="0"/>
        <v>0</v>
      </c>
      <c r="G61" s="91" t="n">
        <f t="shared" si="1"/>
        <v>0</v>
      </c>
    </row>
    <row r="62">
      <c r="A62" s="84" t="s">
        <v>53</v>
      </c>
      <c r="B62" s="84" t="s">
        <v>155</v>
      </c>
      <c r="C62" s="84" t="str">
        <f>'Haver Pivoted'!A61</f>
        <v>yptuc</v>
      </c>
      <c r="D62" t="n">
        <v>0.1</v>
      </c>
      <c r="E62" s="84" t="n">
        <f>'Haver Pivoted'!HE61</f>
        <v>0</v>
      </c>
      <c r="F62" s="84" t="n">
        <f t="shared" si="0"/>
        <v>-0.1</v>
      </c>
      <c r="G62" s="91" t="n">
        <f t="shared" si="1"/>
        <v>-1</v>
      </c>
    </row>
    <row r="63">
      <c r="B63" s="84" t="s">
        <v>156</v>
      </c>
      <c r="C63" s="84" t="str">
        <f>'Haver Pivoted'!A62</f>
        <v>gftfpu</v>
      </c>
      <c r="D63" t="n">
        <v>0.3</v>
      </c>
      <c r="E63" s="84" t="n">
        <f>'Haver Pivoted'!HE62</f>
        <v>0.3</v>
      </c>
      <c r="F63" s="84" t="n">
        <f t="shared" si="0"/>
        <v>0</v>
      </c>
      <c r="G63" s="91" t="n">
        <f t="shared" si="1"/>
        <v>0</v>
      </c>
      <c r="H63" s="83"/>
      <c r="I63" s="83"/>
    </row>
    <row r="64">
      <c r="A64" s="84" t="s">
        <v>53</v>
      </c>
      <c r="B64" s="87" t="s">
        <v>157</v>
      </c>
      <c r="C64" s="84" t="str">
        <f>'Haver Pivoted'!A63</f>
        <v>yptub</v>
      </c>
      <c r="D64" t="n">
        <v>0</v>
      </c>
      <c r="E64" s="84" t="n">
        <f>'Haver Pivoted'!HE63</f>
        <v>0</v>
      </c>
      <c r="F64" s="84" t="n">
        <f t="shared" si="0"/>
        <v>0</v>
      </c>
      <c r="G64" s="91" t="e">
        <f t="shared" si="1"/>
        <v>#DIV/0!</v>
      </c>
      <c r="H64" s="83"/>
      <c r="I64" s="83"/>
    </row>
    <row r="65">
      <c r="A65" s="84" t="s">
        <v>53</v>
      </c>
      <c r="B65" s="84" t="s">
        <v>158</v>
      </c>
      <c r="C65" s="84" t="str">
        <f>'Haver Pivoted'!A64</f>
        <v>yptol</v>
      </c>
      <c r="D65" t="n">
        <v>0</v>
      </c>
      <c r="E65" s="84" t="n">
        <f>'Haver Pivoted'!HE64</f>
        <v>0</v>
      </c>
      <c r="F65" s="84" t="n">
        <f t="shared" si="0"/>
        <v>0</v>
      </c>
      <c r="G65" s="91" t="e">
        <f t="shared" si="1"/>
        <v>#DIV/0!</v>
      </c>
      <c r="H65" s="83"/>
      <c r="I65" s="83"/>
    </row>
    <row r="66">
      <c r="B66" s="84" t="s">
        <v>159</v>
      </c>
      <c r="C66" s="84" t="str">
        <f>'Haver Pivoted'!A65</f>
        <v>gfctp</v>
      </c>
      <c r="D66" t="n">
        <v>108.7</v>
      </c>
      <c r="E66" s="84" t="n">
        <f>'Haver Pivoted'!HE65</f>
        <v>108.8</v>
      </c>
      <c r="F66" s="84" t="n">
        <f t="shared" si="0"/>
        <v>9.9999999999994316E-2</v>
      </c>
      <c r="G66" s="91" t="n">
        <f t="shared" si="1"/>
        <v>9.1996320147188886E-4</v>
      </c>
      <c r="H66" s="83"/>
      <c r="I66" s="83"/>
    </row>
    <row r="67">
      <c r="A67" s="84" t="s">
        <v>57</v>
      </c>
      <c r="B67" s="82" t="s">
        <v>160</v>
      </c>
      <c r="C67" s="84" t="str">
        <f>'Haver Pivoted'!A66</f>
        <v>gftffx</v>
      </c>
      <c r="D67" t="n">
        <v>123.58</v>
      </c>
      <c r="E67" s="84" t="n">
        <f>'Haver Pivoted'!HE66</f>
        <v>126.22</v>
      </c>
      <c r="F67" s="84" t="n">
        <f t="shared" si="0"/>
        <v>2.6400000000000006</v>
      </c>
      <c r="G67" s="91" t="n">
        <f t="shared" si="1"/>
        <v>2.1362680045314782E-2</v>
      </c>
      <c r="H67" s="83"/>
      <c r="I67" s="83"/>
    </row>
    <row r="68">
      <c r="B68" s="84" t="s">
        <v>161</v>
      </c>
      <c r="C68" s="84" t="str">
        <f>'Haver Pivoted'!A67</f>
        <v>cpiu</v>
      </c>
      <c r="D68" t="n">
        <v>298.17433333333298</v>
      </c>
      <c r="E68" s="84" t="n">
        <f>'Haver Pivoted'!HE67</f>
        <v>298.52499999999998</v>
      </c>
      <c r="F68" s="84" t="n">
        <f t="shared" ref="F68:F81" si="2">E68-D68</f>
        <v>0.35066666666699575</v>
      </c>
      <c r="G68" s="91" t="n">
        <f t="shared" ref="G68:G81" si="3">F68/D68</f>
        <v>1.1760457808250749E-3</v>
      </c>
      <c r="H68" s="83"/>
      <c r="I68" s="83"/>
    </row>
    <row r="69">
      <c r="C69" s="84" t="str">
        <f>'Haver Pivoted'!A68</f>
        <v>pcw</v>
      </c>
      <c r="D69" t="n">
        <v>292.91500000000002</v>
      </c>
      <c r="E69" s="84" t="n">
        <f>'Haver Pivoted'!HE68</f>
        <v>293.31766666666698</v>
      </c>
      <c r="F69" s="84" t="n">
        <f t="shared" si="2"/>
        <v>0.40266666666695983</v>
      </c>
      <c r="G69" s="91" t="n">
        <f t="shared" si="3"/>
        <v>1.3746877649384967E-3</v>
      </c>
    </row>
    <row r="70">
      <c r="B70" s="84" t="s">
        <v>162</v>
      </c>
      <c r="C70" s="84" t="str">
        <f>'Haver Pivoted'!A69</f>
        <v>gdppothq</v>
      </c>
      <c r="D70" t="n">
        <v>20295.5</v>
      </c>
      <c r="E70" s="84" t="n">
        <f>'Haver Pivoted'!HE69</f>
        <v>20362</v>
      </c>
      <c r="F70" s="84" t="n">
        <f t="shared" si="2"/>
        <v>66.5</v>
      </c>
      <c r="G70" s="91" t="n">
        <f t="shared" si="3"/>
        <v>3.2765884062969622E-3</v>
      </c>
    </row>
    <row r="71">
      <c r="B71" s="84" t="s">
        <v>163</v>
      </c>
      <c r="C71" s="84" t="str">
        <f>'Haver Pivoted'!A70</f>
        <v>gdppotq</v>
      </c>
      <c r="D71" t="n">
        <v>25591.4</v>
      </c>
      <c r="E71" s="84" t="n">
        <f>'Haver Pivoted'!HE70</f>
        <v>26355.7</v>
      </c>
      <c r="F71" s="84" t="n">
        <f t="shared" si="2"/>
        <v>764.29999999999927</v>
      </c>
      <c r="G71" s="91" t="n">
        <f t="shared" si="3"/>
        <v>2.9865501691974619E-2</v>
      </c>
    </row>
    <row r="72">
      <c r="B72" s="84" t="s">
        <v>164</v>
      </c>
      <c r="C72" s="84" t="str">
        <f>'Haver Pivoted'!A71</f>
        <v>recessq</v>
      </c>
      <c r="D72" t="n">
        <v>-1</v>
      </c>
      <c r="E72" s="84" t="n">
        <f>'Haver Pivoted'!HE71</f>
        <v>-1</v>
      </c>
      <c r="F72" s="84" t="n">
        <f t="shared" si="2"/>
        <v>0</v>
      </c>
      <c r="G72" s="91" t="n">
        <f t="shared" si="3"/>
        <v>0</v>
      </c>
    </row>
    <row r="73">
      <c r="A73" s="84" t="s">
        <v>165</v>
      </c>
      <c r="B73" s="84" t="s">
        <v>166</v>
      </c>
      <c r="C73" s="84" t="str">
        <f>'Haver Pivoted'!A72</f>
        <v>lasgova</v>
      </c>
      <c r="D73" t="n">
        <v>5277</v>
      </c>
      <c r="E73" s="84" t="n">
        <f>'Haver Pivoted'!HE72</f>
        <v>5099.3333333333303</v>
      </c>
      <c r="F73" s="84" t="n">
        <f t="shared" si="2"/>
        <v>-177.6666666666697</v>
      </c>
      <c r="G73" s="91" t="n">
        <f t="shared" si="3"/>
        <v>-3.3668119512349763E-2</v>
      </c>
    </row>
    <row r="74">
      <c r="A74" s="84" t="s">
        <v>165</v>
      </c>
      <c r="B74" s="84" t="s">
        <v>167</v>
      </c>
      <c r="C74" s="84" t="str">
        <f>'Haver Pivoted'!A73</f>
        <v>lalgova</v>
      </c>
      <c r="D74" t="n">
        <v>14270.333333333299</v>
      </c>
      <c r="E74" s="84" t="n">
        <f>'Haver Pivoted'!HE73</f>
        <v>14328.666666666701</v>
      </c>
      <c r="F74" s="84" t="n">
        <f t="shared" si="2"/>
        <v>58.333333333401242</v>
      </c>
      <c r="G74" s="91" t="n">
        <f t="shared" si="3"/>
        <v>4.0877344607741966E-3</v>
      </c>
    </row>
    <row r="75">
      <c r="A75" s="84" t="s">
        <v>165</v>
      </c>
      <c r="B75" s="84" t="s">
        <v>168</v>
      </c>
      <c r="C75" s="84" t="str">
        <f>'Haver Pivoted'!A74</f>
        <v>cpgs</v>
      </c>
      <c r="D75" t="n">
        <v>0</v>
      </c>
      <c r="E75" s="84" t="n">
        <f>'Haver Pivoted'!HE74</f>
        <v>353967.66666666698</v>
      </c>
      <c r="F75" s="84" t="n">
        <f t="shared" si="2"/>
        <v>353967.66666666698</v>
      </c>
      <c r="G75" s="91" t="e">
        <f t="shared" si="3"/>
        <v>#DIV/0!</v>
      </c>
    </row>
    <row r="76">
      <c r="B76" s="84" t="s">
        <v>169</v>
      </c>
      <c r="C76" s="84" t="str">
        <f>'Haver Pivoted'!A75</f>
        <v>jgdp_growth</v>
      </c>
      <c r="D76" t="n">
        <v>8.5596682154103192E-3</v>
      </c>
      <c r="E76" s="84" t="n">
        <f>'Haver Pivoted'!HE75</f>
        <v>9.5575166048207406E-3</v>
      </c>
      <c r="F76" s="79" t="n">
        <f t="shared" si="2"/>
        <v>9.9784838941042141E-4</v>
      </c>
      <c r="G76" s="91" t="n">
        <f t="shared" si="3"/>
        <v>0.11657559198544101</v>
      </c>
    </row>
    <row r="77">
      <c r="B77" s="84" t="s">
        <v>170</v>
      </c>
      <c r="C77" s="84" t="str">
        <f>'Haver Pivoted'!A76</f>
        <v>jc_growth</v>
      </c>
      <c r="D77" t="n">
        <v>7.7973497091143899E-3</v>
      </c>
      <c r="E77" s="84" t="n">
        <f>'Haver Pivoted'!HE76</f>
        <v>9.1144149967679108E-3</v>
      </c>
      <c r="F77" s="79" t="n">
        <f t="shared" si="2"/>
        <v>1.3170652876535209E-3</v>
      </c>
      <c r="G77" s="91" t="n">
        <f t="shared" si="3"/>
        <v>0.16891191709844589</v>
      </c>
    </row>
    <row r="78">
      <c r="B78" s="84" t="s">
        <v>171</v>
      </c>
      <c r="C78" s="84" t="str">
        <f>'Haver Pivoted'!A77</f>
        <v>jgf_growth</v>
      </c>
      <c r="D78" t="n">
        <v>7.0598040577531896E-3</v>
      </c>
      <c r="E78" s="84" t="n">
        <f>'Haver Pivoted'!HE77</f>
        <v>7.6236078540321602E-3</v>
      </c>
      <c r="F78" s="79" t="n">
        <f t="shared" si="2"/>
        <v>5.6380379627897059E-4</v>
      </c>
      <c r="G78" s="91" t="n">
        <f t="shared" si="3"/>
        <v>7.9861111111121028E-2</v>
      </c>
    </row>
    <row r="79">
      <c r="B79" s="84" t="s">
        <v>172</v>
      </c>
      <c r="C79" s="84" t="str">
        <f>'Haver Pivoted'!A78</f>
        <v>jgs_growth</v>
      </c>
      <c r="D79" t="n">
        <v>7.6714474237569198E-3</v>
      </c>
      <c r="E79" s="84" t="n">
        <f>'Haver Pivoted'!HE78</f>
        <v>9.2883971170441004E-3</v>
      </c>
      <c r="F79" s="79" t="n">
        <f>E79/D79-1</f>
        <v>0.21077504725898466</v>
      </c>
      <c r="G79" s="91" t="n">
        <f t="shared" si="3"/>
        <v>27.475264525212935</v>
      </c>
    </row>
    <row r="80">
      <c r="B80" s="84" t="s">
        <v>173</v>
      </c>
      <c r="C80" s="84" t="str">
        <f>'Haver Pivoted'!A79</f>
        <v>jgse_growth</v>
      </c>
      <c r="D80" t="n">
        <v>6.5767432375349903E-3</v>
      </c>
      <c r="E80" s="84" t="n">
        <f>'Haver Pivoted'!HE79</f>
        <v>8.52864488499816E-3</v>
      </c>
      <c r="F80" s="79" t="n">
        <f t="shared" si="2"/>
        <v>1.9519016474631697E-3</v>
      </c>
      <c r="G80" s="91" t="n">
        <f t="shared" si="3"/>
        <v>0.29678848283497172</v>
      </c>
    </row>
    <row r="81">
      <c r="B81" s="84" t="s">
        <v>174</v>
      </c>
      <c r="C81" s="84" t="str">
        <f>'Haver Pivoted'!A80</f>
        <v>jgsi_growth</v>
      </c>
      <c r="D81" t="n">
        <v>1.2914212729723901E-2</v>
      </c>
      <c r="E81" s="84" t="n">
        <f>'Haver Pivoted'!HE80</f>
        <v>1.2914212729723901E-2</v>
      </c>
      <c r="F81" s="79" t="n">
        <f t="shared" si="2"/>
        <v>0</v>
      </c>
      <c r="G81" s="91" t="n">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84" zoomScaleNormal="133" workbookViewId="0">
      <selection activeCell="R96" sqref="R96"/>
    </sheetView>
  </sheetViews>
  <sheetFormatPr defaultRowHeight="15.0" baseColWidth="10"/>
  <cols>
    <col min="2" max="2" width="26.42578125" hidden="0" customWidth="1"/>
    <col min="3" max="3" width="20.140625" hidden="0" customWidth="1"/>
    <col min="4" max="4" width="9.42578125" hidden="0" customWidth="1"/>
    <col min="5" max="5" width="9.42578125" hidden="0" customWidth="1"/>
    <col min="6" max="6" width="9.42578125" hidden="0" customWidth="1"/>
    <col min="7" max="7" width="9.42578125" hidden="0" customWidth="1"/>
    <col min="8" max="8" width="9.42578125" hidden="0" customWidth="1"/>
    <col min="9" max="9" width="9.42578125" hidden="0" customWidth="1"/>
    <col min="10" max="10" width="9.42578125" hidden="0" customWidth="1"/>
  </cols>
  <sheetData>
    <row r="2">
      <c r="B2" s="98" t="s">
        <v>1921</v>
      </c>
      <c r="C2" s="98"/>
      <c r="D2" s="98"/>
      <c r="E2" s="98"/>
      <c r="F2" s="98"/>
      <c r="G2" s="98"/>
      <c r="H2" s="98"/>
      <c r="I2" s="98"/>
      <c r="J2" s="98"/>
      <c r="K2" s="98"/>
      <c r="L2" s="98"/>
      <c r="M2" s="98"/>
    </row>
    <row r="3">
      <c r="B3" t="str">
        <f>forecast!A1</f>
        <v>name</v>
      </c>
      <c r="C3" t="str">
        <f>forecast!B1</f>
        <v>variable</v>
      </c>
      <c r="D3" t="str">
        <f>forecast!C1</f>
        <v>2022 Q4</v>
      </c>
      <c r="E3" t="str">
        <f>forecast!D1</f>
        <v>2023 Q1</v>
      </c>
      <c r="F3" t="str">
        <f>forecast!E1</f>
        <v>2023 Q2</v>
      </c>
      <c r="G3" t="str">
        <f>forecast!F1</f>
        <v>2023 Q3</v>
      </c>
      <c r="H3" t="str">
        <f>forecast!G1</f>
        <v>2023 Q4</v>
      </c>
      <c r="I3" t="str">
        <f>forecast!H1</f>
        <v>2024 Q1</v>
      </c>
      <c r="J3" t="str">
        <f>forecast!I1</f>
        <v>2024 Q2</v>
      </c>
      <c r="K3" t="s">
        <v>175</v>
      </c>
      <c r="L3" t="s">
        <v>176</v>
      </c>
      <c r="M3" t="s">
        <v>177</v>
      </c>
    </row>
    <row r="4">
      <c r="B4" t="str">
        <f>forecast!A2</f>
        <v>Consumption Grants</v>
      </c>
      <c r="C4" t="str">
        <f>forecast!B2</f>
        <v>consumption_grants</v>
      </c>
      <c r="D4" s="100" t="n">
        <f>forecast!C2</f>
        <v>418.716928</v>
      </c>
      <c r="E4" s="100" t="n">
        <f>forecast!D2</f>
        <v>395.55067787919143</v>
      </c>
      <c r="F4" s="100" t="n">
        <f>forecast!E2</f>
        <v>399.37536121583202</v>
      </c>
      <c r="G4" s="100" t="n">
        <f>forecast!F2</f>
        <v>397.7223326820897</v>
      </c>
      <c r="H4" s="100" t="n">
        <f>forecast!G2</f>
        <v>397.59845066666662</v>
      </c>
      <c r="I4" s="100" t="n">
        <f>forecast!H2</f>
        <v>385.69919062635915</v>
      </c>
      <c r="J4" s="100" t="n">
        <f>forecast!I2</f>
        <v>365.34301490446529</v>
      </c>
      <c r="K4" s="100" t="n">
        <f>forecast!J2</f>
        <v>369.30407374937334</v>
      </c>
      <c r="L4" s="100" t="n">
        <f>forecast!K2</f>
        <v>373.5511150333333</v>
      </c>
      <c r="M4" s="100" t="n">
        <f>forecast!L2</f>
        <v>356.21123877141349</v>
      </c>
    </row>
    <row r="5">
      <c r="B5" t="str">
        <f>forecast!A3</f>
        <v>Investment Grants</v>
      </c>
      <c r="C5" t="str">
        <f>forecast!B3</f>
        <v>investment_grants</v>
      </c>
      <c r="D5" s="100" t="n">
        <f>forecast!C3</f>
        <v>76.15900000000002</v>
      </c>
      <c r="E5" s="100" t="n">
        <f>forecast!D3</f>
        <v>76.15900000000002</v>
      </c>
      <c r="F5" s="100" t="n">
        <f>forecast!E3</f>
        <v>76.15900000000002</v>
      </c>
      <c r="G5" s="100" t="n">
        <f>forecast!F3</f>
        <v>76.15900000000002</v>
      </c>
      <c r="H5" s="100" t="n">
        <f>forecast!G3</f>
        <v>77.818000000000012</v>
      </c>
      <c r="I5" s="100" t="n">
        <f>forecast!H3</f>
        <v>77.818000000000012</v>
      </c>
      <c r="J5" s="100" t="n">
        <f>forecast!I3</f>
        <v>77.818000000000012</v>
      </c>
      <c r="K5" s="100" t="n">
        <f>forecast!J3</f>
        <v>77.818000000000012</v>
      </c>
      <c r="L5" s="100" t="n">
        <f>forecast!K3</f>
        <v>79.41200000000002</v>
      </c>
      <c r="M5" s="100" t="n">
        <f>forecast!L3</f>
        <v>79.41200000000002</v>
      </c>
    </row>
    <row r="6">
      <c r="B6" t="str">
        <f>forecast!A4</f>
        <v>Federal Purchases (NIPA Consistent)</v>
      </c>
      <c r="C6" t="str">
        <f>forecast!B4</f>
        <v>federal_purchases</v>
      </c>
      <c r="D6" s="100" t="n">
        <f>forecast!C4</f>
        <v>1693.8</v>
      </c>
      <c r="E6" s="100" t="n">
        <f>forecast!D4</f>
        <v>1711.4924720854842</v>
      </c>
      <c r="F6" s="100" t="n">
        <f>forecast!E4</f>
        <v>1727.5580501860964</v>
      </c>
      <c r="G6" s="100" t="n">
        <f>forecast!F4</f>
        <v>1750.0295233521426</v>
      </c>
      <c r="H6" s="100" t="n">
        <f>forecast!G4</f>
        <v>1769.9589746668264</v>
      </c>
      <c r="I6" s="100" t="n">
        <f>forecast!H4</f>
        <v>1787.7531276263653</v>
      </c>
      <c r="J6" s="100" t="n">
        <f>forecast!I4</f>
        <v>1804.0220674750865</v>
      </c>
      <c r="K6" s="100" t="n">
        <f>forecast!J4</f>
        <v>1820.4943690719167</v>
      </c>
      <c r="L6" s="100" t="n">
        <f>forecast!K4</f>
        <v>1835.8481810541475</v>
      </c>
      <c r="M6" s="100" t="n">
        <f>forecast!L4</f>
        <v>1849.5750990515062</v>
      </c>
    </row>
    <row r="7">
      <c r="B7" t="str">
        <f>forecast!A5</f>
        <v>State Purchases (NIPA Consistent)</v>
      </c>
      <c r="C7" t="str">
        <f>forecast!B5</f>
        <v>state_purchases</v>
      </c>
      <c r="D7" s="100" t="n">
        <f>forecast!C5</f>
        <v>2878.7</v>
      </c>
      <c r="E7" s="100" t="n">
        <f>forecast!D5</f>
        <v>2907.7767650029605</v>
      </c>
      <c r="F7" s="100" t="n">
        <f>forecast!E5</f>
        <v>2940.4630594545642</v>
      </c>
      <c r="G7" s="100" t="n">
        <f>forecast!F5</f>
        <v>2978.4633833722264</v>
      </c>
      <c r="H7" s="100" t="n">
        <f>forecast!G5</f>
        <v>3010.8488837031105</v>
      </c>
      <c r="I7" s="100" t="n">
        <f>forecast!H5</f>
        <v>3042.4322663787398</v>
      </c>
      <c r="J7" s="100" t="n">
        <f>forecast!I5</f>
        <v>3070.6066490195394</v>
      </c>
      <c r="K7" s="100" t="n">
        <f>forecast!J5</f>
        <v>3098.279708125805</v>
      </c>
      <c r="L7" s="100" t="n">
        <f>forecast!K5</f>
        <v>3125.8525025251643</v>
      </c>
      <c r="M7" s="100" t="n">
        <f>forecast!L5</f>
        <v>3146.1</v>
      </c>
    </row>
    <row r="8">
      <c r="B8" t="str">
        <f>forecast!A6</f>
        <v>Non-ARP Subsidies + ARP Provider Relief and PPP</v>
      </c>
      <c r="C8" t="str">
        <f>forecast!B6</f>
        <v>federal_subsidies</v>
      </c>
      <c r="D8" s="100" t="n">
        <f>forecast!C6</f>
        <v>98.073999999999998</v>
      </c>
      <c r="E8" s="100" t="n">
        <f>forecast!D6</f>
        <v>83.295999999999992</v>
      </c>
      <c r="F8" s="100" t="n">
        <f>forecast!E6</f>
        <v>75.782000000000011</v>
      </c>
      <c r="G8" s="100" t="n">
        <f>forecast!F6</f>
        <v>75.782000000000011</v>
      </c>
      <c r="H8" s="100" t="n">
        <f>forecast!G6</f>
        <v>84.266000000000005</v>
      </c>
      <c r="I8" s="100" t="n">
        <f>forecast!H6</f>
        <v>84.266000000000005</v>
      </c>
      <c r="J8" s="100" t="n">
        <f>forecast!I6</f>
        <v>84.266000000000005</v>
      </c>
      <c r="K8" s="100" t="n">
        <f>forecast!J6</f>
        <v>84.266000000000005</v>
      </c>
      <c r="L8" s="100" t="n">
        <f>forecast!K6</f>
        <v>91.364999999999995</v>
      </c>
      <c r="M8" s="100" t="n">
        <f>forecast!L6</f>
        <v>91.364999999999995</v>
      </c>
    </row>
    <row r="9">
      <c r="B9" t="str">
        <f>forecast!A7</f>
        <v>ARP Subsidies less Provider Relief and PPP</v>
      </c>
      <c r="C9" t="str">
        <f>forecast!B7</f>
        <v>federal_aid_to_small_businesses_arp</v>
      </c>
      <c r="D9" s="100" t="n">
        <f>forecast!C7</f>
        <v>12.726000000000001</v>
      </c>
      <c r="E9" s="100" t="n">
        <f>forecast!D7</f>
        <v>12.726000000000001</v>
      </c>
      <c r="F9" s="100" t="n">
        <f>forecast!E7</f>
        <v>12.726000000000001</v>
      </c>
      <c r="G9" s="100" t="n">
        <f>forecast!F7</f>
        <v>12.726000000000001</v>
      </c>
      <c r="H9" s="100" t="n">
        <f>forecast!G7</f>
        <v>1.365</v>
      </c>
      <c r="I9" s="100" t="n">
        <f>forecast!H7</f>
        <v>1.365</v>
      </c>
      <c r="J9" s="100" t="n">
        <f>forecast!I7</f>
        <v>1.365</v>
      </c>
      <c r="K9" s="100" t="n">
        <f>forecast!J7</f>
        <v>1.365</v>
      </c>
      <c r="L9" s="100" t="n">
        <f>forecast!K7</f>
        <v>-0.90100000000000025</v>
      </c>
      <c r="M9" s="100" t="n">
        <f>forecast!L7</f>
        <v>-0.90100000000000025</v>
      </c>
    </row>
    <row r="10">
      <c r="B10" t="str">
        <f>forecast!A8</f>
        <v>Federal UI</v>
      </c>
      <c r="C10" t="str">
        <f>forecast!B8</f>
        <v>federal_ui</v>
      </c>
      <c r="D10" s="100" t="n">
        <f>forecast!C8</f>
        <v>0.30000000000000071</v>
      </c>
      <c r="E10" s="100" t="n">
        <f>forecast!D8</f>
        <v>0.34158333333333246</v>
      </c>
      <c r="F10" s="100" t="n">
        <f>forecast!E8</f>
        <v>0.38325000000000031</v>
      </c>
      <c r="G10" s="100" t="n">
        <f>forecast!F8</f>
        <v>0.40824999999999889</v>
      </c>
      <c r="H10" s="100" t="n">
        <f>forecast!G8</f>
        <v>0.42616666666666703</v>
      </c>
      <c r="I10" s="100" t="n">
        <f>forecast!H8</f>
        <v>0.42491666666666816</v>
      </c>
      <c r="J10" s="100" t="n">
        <f>forecast!I8</f>
        <v>0.41191666666666649</v>
      </c>
      <c r="K10" s="100" t="n">
        <f>forecast!J8</f>
        <v>0.40491666666666504</v>
      </c>
      <c r="L10" s="100" t="n">
        <f>forecast!K8</f>
        <v>0.39991666666666603</v>
      </c>
      <c r="M10" s="100" t="n">
        <f>forecast!L8</f>
        <v>0.39799999999999969</v>
      </c>
    </row>
    <row r="11">
      <c r="B11" t="str">
        <f>forecast!A9</f>
        <v>State UI</v>
      </c>
      <c r="C11" t="str">
        <f>forecast!B9</f>
        <v>state_ui</v>
      </c>
      <c r="D11" s="100" t="n">
        <f>forecast!C9</f>
        <v>20.099999999999998</v>
      </c>
      <c r="E11" s="100" t="n">
        <f>forecast!D9</f>
        <v>22.886083333333332</v>
      </c>
      <c r="F11" s="100" t="n">
        <f>forecast!E9</f>
        <v>25.677749999999996</v>
      </c>
      <c r="G11" s="100" t="n">
        <f>forecast!F9</f>
        <v>27.352749999999993</v>
      </c>
      <c r="H11" s="100" t="n">
        <f>forecast!G9</f>
        <v>28.553166666666659</v>
      </c>
      <c r="I11" s="100" t="n">
        <f>forecast!H9</f>
        <v>28.46941666666666</v>
      </c>
      <c r="J11" s="100" t="n">
        <f>forecast!I9</f>
        <v>27.598416666666658</v>
      </c>
      <c r="K11" s="100" t="n">
        <f>forecast!J9</f>
        <v>27.129416666666657</v>
      </c>
      <c r="L11" s="100" t="n">
        <f>forecast!K9</f>
        <v>26.794416666666656</v>
      </c>
      <c r="M11" s="100" t="n">
        <f>forecast!L9</f>
        <v>26.665999999999986</v>
      </c>
    </row>
    <row r="12">
      <c r="B12" t="str">
        <f>forecast!A10</f>
        <v>Federal Medicaid</v>
      </c>
      <c r="C12" t="str">
        <f>forecast!B10</f>
        <v>medicaid_grants</v>
      </c>
      <c r="D12" s="100" t="n">
        <f>forecast!C10</f>
        <v>604.87400000000002</v>
      </c>
      <c r="E12" s="100" t="n">
        <f>forecast!D10</f>
        <v>607.40230668028107</v>
      </c>
      <c r="F12" s="100" t="n">
        <f>forecast!E10</f>
        <v>589.55996124169314</v>
      </c>
      <c r="G12" s="100" t="n">
        <f>forecast!F10</f>
        <v>572.32620043872669</v>
      </c>
      <c r="H12" s="100" t="n">
        <f>forecast!G10</f>
        <v>565.35156818531721</v>
      </c>
      <c r="I12" s="100" t="n">
        <f>forecast!H10</f>
        <v>558.88844569073513</v>
      </c>
      <c r="J12" s="100" t="n">
        <f>forecast!I10</f>
        <v>552.4992098796447</v>
      </c>
      <c r="K12" s="100" t="n">
        <f>forecast!J10</f>
        <v>546.18301607642627</v>
      </c>
      <c r="L12" s="100" t="n">
        <f>forecast!K10</f>
        <v>536.24818151910517</v>
      </c>
      <c r="M12" s="100" t="n">
        <f>forecast!L10</f>
        <v>530.11777014379129</v>
      </c>
    </row>
    <row r="13">
      <c r="B13" t="str">
        <f>forecast!A11</f>
        <v>Total Medicaid</v>
      </c>
      <c r="C13" t="str">
        <f>forecast!B11</f>
        <v>medicaid</v>
      </c>
      <c r="D13" s="100" t="n">
        <f>forecast!C11</f>
        <v>793.3</v>
      </c>
      <c r="E13" s="100" t="n">
        <f>forecast!D11</f>
        <v>796.61590660115485</v>
      </c>
      <c r="F13" s="100" t="n">
        <f>forecast!E11</f>
        <v>799.94567332658505</v>
      </c>
      <c r="G13" s="100" t="n">
        <f>forecast!F11</f>
        <v>803.28935811008296</v>
      </c>
      <c r="H13" s="100" t="n">
        <f>forecast!G11</f>
        <v>794.10612096664613</v>
      </c>
      <c r="I13" s="100" t="n">
        <f>forecast!H11</f>
        <v>785.02786696979422</v>
      </c>
      <c r="J13" s="100" t="n">
        <f>forecast!I11</f>
        <v>776.05339594785642</v>
      </c>
      <c r="K13" s="100" t="n">
        <f>forecast!J11</f>
        <v>767.18152144957389</v>
      </c>
      <c r="L13" s="100" t="n">
        <f>forecast!K11</f>
        <v>758.41107058724765</v>
      </c>
      <c r="M13" s="100" t="n">
        <f>forecast!L11</f>
        <v>749.74088388167945</v>
      </c>
    </row>
    <row r="14">
      <c r="B14" t="str">
        <f>forecast!A12</f>
        <v>Medicare</v>
      </c>
      <c r="C14" t="str">
        <f>forecast!B12</f>
        <v>medicare</v>
      </c>
      <c r="D14" s="100" t="n">
        <f>forecast!C12</f>
        <v>941.6</v>
      </c>
      <c r="E14" s="100" t="n">
        <f>forecast!D12</f>
        <v>958.68725729225423</v>
      </c>
      <c r="F14" s="100" t="n">
        <f>forecast!E12</f>
        <v>976.08459780644091</v>
      </c>
      <c r="G14" s="100" t="n">
        <f>forecast!F12</f>
        <v>993.79764863665025</v>
      </c>
      <c r="H14" s="100" t="n">
        <f>forecast!G12</f>
        <v>1017.7617761487271</v>
      </c>
      <c r="I14" s="100" t="n">
        <f>forecast!H12</f>
        <v>1042.3037671808102</v>
      </c>
      <c r="J14" s="100" t="n">
        <f>forecast!I12</f>
        <v>1067.437556154154</v>
      </c>
      <c r="K14" s="100" t="n">
        <f>forecast!J12</f>
        <v>1093.1774135003152</v>
      </c>
      <c r="L14" s="100" t="n">
        <f>forecast!K12</f>
        <v>1119.5379537635997</v>
      </c>
      <c r="M14" s="100" t="n">
        <f>forecast!L12</f>
        <v>1146.534143898891</v>
      </c>
    </row>
    <row r="15">
      <c r="B15" t="str">
        <f>forecast!A13</f>
        <v>Non-ARP Rebate Checks</v>
      </c>
      <c r="C15" t="str">
        <f>forecast!B13</f>
        <v>rebate_checks</v>
      </c>
      <c r="D15" s="100" t="n">
        <f>forecast!C13</f>
        <v>0</v>
      </c>
      <c r="E15" s="100" t="n">
        <f>forecast!D13</f>
        <v>0</v>
      </c>
      <c r="F15" s="100" t="n">
        <f>forecast!E13</f>
        <v>0</v>
      </c>
      <c r="G15" s="100" t="n">
        <f>forecast!F13</f>
        <v>0</v>
      </c>
      <c r="H15" s="100" t="n">
        <f>forecast!G13</f>
        <v>0</v>
      </c>
      <c r="I15" s="100" t="n">
        <f>forecast!H13</f>
        <v>0</v>
      </c>
      <c r="J15" s="100" t="n">
        <f>forecast!I13</f>
        <v>0</v>
      </c>
      <c r="K15" s="100" t="n">
        <f>forecast!J13</f>
        <v>0</v>
      </c>
      <c r="L15" s="100" t="n">
        <f>forecast!K13</f>
        <v>0</v>
      </c>
      <c r="M15" s="100" t="n">
        <f>forecast!L13</f>
        <v>0</v>
      </c>
    </row>
    <row r="16">
      <c r="B16" t="str">
        <f>forecast!A14</f>
        <v>ARP Rebate Checks</v>
      </c>
      <c r="C16" t="str">
        <f>forecast!B14</f>
        <v>rebate_checks_arp</v>
      </c>
      <c r="D16" s="100" t="n">
        <f>forecast!C14</f>
        <v>0</v>
      </c>
      <c r="E16" s="100" t="n">
        <f>forecast!D14</f>
        <v>0</v>
      </c>
      <c r="F16" s="100" t="n">
        <f>forecast!E14</f>
        <v>0</v>
      </c>
      <c r="G16" s="100" t="n">
        <f>forecast!F14</f>
        <v>0</v>
      </c>
      <c r="H16" s="100" t="n">
        <f>forecast!G14</f>
        <v>0</v>
      </c>
      <c r="I16" s="100" t="n">
        <f>forecast!H14</f>
        <v>0</v>
      </c>
      <c r="J16" s="100" t="n">
        <f>forecast!I14</f>
        <v>0</v>
      </c>
      <c r="K16" s="100" t="n">
        <f>forecast!J14</f>
        <v>0</v>
      </c>
      <c r="L16" s="100" t="n">
        <f>forecast!K14</f>
        <v>0</v>
      </c>
      <c r="M16" s="100" t="n">
        <f>forecast!L14</f>
        <v>0</v>
      </c>
    </row>
    <row r="17">
      <c r="B17" t="str">
        <f>forecast!A15</f>
        <v>ARP Other Vulnerable</v>
      </c>
      <c r="C17" t="str">
        <f>forecast!B15</f>
        <v>federal_other_vulnerable_arp</v>
      </c>
      <c r="D17" s="100" t="n">
        <f>forecast!C15</f>
        <v>30</v>
      </c>
      <c r="E17" s="100" t="n">
        <f>forecast!D15</f>
        <v>12</v>
      </c>
      <c r="F17" s="100" t="n">
        <f>forecast!E15</f>
        <v>12</v>
      </c>
      <c r="G17" s="100" t="n">
        <f>forecast!F15</f>
        <v>12</v>
      </c>
      <c r="H17" s="100" t="n">
        <f>forecast!G15</f>
        <v>4.2219999999999995</v>
      </c>
      <c r="I17" s="100" t="n">
        <f>forecast!H15</f>
        <v>4.2219999999999995</v>
      </c>
      <c r="J17" s="100" t="n">
        <f>forecast!I15</f>
        <v>4.2219999999999995</v>
      </c>
      <c r="K17" s="100" t="n">
        <f>forecast!J15</f>
        <v>4.2219999999999995</v>
      </c>
      <c r="L17" s="100" t="n">
        <f>forecast!K15</f>
        <v>2.3719999999999999</v>
      </c>
      <c r="M17" s="100" t="n">
        <f>forecast!L15</f>
        <v>2.3719999999999999</v>
      </c>
    </row>
    <row r="18">
      <c r="B18" t="str">
        <f>forecast!A16</f>
        <v>ARP Other Direct Aid plus Provider Relief </v>
      </c>
      <c r="C18" t="str">
        <f>forecast!B16</f>
        <v>federal_other_direct_aid_arp</v>
      </c>
      <c r="D18" s="100" t="n">
        <f>forecast!C16</f>
        <v>6.3160000000000007</v>
      </c>
      <c r="E18" s="100" t="n">
        <f>forecast!D16</f>
        <v>1.4159999999999999</v>
      </c>
      <c r="F18" s="100" t="n">
        <f>forecast!E16</f>
        <v>1.4159999999999999</v>
      </c>
      <c r="G18" s="100" t="n">
        <f>forecast!F16</f>
        <v>1.4159999999999999</v>
      </c>
      <c r="H18" s="100" t="n">
        <f>forecast!G16</f>
        <v>1.4790000000000001</v>
      </c>
      <c r="I18" s="100" t="n">
        <f>forecast!H16</f>
        <v>1.4790000000000001</v>
      </c>
      <c r="J18" s="100" t="n">
        <f>forecast!I16</f>
        <v>1.4790000000000001</v>
      </c>
      <c r="K18" s="100" t="n">
        <f>forecast!J16</f>
        <v>1.4790000000000001</v>
      </c>
      <c r="L18" s="100" t="n">
        <f>forecast!K16</f>
        <v>1.63</v>
      </c>
      <c r="M18" s="100" t="n">
        <f>forecast!L16</f>
        <v>1.63</v>
      </c>
    </row>
    <row r="19">
      <c r="B19" t="str">
        <f>forecast!A17</f>
        <v>Other Federal Social Benefits (including all SNAP)</v>
      </c>
      <c r="C19" t="str">
        <f>forecast!B17</f>
        <v>federal_social_benefits</v>
      </c>
      <c r="D19" s="100" t="n">
        <f>forecast!C17</f>
        <v>1906.4740000000004</v>
      </c>
      <c r="E19" s="100" t="n">
        <f>forecast!D17</f>
        <v>1956.9577930000003</v>
      </c>
      <c r="F19" s="100" t="n">
        <f>forecast!E17</f>
        <v>1963.9577930000003</v>
      </c>
      <c r="G19" s="100" t="n">
        <f>forecast!F17</f>
        <v>1970.9577930000003</v>
      </c>
      <c r="H19" s="100" t="n">
        <f>forecast!G17</f>
        <v>1971.5067930000002</v>
      </c>
      <c r="I19" s="100" t="n">
        <f>forecast!H17</f>
        <v>2016.4872130000003</v>
      </c>
      <c r="J19" s="100" t="n">
        <f>forecast!I17</f>
        <v>2023.4872130000003</v>
      </c>
      <c r="K19" s="100" t="n">
        <f>forecast!J17</f>
        <v>2030.4872130000003</v>
      </c>
      <c r="L19" s="100" t="n">
        <f>forecast!K17</f>
        <v>2039.0152130000004</v>
      </c>
      <c r="M19" s="100" t="n">
        <f>forecast!L17</f>
        <v>2071.9754930000004</v>
      </c>
    </row>
    <row r="20">
      <c r="B20" t="str">
        <f>forecast!A18</f>
        <v>State Social Benefits ex Medicaid</v>
      </c>
      <c r="C20" t="str">
        <f>forecast!B18</f>
        <v>state_social_benefits</v>
      </c>
      <c r="D20" s="100" t="n">
        <f>forecast!C18</f>
        <v>249.70000000000005</v>
      </c>
      <c r="E20" s="100" t="n">
        <f>forecast!D18</f>
        <v>183.57212584485049</v>
      </c>
      <c r="F20" s="100" t="n">
        <f>forecast!E18</f>
        <v>186.41879934456207</v>
      </c>
      <c r="G20" s="100" t="n">
        <f>forecast!F18</f>
        <v>189.30961652881547</v>
      </c>
      <c r="H20" s="100" t="n">
        <f>forecast!G18</f>
        <v>192.24526193866711</v>
      </c>
      <c r="I20" s="100" t="n">
        <f>forecast!H18</f>
        <v>195.22643073042826</v>
      </c>
      <c r="J20" s="100" t="n">
        <f>forecast!I18</f>
        <v>198.25382884027687</v>
      </c>
      <c r="K20" s="100" t="n">
        <f>forecast!J18</f>
        <v>201.32817315142222</v>
      </c>
      <c r="L20" s="100" t="n">
        <f>forecast!K18</f>
        <v>204.45019166386174</v>
      </c>
      <c r="M20" s="100" t="n">
        <f>forecast!L18</f>
        <v>207.62062366677031</v>
      </c>
    </row>
    <row r="21">
      <c r="B21" t="str">
        <f>forecast!A19</f>
        <v>Federal Non-Corporate Taxes</v>
      </c>
      <c r="C21" t="str">
        <f>forecast!B19</f>
        <v>federal_non_corporate_taxes</v>
      </c>
      <c r="D21" s="100" t="n">
        <f>forecast!C19</f>
        <v>4546</v>
      </c>
      <c r="E21" s="100" t="n">
        <f>forecast!D19</f>
        <v>4484.8338396206082</v>
      </c>
      <c r="F21" s="100" t="n">
        <f>forecast!E19</f>
        <v>4475.1256243972575</v>
      </c>
      <c r="G21" s="100" t="n">
        <f>forecast!F19</f>
        <v>4465.8739335289974</v>
      </c>
      <c r="H21" s="100" t="n">
        <f>forecast!G19</f>
        <v>4478.3368458791647</v>
      </c>
      <c r="I21" s="100" t="n">
        <f>forecast!H19</f>
        <v>4486.1153485047389</v>
      </c>
      <c r="J21" s="100" t="n">
        <f>forecast!I19</f>
        <v>4494.2116295943742</v>
      </c>
      <c r="K21" s="100" t="n">
        <f>forecast!J19</f>
        <v>4502.6279087443791</v>
      </c>
      <c r="L21" s="100" t="n">
        <f>forecast!K19</f>
        <v>4532.842930779605</v>
      </c>
      <c r="M21" s="100" t="n">
        <f>forecast!L19</f>
        <v>4563.3094931572341</v>
      </c>
    </row>
    <row r="22">
      <c r="B22" t="str">
        <f>forecast!A20</f>
        <v>State Non-Corporate Taxes</v>
      </c>
      <c r="C22" t="str">
        <f>forecast!B20</f>
        <v>state_non_corporate_taxes</v>
      </c>
      <c r="D22" s="100" t="n">
        <f>forecast!C20</f>
        <v>2199.6</v>
      </c>
      <c r="E22" s="100" t="n">
        <f>forecast!D20</f>
        <v>2226.1294937253679</v>
      </c>
      <c r="F22" s="100" t="n">
        <f>forecast!E20</f>
        <v>2250.9709737525445</v>
      </c>
      <c r="G22" s="100" t="n">
        <f>forecast!F20</f>
        <v>2276.4323222605917</v>
      </c>
      <c r="H22" s="100" t="n">
        <f>forecast!G20</f>
        <v>2302.0361619190921</v>
      </c>
      <c r="I22" s="100" t="n">
        <f>forecast!H20</f>
        <v>2325.7222045243498</v>
      </c>
      <c r="J22" s="100" t="n">
        <f>forecast!I20</f>
        <v>2348.6593465954388</v>
      </c>
      <c r="K22" s="100" t="n">
        <f>forecast!J20</f>
        <v>2371.5043954523735</v>
      </c>
      <c r="L22" s="100" t="n">
        <f>forecast!K20</f>
        <v>2395.3037749815721</v>
      </c>
      <c r="M22" s="100" t="n">
        <f>forecast!L20</f>
        <v>2419.8446359260029</v>
      </c>
    </row>
    <row r="23">
      <c r="B23" t="str">
        <f>forecast!A21</f>
        <v>Federal Corporate Taxes</v>
      </c>
      <c r="C23" t="str">
        <f>forecast!B21</f>
        <v>federal_corporate_taxes</v>
      </c>
      <c r="D23" s="100" t="n">
        <f>forecast!C21</f>
        <v>350.30119606059549</v>
      </c>
      <c r="E23" s="100" t="n">
        <f>forecast!D21</f>
        <v>360.27870804898345</v>
      </c>
      <c r="F23" s="100" t="n">
        <f>forecast!E21</f>
        <v>370.54040617946271</v>
      </c>
      <c r="G23" s="100" t="n">
        <f>forecast!F21</f>
        <v>381.09438483101775</v>
      </c>
      <c r="H23" s="100" t="n">
        <f>forecast!G21</f>
        <v>381.72153892635089</v>
      </c>
      <c r="I23" s="100" t="n">
        <f>forecast!H21</f>
        <v>382.34972510789402</v>
      </c>
      <c r="J23" s="100" t="n">
        <f>forecast!I21</f>
        <v>382.97894507411644</v>
      </c>
      <c r="K23" s="100" t="n">
        <f>forecast!J21</f>
        <v>383.60920052628245</v>
      </c>
      <c r="L23" s="100" t="n">
        <f>forecast!K21</f>
        <v>385.61244152866738</v>
      </c>
      <c r="M23" s="100" t="n">
        <f>forecast!L21</f>
        <v>400.52681927840081</v>
      </c>
    </row>
    <row r="24">
      <c r="B24" t="str">
        <f>forecast!A22</f>
        <v>State Corporate Taxes</v>
      </c>
      <c r="C24" s="63" t="str">
        <f>forecast!B22</f>
        <v>state_corporate_taxes</v>
      </c>
      <c r="D24" s="100" t="n">
        <f>forecast!C22</f>
        <v>95.360546952748706</v>
      </c>
      <c r="E24" s="100" t="n">
        <f>forecast!D22</f>
        <v>88.958815333784486</v>
      </c>
      <c r="F24" s="100" t="n">
        <f>forecast!E22</f>
        <v>83.91599856693604</v>
      </c>
      <c r="G24" s="100" t="n">
        <f>forecast!F22</f>
        <v>81.073902312806027</v>
      </c>
      <c r="H24" s="100" t="n">
        <f>forecast!G22</f>
        <v>78.997448349986072</v>
      </c>
      <c r="I24" s="100" t="n">
        <f>forecast!H22</f>
        <v>79.891365789578444</v>
      </c>
      <c r="J24" s="100" t="n">
        <f>forecast!I22</f>
        <v>81.322435412602999</v>
      </c>
      <c r="K24" s="100" t="n">
        <f>forecast!J22</f>
        <v>83.346777596433256</v>
      </c>
      <c r="L24" s="100" t="n">
        <f>forecast!K22</f>
        <v>86.228959834401508</v>
      </c>
      <c r="M24" s="100" t="n">
        <f>forecast!L22</f>
        <v>89.010927112774183</v>
      </c>
    </row>
    <row r="25">
      <c r="B25" s="63" t="str">
        <f>forecast!A23</f>
        <v>Federal Student Loans</v>
      </c>
      <c r="C25" s="63" t="str">
        <f>forecast!B23</f>
        <v>federal_student_loans</v>
      </c>
      <c r="D25" s="100" t="n">
        <f>forecast!C23</f>
        <v>0</v>
      </c>
      <c r="E25" s="100" t="n">
        <f>forecast!D23</f>
        <v>0</v>
      </c>
      <c r="F25" s="100" t="n">
        <f>forecast!E23</f>
        <v>0</v>
      </c>
      <c r="G25" s="100" t="n">
        <f>forecast!F23</f>
        <v>20.815079999999998</v>
      </c>
      <c r="H25" s="100" t="n">
        <f>forecast!G23</f>
        <v>21.006180000000001</v>
      </c>
      <c r="I25" s="100" t="n">
        <f>forecast!H23</f>
        <v>25.815300000000001</v>
      </c>
      <c r="J25" s="100" t="n">
        <f>forecast!I23</f>
        <v>26.04045</v>
      </c>
      <c r="K25" s="100" t="n">
        <f>forecast!J23</f>
        <v>26.26465</v>
      </c>
      <c r="L25" s="100" t="n">
        <f>forecast!K23</f>
        <v>26.498349999999999</v>
      </c>
      <c r="M25" s="100" t="n">
        <f>forecast!L23</f>
        <v>26.454419999999999</v>
      </c>
    </row>
    <row r="27">
      <c r="B27" s="98" t="s">
        <v>1920</v>
      </c>
      <c r="C27" s="98"/>
      <c r="D27" s="98"/>
      <c r="E27" s="98"/>
      <c r="F27" s="98"/>
      <c r="G27" s="98"/>
      <c r="H27" s="98"/>
      <c r="I27" s="98"/>
      <c r="J27" s="98"/>
      <c r="K27" s="98"/>
      <c r="L27" s="98"/>
      <c r="M27" s="98"/>
    </row>
    <row r="28">
      <c r="B28" t="s">
        <v>178</v>
      </c>
      <c r="C28" t="s">
        <v>179</v>
      </c>
      <c r="D28" t="s">
        <v>185</v>
      </c>
      <c r="E28" t="s">
        <v>186</v>
      </c>
      <c r="F28" t="s">
        <v>187</v>
      </c>
      <c r="G28" t="s">
        <v>188</v>
      </c>
      <c r="H28" t="s">
        <v>189</v>
      </c>
      <c r="I28" t="s">
        <v>190</v>
      </c>
      <c r="J28" t="s">
        <v>191</v>
      </c>
      <c r="K28" t="s">
        <v>175</v>
      </c>
      <c r="L28" t="s">
        <v>176</v>
      </c>
      <c r="M28" t="s">
        <v>177</v>
      </c>
    </row>
    <row r="29">
      <c r="B29" t="s">
        <v>192</v>
      </c>
      <c r="C29" t="s">
        <v>193</v>
      </c>
      <c r="D29" s="100" t="n">
        <v>419.69592800000004</v>
      </c>
      <c r="E29" s="100" t="n">
        <v>396.53932436420291</v>
      </c>
      <c r="F29" s="100" t="n">
        <v>400.37374923659348</v>
      </c>
      <c r="G29" s="100" t="n">
        <v>398.73055822591346</v>
      </c>
      <c r="H29" s="100" t="n">
        <v>398.6166106666667</v>
      </c>
      <c r="I29" s="100" t="n">
        <v>386.72738297077103</v>
      </c>
      <c r="J29" s="100" t="n">
        <v>366.38133844605721</v>
      </c>
      <c r="K29" s="100" t="n">
        <v>370.35262831494998</v>
      </c>
      <c r="L29" s="100" t="n">
        <v>374.61000143333331</v>
      </c>
      <c r="M29" s="100" t="n">
        <v>357.28055880960187</v>
      </c>
    </row>
    <row r="30">
      <c r="B30" t="s">
        <v>134</v>
      </c>
      <c r="C30" t="s">
        <v>194</v>
      </c>
      <c r="D30" s="100" t="n">
        <v>76.15900000000002</v>
      </c>
      <c r="E30" s="100" t="n">
        <v>76.15900000000002</v>
      </c>
      <c r="F30" s="100" t="n">
        <v>76.15900000000002</v>
      </c>
      <c r="G30" s="100" t="n">
        <v>76.15900000000002</v>
      </c>
      <c r="H30" s="100" t="n">
        <v>77.818000000000012</v>
      </c>
      <c r="I30" s="100" t="n">
        <v>77.818000000000012</v>
      </c>
      <c r="J30" s="100" t="n">
        <v>77.818000000000012</v>
      </c>
      <c r="K30" s="100" t="n">
        <v>77.818000000000012</v>
      </c>
      <c r="L30" s="100" t="n">
        <v>79.41200000000002</v>
      </c>
      <c r="M30" s="100" t="n">
        <v>79.41200000000002</v>
      </c>
    </row>
    <row r="31">
      <c r="B31" t="s">
        <v>195</v>
      </c>
      <c r="C31" t="s">
        <v>196</v>
      </c>
      <c r="D31" s="100" t="n">
        <v>1693.9</v>
      </c>
      <c r="E31" s="100" t="n">
        <v>1711.593516628647</v>
      </c>
      <c r="F31" s="100" t="n">
        <v>1727.6600432224757</v>
      </c>
      <c r="G31" s="100" t="n">
        <v>1750.1328430784008</v>
      </c>
      <c r="H31" s="100" t="n">
        <v>1770.0634710049226</v>
      </c>
      <c r="I31" s="100" t="n">
        <v>1787.8586745107455</v>
      </c>
      <c r="J31" s="100" t="n">
        <v>1804.1285748589264</v>
      </c>
      <c r="K31" s="100" t="n">
        <v>1820.6018489614596</v>
      </c>
      <c r="L31" s="100" t="n">
        <v>1835.9565674150556</v>
      </c>
      <c r="M31" s="100" t="n">
        <v>1849.6842958338334</v>
      </c>
    </row>
    <row r="32">
      <c r="B32" t="s">
        <v>197</v>
      </c>
      <c r="C32" t="s">
        <v>198</v>
      </c>
      <c r="D32" s="100" t="n">
        <v>2874.1</v>
      </c>
      <c r="E32" s="100" t="n">
        <v>2903.130301974853</v>
      </c>
      <c r="F32" s="100" t="n">
        <v>2935.7643655741699</v>
      </c>
      <c r="G32" s="100" t="n">
        <v>2973.7039671206157</v>
      </c>
      <c r="H32" s="100" t="n">
        <v>3006.0377172512281</v>
      </c>
      <c r="I32" s="100" t="n">
        <v>3037.5706314652921</v>
      </c>
      <c r="J32" s="100" t="n">
        <v>3065.6999930340289</v>
      </c>
      <c r="K32" s="100" t="n">
        <v>3093.328832154923</v>
      </c>
      <c r="L32" s="100" t="n">
        <v>3120.8575667862492</v>
      </c>
      <c r="M32" s="100" t="n">
        <v>3146.1</v>
      </c>
    </row>
    <row r="33">
      <c r="B33" t="s">
        <v>199</v>
      </c>
      <c r="C33" t="s">
        <v>200</v>
      </c>
      <c r="D33" s="100" t="n">
        <v>94.873999999999995</v>
      </c>
      <c r="E33" s="100" t="n">
        <v>83.295999999999992</v>
      </c>
      <c r="F33" s="100" t="n">
        <v>75.782000000000011</v>
      </c>
      <c r="G33" s="100" t="n">
        <v>75.782000000000011</v>
      </c>
      <c r="H33" s="100" t="n">
        <v>84.266000000000005</v>
      </c>
      <c r="I33" s="100" t="n">
        <v>84.266000000000005</v>
      </c>
      <c r="J33" s="100" t="n">
        <v>84.266000000000005</v>
      </c>
      <c r="K33" s="100" t="n">
        <v>84.266000000000005</v>
      </c>
      <c r="L33" s="100" t="n">
        <v>91.364999999999995</v>
      </c>
      <c r="M33" s="100" t="n">
        <v>91.364999999999995</v>
      </c>
    </row>
    <row r="34">
      <c r="B34" t="s">
        <v>201</v>
      </c>
      <c r="C34" t="s">
        <v>202</v>
      </c>
      <c r="D34" s="100" t="n">
        <v>12.726000000000001</v>
      </c>
      <c r="E34" s="100" t="n">
        <v>12.726000000000001</v>
      </c>
      <c r="F34" s="100" t="n">
        <v>12.726000000000001</v>
      </c>
      <c r="G34" s="100" t="n">
        <v>12.726000000000001</v>
      </c>
      <c r="H34" s="100" t="n">
        <v>1.365</v>
      </c>
      <c r="I34" s="100" t="n">
        <v>1.365</v>
      </c>
      <c r="J34" s="100" t="n">
        <v>1.365</v>
      </c>
      <c r="K34" s="100" t="n">
        <v>1.365</v>
      </c>
      <c r="L34" s="100" t="n">
        <v>-0.90100000000000025</v>
      </c>
      <c r="M34" s="100" t="n">
        <v>-0.90100000000000025</v>
      </c>
    </row>
    <row r="35">
      <c r="B35" t="s">
        <v>203</v>
      </c>
      <c r="C35" t="s">
        <v>204</v>
      </c>
      <c r="D35" s="100" t="n">
        <v>0.39999999999999858</v>
      </c>
      <c r="E35" s="100" t="n">
        <v>0.45544444444444565</v>
      </c>
      <c r="F35" s="100" t="n">
        <v>0.51099999999999923</v>
      </c>
      <c r="G35" s="100" t="n">
        <v>0.54433333333333422</v>
      </c>
      <c r="H35" s="100" t="n">
        <v>0.56822222222222152</v>
      </c>
      <c r="I35" s="100" t="n">
        <v>0.56655555555555637</v>
      </c>
      <c r="J35" s="100" t="n">
        <v>0.54922222222222317</v>
      </c>
      <c r="K35" s="100" t="n">
        <v>0.53988888888888908</v>
      </c>
      <c r="L35" s="100" t="n">
        <v>0.53322222222222138</v>
      </c>
      <c r="M35" s="100" t="n">
        <v>0.53066666666666507</v>
      </c>
    </row>
    <row r="36">
      <c r="B36" t="s">
        <v>205</v>
      </c>
      <c r="C36" t="s">
        <v>206</v>
      </c>
      <c r="D36" s="100" t="n">
        <v>20</v>
      </c>
      <c r="E36" s="100" t="n">
        <v>22.772222222222222</v>
      </c>
      <c r="F36" s="100" t="n">
        <v>25.549999999999997</v>
      </c>
      <c r="G36" s="100" t="n">
        <v>27.216666666666661</v>
      </c>
      <c r="H36" s="100" t="n">
        <v>28.411111111111108</v>
      </c>
      <c r="I36" s="100" t="n">
        <v>28.327777777777776</v>
      </c>
      <c r="J36" s="100" t="n">
        <v>27.461111111111109</v>
      </c>
      <c r="K36" s="100" t="n">
        <v>26.994444444444444</v>
      </c>
      <c r="L36" s="100" t="n">
        <v>26.661111111111111</v>
      </c>
      <c r="M36" s="100" t="n">
        <v>26.533333333333331</v>
      </c>
    </row>
    <row r="37">
      <c r="B37" t="s">
        <v>207</v>
      </c>
      <c r="C37" t="s">
        <v>208</v>
      </c>
      <c r="D37" s="100" t="n">
        <v>604.79499999999996</v>
      </c>
      <c r="E37" s="100" t="n">
        <v>606.05037285109495</v>
      </c>
      <c r="F37" s="100" t="n">
        <v>580.65323903901697</v>
      </c>
      <c r="G37" s="100" t="n">
        <v>569.0941447642507</v>
      </c>
      <c r="H37" s="100" t="n">
        <v>561.70373395965726</v>
      </c>
      <c r="I37" s="100" t="n">
        <v>554.82780470342925</v>
      </c>
      <c r="J37" s="100" t="n">
        <v>548.03604509087336</v>
      </c>
      <c r="K37" s="100" t="n">
        <v>541.32742478432147</v>
      </c>
      <c r="L37" s="100" t="n">
        <v>531.08827601622306</v>
      </c>
      <c r="M37" s="100" t="n">
        <v>524.58711678596967</v>
      </c>
    </row>
    <row r="38">
      <c r="B38" t="s">
        <v>209</v>
      </c>
      <c r="C38" t="s">
        <v>210</v>
      </c>
      <c r="D38" s="100" t="n">
        <v>784.6</v>
      </c>
      <c r="E38" s="100" t="n">
        <v>786.22859405082568</v>
      </c>
      <c r="F38" s="100" t="n">
        <v>787.86056857397148</v>
      </c>
      <c r="G38" s="100" t="n">
        <v>789.49593058628307</v>
      </c>
      <c r="H38" s="100" t="n">
        <v>779.83155088112517</v>
      </c>
      <c r="I38" s="100" t="n">
        <v>770.28547480676127</v>
      </c>
      <c r="J38" s="100" t="n">
        <v>760.85625418446853</v>
      </c>
      <c r="K38" s="100" t="n">
        <v>751.54245856297325</v>
      </c>
      <c r="L38" s="100" t="n">
        <v>742.34267500144574</v>
      </c>
      <c r="M38" s="100" t="n">
        <v>733.25550785515156</v>
      </c>
    </row>
    <row r="39">
      <c r="B39" t="s">
        <v>55</v>
      </c>
      <c r="C39" t="s">
        <v>211</v>
      </c>
      <c r="D39" s="100" t="n">
        <v>941.6</v>
      </c>
      <c r="E39" s="100" t="n">
        <v>958.68725729225423</v>
      </c>
      <c r="F39" s="100" t="n">
        <v>976.08459780644091</v>
      </c>
      <c r="G39" s="100" t="n">
        <v>993.79764863665025</v>
      </c>
      <c r="H39" s="100" t="n">
        <v>1017.7617761487271</v>
      </c>
      <c r="I39" s="100" t="n">
        <v>1042.3037671808102</v>
      </c>
      <c r="J39" s="100" t="n">
        <v>1067.437556154154</v>
      </c>
      <c r="K39" s="100" t="n">
        <v>1093.1774135003152</v>
      </c>
      <c r="L39" s="100" t="n">
        <v>1119.5379537635997</v>
      </c>
      <c r="M39" s="100" t="n">
        <v>1146.534143898891</v>
      </c>
    </row>
    <row r="40">
      <c r="B40" t="s">
        <v>212</v>
      </c>
      <c r="C40" t="s">
        <v>213</v>
      </c>
      <c r="D40" s="100" t="n">
        <v>0</v>
      </c>
      <c r="E40" s="100" t="n">
        <v>0</v>
      </c>
      <c r="F40" s="100" t="n">
        <v>0</v>
      </c>
      <c r="G40" s="100" t="n">
        <v>0</v>
      </c>
      <c r="H40" s="100" t="n">
        <v>0</v>
      </c>
      <c r="I40" s="100" t="n">
        <v>0</v>
      </c>
      <c r="J40" s="100" t="n">
        <v>0</v>
      </c>
      <c r="K40" s="100" t="n">
        <v>0</v>
      </c>
      <c r="L40" s="100" t="n">
        <v>0</v>
      </c>
      <c r="M40" s="100" t="n">
        <v>0</v>
      </c>
    </row>
    <row r="41">
      <c r="B41" t="s">
        <v>214</v>
      </c>
      <c r="C41" t="s">
        <v>215</v>
      </c>
      <c r="D41" s="100" t="n">
        <v>0</v>
      </c>
      <c r="E41" s="100" t="n">
        <v>0</v>
      </c>
      <c r="F41" s="100" t="n">
        <v>0</v>
      </c>
      <c r="G41" s="100" t="n">
        <v>0</v>
      </c>
      <c r="H41" s="100" t="n">
        <v>0</v>
      </c>
      <c r="I41" s="100" t="n">
        <v>0</v>
      </c>
      <c r="J41" s="100" t="n">
        <v>0</v>
      </c>
      <c r="K41" s="100" t="n">
        <v>0</v>
      </c>
      <c r="L41" s="100" t="n">
        <v>0</v>
      </c>
      <c r="M41" s="100" t="n">
        <v>0</v>
      </c>
    </row>
    <row r="42">
      <c r="B42" t="s">
        <v>216</v>
      </c>
      <c r="C42" t="s">
        <v>217</v>
      </c>
      <c r="D42" s="100" t="n">
        <v>30</v>
      </c>
      <c r="E42" s="100" t="n">
        <v>12</v>
      </c>
      <c r="F42" s="100" t="n">
        <v>12</v>
      </c>
      <c r="G42" s="100" t="n">
        <v>12</v>
      </c>
      <c r="H42" s="100" t="n">
        <v>4.2219999999999995</v>
      </c>
      <c r="I42" s="100" t="n">
        <v>4.2219999999999995</v>
      </c>
      <c r="J42" s="100" t="n">
        <v>4.2219999999999995</v>
      </c>
      <c r="K42" s="100" t="n">
        <v>4.2219999999999995</v>
      </c>
      <c r="L42" s="100" t="n">
        <v>2.3719999999999999</v>
      </c>
      <c r="M42" s="100" t="n">
        <v>2.3719999999999999</v>
      </c>
    </row>
    <row r="43">
      <c r="B43" t="s">
        <v>850</v>
      </c>
      <c r="C43" t="s">
        <v>219</v>
      </c>
      <c r="D43" s="100" t="n">
        <v>6.3160000000000007</v>
      </c>
      <c r="E43" s="100" t="n">
        <v>1.4159999999999999</v>
      </c>
      <c r="F43" s="100" t="n">
        <v>1.4159999999999999</v>
      </c>
      <c r="G43" s="100" t="n">
        <v>1.4159999999999999</v>
      </c>
      <c r="H43" s="100" t="n">
        <v>1.4790000000000001</v>
      </c>
      <c r="I43" s="100" t="n">
        <v>1.4790000000000001</v>
      </c>
      <c r="J43" s="100" t="n">
        <v>1.4790000000000001</v>
      </c>
      <c r="K43" s="100" t="n">
        <v>1.4790000000000001</v>
      </c>
      <c r="L43" s="100" t="n">
        <v>1.63</v>
      </c>
      <c r="M43" s="100" t="n">
        <v>1.63</v>
      </c>
    </row>
    <row r="44">
      <c r="B44" t="s">
        <v>220</v>
      </c>
      <c r="C44" t="s">
        <v>221</v>
      </c>
      <c r="D44" s="100" t="n">
        <v>1903.3740000000003</v>
      </c>
      <c r="E44" s="100" t="n">
        <v>1953.929241</v>
      </c>
      <c r="F44" s="100" t="n">
        <v>1960.929241</v>
      </c>
      <c r="G44" s="100" t="n">
        <v>1967.929241</v>
      </c>
      <c r="H44" s="100" t="n">
        <v>1968.478241</v>
      </c>
      <c r="I44" s="100" t="n">
        <v>2013.4377810000001</v>
      </c>
      <c r="J44" s="100" t="n">
        <v>2020.4377810000001</v>
      </c>
      <c r="K44" s="100" t="n">
        <v>2027.4377810000001</v>
      </c>
      <c r="L44" s="100" t="n">
        <v>2035.9657810000001</v>
      </c>
      <c r="M44" s="100" t="n">
        <v>2068.9121410000002</v>
      </c>
    </row>
    <row r="45">
      <c r="B45" t="s">
        <v>222</v>
      </c>
      <c r="C45" t="s">
        <v>223</v>
      </c>
      <c r="D45" s="100" t="n">
        <v>249.10000000000002</v>
      </c>
      <c r="E45" s="100" t="n">
        <v>182.96282157770224</v>
      </c>
      <c r="F45" s="100" t="n">
        <v>185.80004652795367</v>
      </c>
      <c r="G45" s="100" t="n">
        <v>188.68126864303298</v>
      </c>
      <c r="H45" s="100" t="n">
        <v>191.60717019189906</v>
      </c>
      <c r="I45" s="100" t="n">
        <v>194.57844402353186</v>
      </c>
      <c r="J45" s="100" t="n">
        <v>197.59579373099803</v>
      </c>
      <c r="K45" s="100" t="n">
        <v>200.65993381806064</v>
      </c>
      <c r="L45" s="100" t="n">
        <v>203.77158986837259</v>
      </c>
      <c r="M45" s="100" t="n">
        <v>206.93149871729366</v>
      </c>
    </row>
    <row r="46">
      <c r="B46" t="s">
        <v>224</v>
      </c>
      <c r="C46" t="s">
        <v>225</v>
      </c>
      <c r="D46" s="100" t="n">
        <v>4528.8</v>
      </c>
      <c r="E46" s="100" t="n">
        <v>4467.3739968285072</v>
      </c>
      <c r="F46" s="100" t="n">
        <v>4457.4043214546246</v>
      </c>
      <c r="G46" s="100" t="n">
        <v>4447.8895270730181</v>
      </c>
      <c r="H46" s="100" t="n">
        <v>4460.0815040789694</v>
      </c>
      <c r="I46" s="100" t="n">
        <v>4467.5864561878179</v>
      </c>
      <c r="J46" s="100" t="n">
        <v>4475.4065403252825</v>
      </c>
      <c r="K46" s="100" t="n">
        <v>4483.5439444895819</v>
      </c>
      <c r="L46" s="100" t="n">
        <v>4513.5325415378738</v>
      </c>
      <c r="M46" s="100" t="n">
        <v>4543.7701819739486</v>
      </c>
    </row>
    <row r="47">
      <c r="B47" t="s">
        <v>226</v>
      </c>
      <c r="C47" t="s">
        <v>227</v>
      </c>
      <c r="D47" s="100" t="n">
        <v>2205.8000000000002</v>
      </c>
      <c r="E47" s="100" t="n">
        <v>2232.4070379024242</v>
      </c>
      <c r="F47" s="100" t="n">
        <v>2257.3320679704652</v>
      </c>
      <c r="G47" s="100" t="n">
        <v>2282.8714249965174</v>
      </c>
      <c r="H47" s="100" t="n">
        <v>2308.5582874457068</v>
      </c>
      <c r="I47" s="100" t="n">
        <v>2332.3157040423512</v>
      </c>
      <c r="J47" s="100" t="n">
        <v>2355.3202036226157</v>
      </c>
      <c r="K47" s="100" t="n">
        <v>2378.2329159267574</v>
      </c>
      <c r="L47" s="100" t="n">
        <v>2402.1008683516784</v>
      </c>
      <c r="M47" s="100" t="n">
        <v>2426.7126329151943</v>
      </c>
    </row>
    <row r="48">
      <c r="B48" t="s">
        <v>228</v>
      </c>
      <c r="C48" t="s">
        <v>229</v>
      </c>
      <c r="D48" s="100" t="n">
        <v>350.30119606059549</v>
      </c>
      <c r="E48" s="100" t="n">
        <v>360.27870804898345</v>
      </c>
      <c r="F48" s="100" t="n">
        <v>370.54040617946271</v>
      </c>
      <c r="G48" s="100" t="n">
        <v>381.09438483101775</v>
      </c>
      <c r="H48" s="100" t="n">
        <v>381.72153892635089</v>
      </c>
      <c r="I48" s="100" t="n">
        <v>382.34972510789402</v>
      </c>
      <c r="J48" s="100" t="n">
        <v>382.97894507411644</v>
      </c>
      <c r="K48" s="100" t="n">
        <v>383.60920052628245</v>
      </c>
      <c r="L48" s="100" t="n">
        <v>385.61244152866738</v>
      </c>
      <c r="M48" s="100" t="n">
        <v>400.52681927840081</v>
      </c>
    </row>
    <row r="49">
      <c r="B49" t="s">
        <v>230</v>
      </c>
      <c r="C49" s="63" t="s">
        <v>231</v>
      </c>
      <c r="D49" s="100" t="n">
        <v>95.360546952748706</v>
      </c>
      <c r="E49" s="100" t="n">
        <v>88.958815333784486</v>
      </c>
      <c r="F49" s="100" t="n">
        <v>83.91599856693604</v>
      </c>
      <c r="G49" s="100" t="n">
        <v>81.073902312806027</v>
      </c>
      <c r="H49" s="100" t="n">
        <v>78.997448349986072</v>
      </c>
      <c r="I49" s="100" t="n">
        <v>79.891365789578444</v>
      </c>
      <c r="J49" s="100" t="n">
        <v>81.322435412602999</v>
      </c>
      <c r="K49" s="100" t="n">
        <v>83.346777596433256</v>
      </c>
      <c r="L49" s="100" t="n">
        <v>86.228959834401508</v>
      </c>
      <c r="M49" s="100" t="n">
        <v>89.010927112774183</v>
      </c>
    </row>
    <row r="50">
      <c r="B50" s="63" t="s">
        <v>1464</v>
      </c>
      <c r="C50" s="63" t="s">
        <v>1463</v>
      </c>
      <c r="D50" s="100" t="n">
        <v>0</v>
      </c>
      <c r="E50" s="100" t="n">
        <v>0</v>
      </c>
      <c r="F50" s="100" t="n">
        <v>0</v>
      </c>
      <c r="G50" s="100" t="n">
        <v>20.815079999999998</v>
      </c>
      <c r="H50" s="100" t="n">
        <v>21.006180000000001</v>
      </c>
      <c r="I50" s="100" t="n">
        <v>25.815300000000001</v>
      </c>
      <c r="J50" s="100" t="n">
        <v>26.04045</v>
      </c>
      <c r="K50" s="100" t="n">
        <v>26.26465</v>
      </c>
      <c r="L50" s="100" t="n">
        <v>26.498349999999999</v>
      </c>
      <c r="M50" s="100" t="n">
        <v>26.454419999999999</v>
      </c>
    </row>
    <row r="51">
      <c r="D51" s="99"/>
      <c r="E51" s="99"/>
      <c r="F51" s="99"/>
      <c r="G51" s="99"/>
      <c r="H51" s="99"/>
      <c r="I51" s="99"/>
      <c r="J51" s="99"/>
      <c r="K51" s="99"/>
      <c r="L51" s="99"/>
      <c r="M51" s="99"/>
    </row>
    <row r="52">
      <c r="B52" s="98" t="s">
        <v>232</v>
      </c>
      <c r="C52" s="98"/>
      <c r="D52" s="98"/>
      <c r="E52" s="98"/>
      <c r="F52" s="98"/>
      <c r="G52" s="98"/>
      <c r="H52" s="98"/>
      <c r="I52" s="98"/>
      <c r="J52" s="98"/>
      <c r="K52" s="98"/>
      <c r="L52" s="98"/>
      <c r="M52" s="98"/>
    </row>
    <row r="53">
      <c r="B53" t="s">
        <v>178</v>
      </c>
      <c r="C53" t="s">
        <v>179</v>
      </c>
      <c r="D53" t="s">
        <v>185</v>
      </c>
      <c r="E53" t="s">
        <v>186</v>
      </c>
      <c r="F53" t="s">
        <v>187</v>
      </c>
      <c r="G53" t="s">
        <v>188</v>
      </c>
      <c r="H53" t="s">
        <v>189</v>
      </c>
      <c r="I53" t="s">
        <v>190</v>
      </c>
      <c r="J53" t="s">
        <v>191</v>
      </c>
      <c r="K53" t="s">
        <v>175</v>
      </c>
      <c r="L53" t="s">
        <v>176</v>
      </c>
      <c r="M53" t="s">
        <v>177</v>
      </c>
    </row>
    <row r="54">
      <c r="B54" s="63" t="s">
        <v>192</v>
      </c>
      <c r="C54" s="63" t="s">
        <v>193</v>
      </c>
      <c r="D54" s="100" t="n">
        <f t="shared" ref="D54:M54" si="0">D4-D29</f>
        <v>-0.97900000000004184</v>
      </c>
      <c r="E54" s="100" t="n">
        <f t="shared" si="0"/>
        <v>-0.98864648501148622</v>
      </c>
      <c r="F54" s="100" t="n">
        <f t="shared" si="0"/>
        <v>-0.99838802076146749</v>
      </c>
      <c r="G54" s="100" t="n">
        <f t="shared" si="0"/>
        <v>-1.0082255438237553</v>
      </c>
      <c r="H54" s="100" t="n">
        <f t="shared" si="0"/>
        <v>-1.0181600000000799</v>
      </c>
      <c r="I54" s="100" t="n">
        <f t="shared" si="0"/>
        <v>-1.0281923444118775</v>
      </c>
      <c r="J54" s="100" t="n">
        <f t="shared" si="0"/>
        <v>-1.0383235415919216</v>
      </c>
      <c r="K54" s="100" t="n">
        <f t="shared" si="0"/>
        <v>-1.0485545655766373</v>
      </c>
      <c r="L54" s="100" t="n">
        <f t="shared" si="0"/>
        <v>-1.0588864000000058</v>
      </c>
      <c r="M54" s="100" t="n">
        <f t="shared" si="0"/>
        <v>-1.0693200381883798</v>
      </c>
    </row>
    <row r="55">
      <c r="B55" s="63" t="s">
        <v>134</v>
      </c>
      <c r="C55" s="63" t="s">
        <v>194</v>
      </c>
      <c r="D55" s="100" t="n">
        <f t="shared" ref="D55:M55" si="1">D5-D30</f>
        <v>0</v>
      </c>
      <c r="E55" s="100" t="n">
        <f t="shared" si="1"/>
        <v>0</v>
      </c>
      <c r="F55" s="100" t="n">
        <f t="shared" si="1"/>
        <v>0</v>
      </c>
      <c r="G55" s="100" t="n">
        <f t="shared" si="1"/>
        <v>0</v>
      </c>
      <c r="H55" s="100" t="n">
        <f t="shared" si="1"/>
        <v>0</v>
      </c>
      <c r="I55" s="100" t="n">
        <f t="shared" si="1"/>
        <v>0</v>
      </c>
      <c r="J55" s="100" t="n">
        <f t="shared" si="1"/>
        <v>0</v>
      </c>
      <c r="K55" s="100" t="n">
        <f t="shared" si="1"/>
        <v>0</v>
      </c>
      <c r="L55" s="100" t="n">
        <f t="shared" si="1"/>
        <v>0</v>
      </c>
      <c r="M55" s="100" t="n">
        <f t="shared" si="1"/>
        <v>0</v>
      </c>
    </row>
    <row r="56">
      <c r="B56" s="63" t="s">
        <v>195</v>
      </c>
      <c r="C56" s="63" t="s">
        <v>196</v>
      </c>
      <c r="D56" s="100" t="n">
        <f t="shared" ref="D56:M56" si="2">D6-D31</f>
        <v>-0.10000000000013642</v>
      </c>
      <c r="E56" s="100" t="n">
        <f t="shared" si="2"/>
        <v>-0.10104454316274314</v>
      </c>
      <c r="F56" s="100" t="n">
        <f t="shared" si="2"/>
        <v>-0.10199303637932644</v>
      </c>
      <c r="G56" s="100" t="n">
        <f t="shared" si="2"/>
        <v>-0.10331972625817798</v>
      </c>
      <c r="H56" s="100" t="n">
        <f t="shared" si="2"/>
        <v>-0.10449633809616898</v>
      </c>
      <c r="I56" s="100" t="n">
        <f t="shared" si="2"/>
        <v>-0.10554688438014637</v>
      </c>
      <c r="J56" s="100" t="n">
        <f t="shared" si="2"/>
        <v>-0.10650738383992575</v>
      </c>
      <c r="K56" s="100" t="n">
        <f t="shared" si="2"/>
        <v>-0.10747988954290122</v>
      </c>
      <c r="L56" s="100" t="n">
        <f t="shared" si="2"/>
        <v>-0.10838636090807086</v>
      </c>
      <c r="M56" s="100" t="n">
        <f t="shared" si="2"/>
        <v>-0.10919678232721708</v>
      </c>
    </row>
    <row r="57">
      <c r="B57" s="63" t="s">
        <v>197</v>
      </c>
      <c r="C57" s="63" t="s">
        <v>198</v>
      </c>
      <c r="D57" s="100" t="n">
        <f t="shared" ref="D57:M57" si="3">D7-D32</f>
        <v>4.5999999999999091</v>
      </c>
      <c r="E57" s="100" t="n">
        <f t="shared" si="3"/>
        <v>4.6464630281075188</v>
      </c>
      <c r="F57" s="100" t="n">
        <f t="shared" si="3"/>
        <v>4.6986938803943303</v>
      </c>
      <c r="G57" s="100" t="n">
        <f t="shared" si="3"/>
        <v>4.7594162516106735</v>
      </c>
      <c r="H57" s="100" t="n">
        <f t="shared" si="3"/>
        <v>4.8111664518824</v>
      </c>
      <c r="I57" s="100" t="n">
        <f t="shared" si="3"/>
        <v>4.8616349134476877</v>
      </c>
      <c r="J57" s="100" t="n">
        <f t="shared" si="3"/>
        <v>4.906655985510497</v>
      </c>
      <c r="K57" s="100" t="n">
        <f t="shared" si="3"/>
        <v>4.9508759708819525</v>
      </c>
      <c r="L57" s="100" t="n">
        <f t="shared" si="3"/>
        <v>4.9949357389150464</v>
      </c>
      <c r="M57" s="100" t="n">
        <f t="shared" si="3"/>
        <v>0</v>
      </c>
    </row>
    <row r="58">
      <c r="B58" s="63" t="s">
        <v>199</v>
      </c>
      <c r="C58" s="63" t="s">
        <v>200</v>
      </c>
      <c r="D58" s="100" t="n">
        <f t="shared" ref="D58:M58" si="4">D8-D33</f>
        <v>3.2000000000000028</v>
      </c>
      <c r="E58" s="100" t="n">
        <f t="shared" si="4"/>
        <v>0</v>
      </c>
      <c r="F58" s="100" t="n">
        <f t="shared" si="4"/>
        <v>0</v>
      </c>
      <c r="G58" s="100" t="n">
        <f t="shared" si="4"/>
        <v>0</v>
      </c>
      <c r="H58" s="100" t="n">
        <f t="shared" si="4"/>
        <v>0</v>
      </c>
      <c r="I58" s="100" t="n">
        <f t="shared" si="4"/>
        <v>0</v>
      </c>
      <c r="J58" s="100" t="n">
        <f t="shared" si="4"/>
        <v>0</v>
      </c>
      <c r="K58" s="100" t="n">
        <f t="shared" si="4"/>
        <v>0</v>
      </c>
      <c r="L58" s="100" t="n">
        <f t="shared" si="4"/>
        <v>0</v>
      </c>
      <c r="M58" s="100" t="n">
        <f t="shared" si="4"/>
        <v>0</v>
      </c>
    </row>
    <row r="59">
      <c r="B59" s="63" t="s">
        <v>201</v>
      </c>
      <c r="C59" s="63" t="s">
        <v>202</v>
      </c>
      <c r="D59" s="100" t="n">
        <f t="shared" ref="D59:M59" si="5">D9-D34</f>
        <v>0</v>
      </c>
      <c r="E59" s="100" t="n">
        <f t="shared" si="5"/>
        <v>0</v>
      </c>
      <c r="F59" s="100" t="n">
        <f t="shared" si="5"/>
        <v>0</v>
      </c>
      <c r="G59" s="100" t="n">
        <f t="shared" si="5"/>
        <v>0</v>
      </c>
      <c r="H59" s="100" t="n">
        <f t="shared" si="5"/>
        <v>0</v>
      </c>
      <c r="I59" s="100" t="n">
        <f t="shared" si="5"/>
        <v>0</v>
      </c>
      <c r="J59" s="100" t="n">
        <f t="shared" si="5"/>
        <v>0</v>
      </c>
      <c r="K59" s="100" t="n">
        <f t="shared" si="5"/>
        <v>0</v>
      </c>
      <c r="L59" s="100" t="n">
        <f t="shared" si="5"/>
        <v>0</v>
      </c>
      <c r="M59" s="100" t="n">
        <f t="shared" si="5"/>
        <v>0</v>
      </c>
    </row>
    <row r="60">
      <c r="B60" s="63" t="s">
        <v>203</v>
      </c>
      <c r="C60" s="63" t="s">
        <v>204</v>
      </c>
      <c r="D60" s="100" t="n">
        <f t="shared" ref="D60:M60" si="6">D10-D35</f>
        <v>-9.9999999999997868E-2</v>
      </c>
      <c r="E60" s="100" t="n">
        <f t="shared" si="6"/>
        <v>-0.11386111111111319</v>
      </c>
      <c r="F60" s="100" t="n">
        <f t="shared" si="6"/>
        <v>-0.12774999999999892</v>
      </c>
      <c r="G60" s="100" t="n">
        <f t="shared" si="6"/>
        <v>-0.13608333333333533</v>
      </c>
      <c r="H60" s="100" t="n">
        <f t="shared" si="6"/>
        <v>-0.14205555555555449</v>
      </c>
      <c r="I60" s="100" t="n">
        <f t="shared" si="6"/>
        <v>-0.1416388888888882</v>
      </c>
      <c r="J60" s="100" t="n">
        <f t="shared" si="6"/>
        <v>-0.13730555555555668</v>
      </c>
      <c r="K60" s="100" t="n">
        <f t="shared" si="6"/>
        <v>-0.13497222222222405</v>
      </c>
      <c r="L60" s="100" t="n">
        <f t="shared" si="6"/>
        <v>-0.13330555555555534</v>
      </c>
      <c r="M60" s="100" t="n">
        <f t="shared" si="6"/>
        <v>-0.13266666666666538</v>
      </c>
    </row>
    <row r="61">
      <c r="B61" s="63" t="s">
        <v>205</v>
      </c>
      <c r="C61" s="63" t="s">
        <v>206</v>
      </c>
      <c r="D61" s="100" t="n">
        <f t="shared" ref="D61:M61" si="7">D11-D36</f>
        <v>9.9999999999997868E-2</v>
      </c>
      <c r="E61" s="100" t="n">
        <f t="shared" si="7"/>
        <v>0.11386111111110964</v>
      </c>
      <c r="F61" s="100" t="n">
        <f t="shared" si="7"/>
        <v>0.12774999999999892</v>
      </c>
      <c r="G61" s="100" t="n">
        <f t="shared" si="7"/>
        <v>0.13608333333333178</v>
      </c>
      <c r="H61" s="100" t="n">
        <f t="shared" si="7"/>
        <v>0.14205555555555094</v>
      </c>
      <c r="I61" s="100" t="n">
        <f t="shared" si="7"/>
        <v>0.14163888888888465</v>
      </c>
      <c r="J61" s="100" t="n">
        <f t="shared" si="7"/>
        <v>0.13730555555554957</v>
      </c>
      <c r="K61" s="100" t="n">
        <f t="shared" si="7"/>
        <v>0.13497222222221339</v>
      </c>
      <c r="L61" s="100" t="n">
        <f t="shared" si="7"/>
        <v>0.13330555555554469</v>
      </c>
      <c r="M61" s="100" t="n">
        <f t="shared" si="7"/>
        <v>0.13266666666665472</v>
      </c>
    </row>
    <row r="62">
      <c r="B62" s="63" t="s">
        <v>207</v>
      </c>
      <c r="C62" s="63" t="s">
        <v>208</v>
      </c>
      <c r="D62" s="100" t="n">
        <f t="shared" ref="D62:M62" si="8">D12-D37</f>
        <v>7.9000000000064574E-2</v>
      </c>
      <c r="E62" s="100" t="n">
        <f t="shared" si="8"/>
        <v>1.3519338291861231</v>
      </c>
      <c r="F62" s="100" t="n">
        <f t="shared" si="8"/>
        <v>8.9067222026761783</v>
      </c>
      <c r="G62" s="100" t="n">
        <f t="shared" si="8"/>
        <v>3.232055674475987</v>
      </c>
      <c r="H62" s="100" t="n">
        <f t="shared" si="8"/>
        <v>3.647834225659949</v>
      </c>
      <c r="I62" s="100" t="n">
        <f t="shared" si="8"/>
        <v>4.0606409873058738</v>
      </c>
      <c r="J62" s="100" t="n">
        <f t="shared" si="8"/>
        <v>4.463164788771337</v>
      </c>
      <c r="K62" s="100" t="n">
        <f t="shared" si="8"/>
        <v>4.8555912921048048</v>
      </c>
      <c r="L62" s="100" t="n">
        <f t="shared" si="8"/>
        <v>5.1599055028821113</v>
      </c>
      <c r="M62" s="100" t="n">
        <f t="shared" si="8"/>
        <v>5.5306533578216204</v>
      </c>
    </row>
    <row r="63">
      <c r="B63" s="63" t="s">
        <v>209</v>
      </c>
      <c r="C63" s="63" t="s">
        <v>210</v>
      </c>
      <c r="D63" s="100" t="n">
        <f t="shared" ref="D63:M63" si="9">D13-D38</f>
        <v>8.6999999999999318</v>
      </c>
      <c r="E63" s="100" t="n">
        <f t="shared" si="9"/>
        <v>10.38731255032917</v>
      </c>
      <c r="F63" s="100" t="n">
        <f t="shared" si="9"/>
        <v>12.085104752613574</v>
      </c>
      <c r="G63" s="100" t="n">
        <f t="shared" si="9"/>
        <v>13.793427523799892</v>
      </c>
      <c r="H63" s="100" t="n">
        <f t="shared" si="9"/>
        <v>14.274570085520963</v>
      </c>
      <c r="I63" s="100" t="n">
        <f t="shared" si="9"/>
        <v>14.742392163032946</v>
      </c>
      <c r="J63" s="100" t="n">
        <f t="shared" si="9"/>
        <v>15.19714176338789</v>
      </c>
      <c r="K63" s="100" t="n">
        <f t="shared" si="9"/>
        <v>15.639062886600641</v>
      </c>
      <c r="L63" s="100" t="n">
        <f t="shared" si="9"/>
        <v>16.068395585801909</v>
      </c>
      <c r="M63" s="100" t="n">
        <f t="shared" si="9"/>
        <v>16.485376026527888</v>
      </c>
    </row>
    <row r="64">
      <c r="B64" s="63" t="s">
        <v>55</v>
      </c>
      <c r="C64" s="63" t="s">
        <v>211</v>
      </c>
      <c r="D64" s="100" t="n">
        <f t="shared" ref="D64:M64" si="10">D14-D39</f>
        <v>0</v>
      </c>
      <c r="E64" s="100" t="n">
        <f t="shared" si="10"/>
        <v>0</v>
      </c>
      <c r="F64" s="100" t="n">
        <f t="shared" si="10"/>
        <v>0</v>
      </c>
      <c r="G64" s="100" t="n">
        <f t="shared" si="10"/>
        <v>0</v>
      </c>
      <c r="H64" s="100" t="n">
        <f t="shared" si="10"/>
        <v>0</v>
      </c>
      <c r="I64" s="100" t="n">
        <f t="shared" si="10"/>
        <v>0</v>
      </c>
      <c r="J64" s="100" t="n">
        <f t="shared" si="10"/>
        <v>0</v>
      </c>
      <c r="K64" s="100" t="n">
        <f t="shared" si="10"/>
        <v>0</v>
      </c>
      <c r="L64" s="100" t="n">
        <f t="shared" si="10"/>
        <v>0</v>
      </c>
      <c r="M64" s="100" t="n">
        <f t="shared" si="10"/>
        <v>0</v>
      </c>
    </row>
    <row r="65">
      <c r="B65" s="63" t="s">
        <v>212</v>
      </c>
      <c r="C65" s="63" t="s">
        <v>213</v>
      </c>
      <c r="D65" s="100" t="n">
        <f t="shared" ref="D65:M65" si="11">D15-D40</f>
        <v>0</v>
      </c>
      <c r="E65" s="100" t="n">
        <f t="shared" si="11"/>
        <v>0</v>
      </c>
      <c r="F65" s="100" t="n">
        <f t="shared" si="11"/>
        <v>0</v>
      </c>
      <c r="G65" s="100" t="n">
        <f t="shared" si="11"/>
        <v>0</v>
      </c>
      <c r="H65" s="100" t="n">
        <f t="shared" si="11"/>
        <v>0</v>
      </c>
      <c r="I65" s="100" t="n">
        <f t="shared" si="11"/>
        <v>0</v>
      </c>
      <c r="J65" s="100" t="n">
        <f t="shared" si="11"/>
        <v>0</v>
      </c>
      <c r="K65" s="100" t="n">
        <f t="shared" si="11"/>
        <v>0</v>
      </c>
      <c r="L65" s="100" t="n">
        <f t="shared" si="11"/>
        <v>0</v>
      </c>
      <c r="M65" s="100" t="n">
        <f t="shared" si="11"/>
        <v>0</v>
      </c>
    </row>
    <row r="66">
      <c r="B66" s="63" t="s">
        <v>214</v>
      </c>
      <c r="C66" s="63" t="s">
        <v>215</v>
      </c>
      <c r="D66" s="100" t="n">
        <f t="shared" ref="D66:M66" si="12">D16-D41</f>
        <v>0</v>
      </c>
      <c r="E66" s="100" t="n">
        <f t="shared" si="12"/>
        <v>0</v>
      </c>
      <c r="F66" s="100" t="n">
        <f t="shared" si="12"/>
        <v>0</v>
      </c>
      <c r="G66" s="100" t="n">
        <f t="shared" si="12"/>
        <v>0</v>
      </c>
      <c r="H66" s="100" t="n">
        <f t="shared" si="12"/>
        <v>0</v>
      </c>
      <c r="I66" s="100" t="n">
        <f t="shared" si="12"/>
        <v>0</v>
      </c>
      <c r="J66" s="100" t="n">
        <f t="shared" si="12"/>
        <v>0</v>
      </c>
      <c r="K66" s="100" t="n">
        <f t="shared" si="12"/>
        <v>0</v>
      </c>
      <c r="L66" s="100" t="n">
        <f t="shared" si="12"/>
        <v>0</v>
      </c>
      <c r="M66" s="100" t="n">
        <f t="shared" si="12"/>
        <v>0</v>
      </c>
    </row>
    <row r="67">
      <c r="B67" s="63" t="s">
        <v>216</v>
      </c>
      <c r="C67" s="63" t="s">
        <v>217</v>
      </c>
      <c r="D67" s="100" t="n">
        <f t="shared" ref="D67:M67" si="13">D17-D42</f>
        <v>0</v>
      </c>
      <c r="E67" s="100" t="n">
        <f t="shared" si="13"/>
        <v>0</v>
      </c>
      <c r="F67" s="100" t="n">
        <f t="shared" si="13"/>
        <v>0</v>
      </c>
      <c r="G67" s="100" t="n">
        <f t="shared" si="13"/>
        <v>0</v>
      </c>
      <c r="H67" s="100" t="n">
        <f t="shared" si="13"/>
        <v>0</v>
      </c>
      <c r="I67" s="100" t="n">
        <f t="shared" si="13"/>
        <v>0</v>
      </c>
      <c r="J67" s="100" t="n">
        <f t="shared" si="13"/>
        <v>0</v>
      </c>
      <c r="K67" s="100" t="n">
        <f t="shared" si="13"/>
        <v>0</v>
      </c>
      <c r="L67" s="100" t="n">
        <f t="shared" si="13"/>
        <v>0</v>
      </c>
      <c r="M67" s="100" t="n">
        <f t="shared" si="13"/>
        <v>0</v>
      </c>
    </row>
    <row r="68">
      <c r="B68" s="63" t="s">
        <v>876</v>
      </c>
      <c r="C68" s="63" t="s">
        <v>219</v>
      </c>
      <c r="D68" s="100" t="n">
        <f t="shared" ref="D68:M68" si="14">D18-D43</f>
        <v>0</v>
      </c>
      <c r="E68" s="100" t="n">
        <f t="shared" si="14"/>
        <v>0</v>
      </c>
      <c r="F68" s="100" t="n">
        <f t="shared" si="14"/>
        <v>0</v>
      </c>
      <c r="G68" s="100" t="n">
        <f t="shared" si="14"/>
        <v>0</v>
      </c>
      <c r="H68" s="100" t="n">
        <f t="shared" si="14"/>
        <v>0</v>
      </c>
      <c r="I68" s="100" t="n">
        <f t="shared" si="14"/>
        <v>0</v>
      </c>
      <c r="J68" s="100" t="n">
        <f t="shared" si="14"/>
        <v>0</v>
      </c>
      <c r="K68" s="100" t="n">
        <f t="shared" si="14"/>
        <v>0</v>
      </c>
      <c r="L68" s="100" t="n">
        <f t="shared" si="14"/>
        <v>0</v>
      </c>
      <c r="M68" s="100" t="n">
        <f t="shared" si="14"/>
        <v>0</v>
      </c>
    </row>
    <row r="69">
      <c r="B69" s="63" t="s">
        <v>220</v>
      </c>
      <c r="C69" s="63" t="s">
        <v>221</v>
      </c>
      <c r="D69" s="100" t="n">
        <f t="shared" ref="D69:M69" si="15">D19-D44</f>
        <v>3.1000000000001364</v>
      </c>
      <c r="E69" s="100" t="n">
        <f t="shared" si="15"/>
        <v>3.028552000000218</v>
      </c>
      <c r="F69" s="100" t="n">
        <f t="shared" si="15"/>
        <v>3.028552000000218</v>
      </c>
      <c r="G69" s="100" t="n">
        <f t="shared" si="15"/>
        <v>3.028552000000218</v>
      </c>
      <c r="H69" s="100" t="n">
        <f t="shared" si="15"/>
        <v>3.028552000000218</v>
      </c>
      <c r="I69" s="100" t="n">
        <f t="shared" si="15"/>
        <v>3.0494320000002517</v>
      </c>
      <c r="J69" s="100" t="n">
        <f t="shared" si="15"/>
        <v>3.0494320000002517</v>
      </c>
      <c r="K69" s="100" t="n">
        <f t="shared" si="15"/>
        <v>3.0494320000002517</v>
      </c>
      <c r="L69" s="100" t="n">
        <f t="shared" si="15"/>
        <v>3.0494320000002517</v>
      </c>
      <c r="M69" s="100" t="n">
        <f t="shared" si="15"/>
        <v>3.0633520000001226</v>
      </c>
    </row>
    <row r="70">
      <c r="B70" s="63" t="s">
        <v>222</v>
      </c>
      <c r="C70" s="63" t="s">
        <v>223</v>
      </c>
      <c r="D70" s="100" t="n">
        <f t="shared" ref="D70:M70" si="16">D20-D45</f>
        <v>0.60000000000002274</v>
      </c>
      <c r="E70" s="100" t="n">
        <f t="shared" si="16"/>
        <v>0.60930426714824648</v>
      </c>
      <c r="F70" s="100" t="n">
        <f t="shared" si="16"/>
        <v>0.61875281660840642</v>
      </c>
      <c r="G70" s="100" t="n">
        <f t="shared" si="16"/>
        <v>0.6283478857824889</v>
      </c>
      <c r="H70" s="100" t="n">
        <f t="shared" si="16"/>
        <v>0.63809174676805469</v>
      </c>
      <c r="I70" s="100" t="n">
        <f t="shared" si="16"/>
        <v>0.64798670689640403</v>
      </c>
      <c r="J70" s="100" t="n">
        <f t="shared" si="16"/>
        <v>0.6580351092788419</v>
      </c>
      <c r="K70" s="100" t="n">
        <f t="shared" si="16"/>
        <v>0.66823933336158348</v>
      </c>
      <c r="L70" s="100" t="n">
        <f t="shared" si="16"/>
        <v>0.67860179548915767</v>
      </c>
      <c r="M70" s="100" t="n">
        <f t="shared" si="16"/>
        <v>0.68912494947664982</v>
      </c>
    </row>
    <row r="71">
      <c r="B71" s="63" t="s">
        <v>224</v>
      </c>
      <c r="C71" s="63" t="s">
        <v>225</v>
      </c>
      <c r="D71" s="100" t="n">
        <f t="shared" ref="D71:M71" si="17">D21-D46</f>
        <v>17.199999999999818</v>
      </c>
      <c r="E71" s="100" t="n">
        <f t="shared" si="17"/>
        <v>17.459842792100972</v>
      </c>
      <c r="F71" s="100" t="n">
        <f t="shared" si="17"/>
        <v>17.721302942632974</v>
      </c>
      <c r="G71" s="100" t="n">
        <f t="shared" si="17"/>
        <v>17.984406455979297</v>
      </c>
      <c r="H71" s="100" t="n">
        <f t="shared" si="17"/>
        <v>18.25534180019531</v>
      </c>
      <c r="I71" s="100" t="n">
        <f t="shared" si="17"/>
        <v>18.528892316920974</v>
      </c>
      <c r="J71" s="100" t="n">
        <f t="shared" si="17"/>
        <v>18.805089269091695</v>
      </c>
      <c r="K71" s="100" t="n">
        <f t="shared" si="17"/>
        <v>19.083964254797138</v>
      </c>
      <c r="L71" s="100" t="n">
        <f t="shared" si="17"/>
        <v>19.310389241731173</v>
      </c>
      <c r="M71" s="100" t="n">
        <f t="shared" si="17"/>
        <v>19.539311183285463</v>
      </c>
    </row>
    <row r="72">
      <c r="B72" s="63" t="s">
        <v>226</v>
      </c>
      <c r="C72" s="63" t="s">
        <v>227</v>
      </c>
      <c r="D72" s="100" t="n">
        <f t="shared" ref="D72:M72" si="18">D22-D47</f>
        <v>-6.2000000000002728</v>
      </c>
      <c r="E72" s="100" t="n">
        <f t="shared" si="18"/>
        <v>-6.2775441770563702</v>
      </c>
      <c r="F72" s="100" t="n">
        <f t="shared" si="18"/>
        <v>-6.3610942179207086</v>
      </c>
      <c r="G72" s="100" t="n">
        <f t="shared" si="18"/>
        <v>-6.4391027359256441</v>
      </c>
      <c r="H72" s="100" t="n">
        <f t="shared" si="18"/>
        <v>-6.5221255266146727</v>
      </c>
      <c r="I72" s="100" t="n">
        <f t="shared" si="18"/>
        <v>-6.5934995180014084</v>
      </c>
      <c r="J72" s="100" t="n">
        <f t="shared" si="18"/>
        <v>-6.6608570271769167</v>
      </c>
      <c r="K72" s="100" t="n">
        <f t="shared" si="18"/>
        <v>-6.7285204743839131</v>
      </c>
      <c r="L72" s="100" t="n">
        <f t="shared" si="18"/>
        <v>-6.7970933701062677</v>
      </c>
      <c r="M72" s="100" t="n">
        <f t="shared" si="18"/>
        <v>-6.867996989191397</v>
      </c>
    </row>
    <row r="73">
      <c r="B73" s="63" t="s">
        <v>228</v>
      </c>
      <c r="C73" s="63" t="s">
        <v>229</v>
      </c>
      <c r="D73" s="100" t="n">
        <f t="shared" ref="D73:M73" si="19">D23-D48</f>
        <v>0</v>
      </c>
      <c r="E73" s="100" t="n">
        <f t="shared" si="19"/>
        <v>0</v>
      </c>
      <c r="F73" s="100" t="n">
        <f t="shared" si="19"/>
        <v>0</v>
      </c>
      <c r="G73" s="100" t="n">
        <f t="shared" si="19"/>
        <v>0</v>
      </c>
      <c r="H73" s="100" t="n">
        <f t="shared" si="19"/>
        <v>0</v>
      </c>
      <c r="I73" s="100" t="n">
        <f t="shared" si="19"/>
        <v>0</v>
      </c>
      <c r="J73" s="100" t="n">
        <f t="shared" si="19"/>
        <v>0</v>
      </c>
      <c r="K73" s="100" t="n">
        <f t="shared" si="19"/>
        <v>0</v>
      </c>
      <c r="L73" s="100" t="n">
        <f t="shared" si="19"/>
        <v>0</v>
      </c>
      <c r="M73" s="100" t="n">
        <f t="shared" si="19"/>
        <v>0</v>
      </c>
    </row>
    <row r="74">
      <c r="B74" s="63" t="s">
        <v>230</v>
      </c>
      <c r="C74" s="63" t="s">
        <v>231</v>
      </c>
      <c r="D74" s="100" t="n">
        <f t="shared" ref="D74:M74" si="20">D24-D49</f>
        <v>0</v>
      </c>
      <c r="E74" s="100" t="n">
        <f t="shared" si="20"/>
        <v>0</v>
      </c>
      <c r="F74" s="100" t="n">
        <f t="shared" si="20"/>
        <v>0</v>
      </c>
      <c r="G74" s="100" t="n">
        <f t="shared" si="20"/>
        <v>0</v>
      </c>
      <c r="H74" s="100" t="n">
        <f t="shared" si="20"/>
        <v>0</v>
      </c>
      <c r="I74" s="100" t="n">
        <f t="shared" si="20"/>
        <v>0</v>
      </c>
      <c r="J74" s="100" t="n">
        <f t="shared" si="20"/>
        <v>0</v>
      </c>
      <c r="K74" s="100" t="n">
        <f t="shared" si="20"/>
        <v>0</v>
      </c>
      <c r="L74" s="100" t="n">
        <f t="shared" si="20"/>
        <v>0</v>
      </c>
      <c r="M74" s="100" t="n">
        <f t="shared" si="20"/>
        <v>0</v>
      </c>
    </row>
    <row r="75">
      <c r="B75" s="63" t="s">
        <v>1464</v>
      </c>
      <c r="C75" s="63" t="s">
        <v>1463</v>
      </c>
      <c r="D75" s="100" t="n">
        <f t="shared" ref="D75:M75" si="21">D25-D50</f>
        <v>0</v>
      </c>
      <c r="E75" s="100" t="n">
        <f t="shared" si="21"/>
        <v>0</v>
      </c>
      <c r="F75" s="100" t="n">
        <f t="shared" si="21"/>
        <v>0</v>
      </c>
      <c r="G75" s="100" t="n">
        <f t="shared" si="21"/>
        <v>0</v>
      </c>
      <c r="H75" s="100" t="n">
        <f t="shared" si="21"/>
        <v>0</v>
      </c>
      <c r="I75" s="100" t="n">
        <f t="shared" si="21"/>
        <v>0</v>
      </c>
      <c r="J75" s="100" t="n">
        <f t="shared" si="21"/>
        <v>0</v>
      </c>
      <c r="K75" s="100" t="n">
        <f t="shared" si="21"/>
        <v>0</v>
      </c>
      <c r="L75" s="100" t="n">
        <f t="shared" si="21"/>
        <v>0</v>
      </c>
      <c r="M75" s="100" t="n">
        <f t="shared" si="21"/>
        <v>0</v>
      </c>
    </row>
    <row r="76">
      <c r="B76" s="63"/>
      <c r="C76" s="63"/>
      <c r="D76" s="100"/>
      <c r="E76" s="100"/>
      <c r="F76" s="100"/>
      <c r="G76" s="100"/>
      <c r="H76" s="100"/>
      <c r="I76" s="100"/>
      <c r="J76" s="100"/>
      <c r="K76" s="100"/>
      <c r="L76" s="100"/>
      <c r="M76" s="100"/>
    </row>
    <row r="78">
      <c r="B78" s="98" t="s">
        <v>233</v>
      </c>
      <c r="C78" s="98"/>
      <c r="D78" s="98"/>
      <c r="E78" s="98"/>
      <c r="F78" s="98"/>
      <c r="G78" s="98"/>
      <c r="H78" s="98"/>
      <c r="I78" s="98"/>
      <c r="J78" s="98"/>
      <c r="K78" s="98"/>
      <c r="L78" s="98"/>
      <c r="M78" s="98"/>
    </row>
    <row r="79">
      <c r="B79" t="s">
        <v>178</v>
      </c>
      <c r="C79" t="s">
        <v>179</v>
      </c>
      <c r="D79" t="s">
        <v>185</v>
      </c>
      <c r="E79" t="s">
        <v>186</v>
      </c>
      <c r="F79" t="s">
        <v>187</v>
      </c>
      <c r="G79" t="s">
        <v>188</v>
      </c>
      <c r="H79" t="s">
        <v>189</v>
      </c>
      <c r="I79" t="s">
        <v>190</v>
      </c>
      <c r="J79" t="s">
        <v>191</v>
      </c>
      <c r="K79" t="s">
        <v>175</v>
      </c>
      <c r="L79" t="s">
        <v>176</v>
      </c>
      <c r="M79" t="s">
        <v>177</v>
      </c>
    </row>
    <row r="80">
      <c r="B80" t="s">
        <v>192</v>
      </c>
      <c r="C80" t="s">
        <v>193</v>
      </c>
      <c r="D80" s="99" t="n">
        <f t="shared" ref="D80:M80" si="22">(D4/D29-1)</f>
        <v>-2.3326411687273341E-3</v>
      </c>
      <c r="E80" s="99" t="n">
        <f t="shared" si="22"/>
        <v>-2.4931864868551479E-3</v>
      </c>
      <c r="F80" s="99" t="n">
        <f t="shared" si="22"/>
        <v>-2.4936400617301402E-3</v>
      </c>
      <c r="G80" s="99" t="n">
        <f t="shared" si="22"/>
        <v>-2.5285885995537383E-3</v>
      </c>
      <c r="H80" s="99" t="n">
        <f t="shared" si="22"/>
        <v>-2.5542337493092981E-3</v>
      </c>
      <c r="I80" s="99" t="n">
        <f t="shared" si="22"/>
        <v>-2.6587006498310917E-3</v>
      </c>
      <c r="J80" s="99" t="n">
        <f t="shared" si="22"/>
        <v>-2.8339968023365358E-3</v>
      </c>
      <c r="K80" s="99" t="n">
        <f t="shared" si="22"/>
        <v>-2.8312329531652303E-3</v>
      </c>
      <c r="L80" s="99" t="n">
        <f t="shared" si="22"/>
        <v>-2.8266367580910279E-3</v>
      </c>
      <c r="M80" s="99" t="n">
        <f t="shared" si="22"/>
        <v>-2.992942134190435E-3</v>
      </c>
    </row>
    <row r="81">
      <c r="B81" t="s">
        <v>134</v>
      </c>
      <c r="C81" t="s">
        <v>194</v>
      </c>
      <c r="D81" s="99" t="n">
        <f t="shared" ref="D81:M81" si="23">(D5/D30-1)</f>
        <v>0</v>
      </c>
      <c r="E81" s="99" t="n">
        <f t="shared" si="23"/>
        <v>0</v>
      </c>
      <c r="F81" s="99" t="n">
        <f t="shared" si="23"/>
        <v>0</v>
      </c>
      <c r="G81" s="99" t="n">
        <f t="shared" si="23"/>
        <v>0</v>
      </c>
      <c r="H81" s="99" t="n">
        <f t="shared" si="23"/>
        <v>0</v>
      </c>
      <c r="I81" s="99" t="n">
        <f t="shared" si="23"/>
        <v>0</v>
      </c>
      <c r="J81" s="99" t="n">
        <f t="shared" si="23"/>
        <v>0</v>
      </c>
      <c r="K81" s="99" t="n">
        <f t="shared" si="23"/>
        <v>0</v>
      </c>
      <c r="L81" s="99" t="n">
        <f t="shared" si="23"/>
        <v>0</v>
      </c>
      <c r="M81" s="99" t="n">
        <f t="shared" si="23"/>
        <v>0</v>
      </c>
    </row>
    <row r="82">
      <c r="B82" t="s">
        <v>195</v>
      </c>
      <c r="C82" t="s">
        <v>196</v>
      </c>
      <c r="D82" s="99" t="n">
        <f t="shared" ref="D82:M82" si="24">(D6/D31-1)</f>
        <v>-5.903536218199168E-5</v>
      </c>
      <c r="E82" s="99" t="n">
        <f t="shared" si="24"/>
        <v>-5.9035362182102702E-5</v>
      </c>
      <c r="F82" s="99" t="n">
        <f t="shared" si="24"/>
        <v>-5.9035362182213724E-5</v>
      </c>
      <c r="G82" s="99" t="n">
        <f t="shared" si="24"/>
        <v>-5.9035362182213724E-5</v>
      </c>
      <c r="H82" s="99" t="n">
        <f t="shared" si="24"/>
        <v>-5.9035362182102702E-5</v>
      </c>
      <c r="I82" s="99" t="n">
        <f t="shared" si="24"/>
        <v>-5.9035362182102702E-5</v>
      </c>
      <c r="J82" s="99" t="n">
        <f t="shared" si="24"/>
        <v>-5.9035362182102702E-5</v>
      </c>
      <c r="K82" s="99" t="n">
        <f t="shared" si="24"/>
        <v>-5.9035362182102702E-5</v>
      </c>
      <c r="L82" s="99" t="n">
        <f t="shared" si="24"/>
        <v>-5.9035362182213724E-5</v>
      </c>
      <c r="M82" s="99" t="n">
        <f t="shared" si="24"/>
        <v>-5.9035362182213724E-5</v>
      </c>
    </row>
    <row r="83">
      <c r="B83" t="s">
        <v>197</v>
      </c>
      <c r="C83" t="s">
        <v>198</v>
      </c>
      <c r="D83" s="99" t="n">
        <f t="shared" ref="D83:M83" si="25">(D7/D32-1)</f>
        <v>1.6005010264081854E-3</v>
      </c>
      <c r="E83" s="99" t="n">
        <f t="shared" si="25"/>
        <v>1.6005010264081854E-3</v>
      </c>
      <c r="F83" s="99" t="n">
        <f t="shared" si="25"/>
        <v>1.6005010264081854E-3</v>
      </c>
      <c r="G83" s="99" t="n">
        <f t="shared" si="25"/>
        <v>1.6005010264081854E-3</v>
      </c>
      <c r="H83" s="99" t="n">
        <f t="shared" si="25"/>
        <v>1.6005010264081854E-3</v>
      </c>
      <c r="I83" s="99" t="n">
        <f t="shared" si="25"/>
        <v>1.6005010264081854E-3</v>
      </c>
      <c r="J83" s="99" t="n">
        <f t="shared" si="25"/>
        <v>1.6005010264081854E-3</v>
      </c>
      <c r="K83" s="99" t="n">
        <f t="shared" si="25"/>
        <v>1.6005010264081854E-3</v>
      </c>
      <c r="L83" s="99" t="n">
        <f t="shared" si="25"/>
        <v>1.6005010264081854E-3</v>
      </c>
      <c r="M83" s="99" t="n">
        <f t="shared" si="25"/>
        <v>0</v>
      </c>
    </row>
    <row r="84">
      <c r="B84" t="s">
        <v>199</v>
      </c>
      <c r="C84" t="s">
        <v>200</v>
      </c>
      <c r="D84" s="99" t="n">
        <f t="shared" ref="D84:M84" si="26">(D8/D33-1)</f>
        <v>3.3728945759639029E-2</v>
      </c>
      <c r="E84" s="99" t="n">
        <f t="shared" si="26"/>
        <v>0</v>
      </c>
      <c r="F84" s="99" t="n">
        <f t="shared" si="26"/>
        <v>0</v>
      </c>
      <c r="G84" s="99" t="n">
        <f t="shared" si="26"/>
        <v>0</v>
      </c>
      <c r="H84" s="99" t="n">
        <f t="shared" si="26"/>
        <v>0</v>
      </c>
      <c r="I84" s="99" t="n">
        <f t="shared" si="26"/>
        <v>0</v>
      </c>
      <c r="J84" s="99" t="n">
        <f t="shared" si="26"/>
        <v>0</v>
      </c>
      <c r="K84" s="99" t="n">
        <f t="shared" si="26"/>
        <v>0</v>
      </c>
      <c r="L84" s="99" t="n">
        <f t="shared" si="26"/>
        <v>0</v>
      </c>
      <c r="M84" s="99" t="n">
        <f t="shared" si="26"/>
        <v>0</v>
      </c>
    </row>
    <row r="85">
      <c r="B85" t="s">
        <v>201</v>
      </c>
      <c r="C85" t="s">
        <v>202</v>
      </c>
      <c r="D85" s="99" t="n">
        <f t="shared" ref="D85:M85" si="27">(D9/D34-1)</f>
        <v>0</v>
      </c>
      <c r="E85" s="99" t="n">
        <f t="shared" si="27"/>
        <v>0</v>
      </c>
      <c r="F85" s="99" t="n">
        <f t="shared" si="27"/>
        <v>0</v>
      </c>
      <c r="G85" s="99" t="n">
        <f t="shared" si="27"/>
        <v>0</v>
      </c>
      <c r="H85" s="99" t="n">
        <f t="shared" si="27"/>
        <v>0</v>
      </c>
      <c r="I85" s="99" t="n">
        <f t="shared" si="27"/>
        <v>0</v>
      </c>
      <c r="J85" s="99" t="n">
        <f t="shared" si="27"/>
        <v>0</v>
      </c>
      <c r="K85" s="99" t="n">
        <f t="shared" si="27"/>
        <v>0</v>
      </c>
      <c r="L85" s="99" t="n">
        <f t="shared" si="27"/>
        <v>0</v>
      </c>
      <c r="M85" s="99" t="n">
        <f t="shared" si="27"/>
        <v>0</v>
      </c>
    </row>
    <row r="86">
      <c r="B86" t="s">
        <v>203</v>
      </c>
      <c r="C86" t="s">
        <v>204</v>
      </c>
      <c r="D86" s="99" t="n">
        <f t="shared" ref="D86:M86" si="28">(D10/D35-1)</f>
        <v>-0.24999999999999556</v>
      </c>
      <c r="E86" s="99" t="n">
        <f t="shared" si="28"/>
        <v>-0.25000000000000389</v>
      </c>
      <c r="F86" s="99" t="n">
        <f t="shared" si="28"/>
        <v>-0.24999999999999822</v>
      </c>
      <c r="G86" s="99" t="n">
        <f t="shared" si="28"/>
        <v>-0.25000000000000322</v>
      </c>
      <c r="H86" s="99" t="n">
        <f t="shared" si="28"/>
        <v>-0.24999999999999845</v>
      </c>
      <c r="I86" s="99" t="n">
        <f t="shared" si="28"/>
        <v>-0.24999999999999845</v>
      </c>
      <c r="J86" s="99" t="n">
        <f t="shared" si="28"/>
        <v>-0.25000000000000167</v>
      </c>
      <c r="K86" s="99" t="n">
        <f t="shared" si="28"/>
        <v>-0.25000000000000333</v>
      </c>
      <c r="L86" s="99" t="n">
        <f t="shared" si="28"/>
        <v>-0.25</v>
      </c>
      <c r="M86" s="99" t="n">
        <f t="shared" si="28"/>
        <v>-0.24999999999999833</v>
      </c>
    </row>
    <row r="87">
      <c r="B87" t="s">
        <v>205</v>
      </c>
      <c r="C87" t="s">
        <v>206</v>
      </c>
      <c r="D87" s="99" t="n">
        <f t="shared" ref="D87:M87" si="29">(D11/D36-1)</f>
        <v>4.9999999999998934E-3</v>
      </c>
      <c r="E87" s="99" t="n">
        <f t="shared" si="29"/>
        <v>4.9999999999998934E-3</v>
      </c>
      <c r="F87" s="99" t="n">
        <f t="shared" si="29"/>
        <v>4.9999999999998934E-3</v>
      </c>
      <c r="G87" s="99" t="n">
        <f t="shared" si="29"/>
        <v>4.9999999999998934E-3</v>
      </c>
      <c r="H87" s="99" t="n">
        <f t="shared" si="29"/>
        <v>4.9999999999998934E-3</v>
      </c>
      <c r="I87" s="99" t="n">
        <f t="shared" si="29"/>
        <v>4.9999999999998934E-3</v>
      </c>
      <c r="J87" s="99" t="n">
        <f t="shared" si="29"/>
        <v>4.9999999999998934E-3</v>
      </c>
      <c r="K87" s="99" t="n">
        <f t="shared" si="29"/>
        <v>4.9999999999996714E-3</v>
      </c>
      <c r="L87" s="99" t="n">
        <f t="shared" si="29"/>
        <v>4.9999999999996714E-3</v>
      </c>
      <c r="M87" s="99" t="n">
        <f t="shared" si="29"/>
        <v>4.9999999999994493E-3</v>
      </c>
    </row>
    <row r="88">
      <c r="B88" t="s">
        <v>207</v>
      </c>
      <c r="C88" t="s">
        <v>208</v>
      </c>
      <c r="D88" s="99" t="n">
        <f t="shared" ref="D88:M88" si="30">(D12/D37-1)</f>
        <v>1.3062277300579517E-4</v>
      </c>
      <c r="E88" s="99" t="n">
        <f t="shared" si="30"/>
        <v>2.2307284835518804E-3</v>
      </c>
      <c r="F88" s="99" t="n">
        <f t="shared" si="30"/>
        <v>1.5339141511406806E-2</v>
      </c>
      <c r="G88" s="99" t="n">
        <f t="shared" si="30"/>
        <v>5.6792987666651751E-3</v>
      </c>
      <c r="H88" s="99" t="n">
        <f t="shared" si="30"/>
        <v>6.4942317544249839E-3</v>
      </c>
      <c r="I88" s="99" t="n">
        <f t="shared" si="30"/>
        <v>7.318740973113913E-3</v>
      </c>
      <c r="J88" s="99" t="n">
        <f t="shared" si="30"/>
        <v>8.1439256208617472E-3</v>
      </c>
      <c r="K88" s="99" t="n">
        <f t="shared" si="30"/>
        <v>8.9697862509725557E-3</v>
      </c>
      <c r="L88" s="99" t="n">
        <f t="shared" si="30"/>
        <v>9.7157209750275975E-3</v>
      </c>
      <c r="M88" s="99" t="n">
        <f t="shared" si="30"/>
        <v>1.0542869202939453E-2</v>
      </c>
    </row>
    <row r="89">
      <c r="B89" t="s">
        <v>209</v>
      </c>
      <c r="C89" t="s">
        <v>210</v>
      </c>
      <c r="D89" s="99" t="n">
        <f t="shared" ref="D89:M89" si="31">(D13/D38-1)</f>
        <v>1.1088452714759001E-2</v>
      </c>
      <c r="E89" s="99" t="n">
        <f t="shared" si="31"/>
        <v>1.3211568020963682E-2</v>
      </c>
      <c r="F89" s="99" t="n">
        <f t="shared" si="31"/>
        <v>1.5339141511406806E-2</v>
      </c>
      <c r="G89" s="99" t="n">
        <f t="shared" si="31"/>
        <v>1.7471182547523556E-2</v>
      </c>
      <c r="H89" s="99" t="n">
        <f t="shared" si="31"/>
        <v>1.8304683965905566E-2</v>
      </c>
      <c r="I89" s="99" t="n">
        <f t="shared" si="31"/>
        <v>1.9138868179659374E-2</v>
      </c>
      <c r="J89" s="99" t="n">
        <f t="shared" si="31"/>
        <v>1.9973735748123778E-2</v>
      </c>
      <c r="K89" s="99" t="n">
        <f t="shared" si="31"/>
        <v>2.0809287231095652E-2</v>
      </c>
      <c r="L89" s="99" t="n">
        <f t="shared" si="31"/>
        <v>2.1645523188829952E-2</v>
      </c>
      <c r="M89" s="99" t="n">
        <f t="shared" si="31"/>
        <v>2.2482444182041483E-2</v>
      </c>
    </row>
    <row r="90">
      <c r="B90" t="s">
        <v>55</v>
      </c>
      <c r="C90" t="s">
        <v>211</v>
      </c>
      <c r="D90" s="99" t="n">
        <f t="shared" ref="D90:M90" si="32">(D14/D39-1)</f>
        <v>0</v>
      </c>
      <c r="E90" s="99" t="n">
        <f t="shared" si="32"/>
        <v>0</v>
      </c>
      <c r="F90" s="99" t="n">
        <f t="shared" si="32"/>
        <v>0</v>
      </c>
      <c r="G90" s="99" t="n">
        <f t="shared" si="32"/>
        <v>0</v>
      </c>
      <c r="H90" s="99" t="n">
        <f t="shared" si="32"/>
        <v>0</v>
      </c>
      <c r="I90" s="99" t="n">
        <f t="shared" si="32"/>
        <v>0</v>
      </c>
      <c r="J90" s="99" t="n">
        <f t="shared" si="32"/>
        <v>0</v>
      </c>
      <c r="K90" s="99" t="n">
        <f t="shared" si="32"/>
        <v>0</v>
      </c>
      <c r="L90" s="99" t="n">
        <f t="shared" si="32"/>
        <v>0</v>
      </c>
      <c r="M90" s="99" t="n">
        <f t="shared" si="32"/>
        <v>0</v>
      </c>
    </row>
    <row r="91">
      <c r="B91" t="s">
        <v>212</v>
      </c>
      <c r="C91" t="s">
        <v>213</v>
      </c>
      <c r="D91" s="99" t="e">
        <f t="shared" ref="D91:M91" si="33">(D15/D40-1)</f>
        <v>#DIV/0!</v>
      </c>
      <c r="E91" s="99" t="e">
        <f t="shared" si="33"/>
        <v>#DIV/0!</v>
      </c>
      <c r="F91" s="99" t="e">
        <f t="shared" si="33"/>
        <v>#DIV/0!</v>
      </c>
      <c r="G91" s="99" t="e">
        <f t="shared" si="33"/>
        <v>#DIV/0!</v>
      </c>
      <c r="H91" s="99" t="e">
        <f t="shared" si="33"/>
        <v>#DIV/0!</v>
      </c>
      <c r="I91" s="99" t="e">
        <f t="shared" si="33"/>
        <v>#DIV/0!</v>
      </c>
      <c r="J91" s="99" t="e">
        <f t="shared" si="33"/>
        <v>#DIV/0!</v>
      </c>
      <c r="K91" s="99" t="e">
        <f t="shared" si="33"/>
        <v>#DIV/0!</v>
      </c>
      <c r="L91" s="99" t="e">
        <f t="shared" si="33"/>
        <v>#DIV/0!</v>
      </c>
      <c r="M91" s="99" t="e">
        <f t="shared" si="33"/>
        <v>#DIV/0!</v>
      </c>
    </row>
    <row r="92">
      <c r="B92" t="s">
        <v>214</v>
      </c>
      <c r="C92" t="s">
        <v>215</v>
      </c>
      <c r="D92" s="99" t="e">
        <f t="shared" ref="D92:M92" si="34">(D16/D41-1)</f>
        <v>#DIV/0!</v>
      </c>
      <c r="E92" s="99" t="e">
        <f t="shared" si="34"/>
        <v>#DIV/0!</v>
      </c>
      <c r="F92" s="99" t="e">
        <f t="shared" si="34"/>
        <v>#DIV/0!</v>
      </c>
      <c r="G92" s="99" t="e">
        <f t="shared" si="34"/>
        <v>#DIV/0!</v>
      </c>
      <c r="H92" s="99" t="e">
        <f t="shared" si="34"/>
        <v>#DIV/0!</v>
      </c>
      <c r="I92" s="99" t="e">
        <f t="shared" si="34"/>
        <v>#DIV/0!</v>
      </c>
      <c r="J92" s="99" t="e">
        <f t="shared" si="34"/>
        <v>#DIV/0!</v>
      </c>
      <c r="K92" s="99" t="e">
        <f t="shared" si="34"/>
        <v>#DIV/0!</v>
      </c>
      <c r="L92" s="99" t="e">
        <f t="shared" si="34"/>
        <v>#DIV/0!</v>
      </c>
      <c r="M92" s="99" t="e">
        <f t="shared" si="34"/>
        <v>#DIV/0!</v>
      </c>
    </row>
    <row r="93">
      <c r="B93" t="s">
        <v>216</v>
      </c>
      <c r="C93" t="s">
        <v>217</v>
      </c>
      <c r="D93" s="99" t="n">
        <f t="shared" ref="D93:M93" si="35">(D17/D42-1)</f>
        <v>0</v>
      </c>
      <c r="E93" s="99" t="n">
        <f t="shared" si="35"/>
        <v>0</v>
      </c>
      <c r="F93" s="99" t="n">
        <f t="shared" si="35"/>
        <v>0</v>
      </c>
      <c r="G93" s="99" t="n">
        <f t="shared" si="35"/>
        <v>0</v>
      </c>
      <c r="H93" s="99" t="n">
        <f t="shared" si="35"/>
        <v>0</v>
      </c>
      <c r="I93" s="99" t="n">
        <f t="shared" si="35"/>
        <v>0</v>
      </c>
      <c r="J93" s="99" t="n">
        <f t="shared" si="35"/>
        <v>0</v>
      </c>
      <c r="K93" s="99" t="n">
        <f t="shared" si="35"/>
        <v>0</v>
      </c>
      <c r="L93" s="99" t="n">
        <f t="shared" si="35"/>
        <v>0</v>
      </c>
      <c r="M93" s="99" t="n">
        <f t="shared" si="35"/>
        <v>0</v>
      </c>
    </row>
    <row r="94">
      <c r="B94" t="s">
        <v>218</v>
      </c>
      <c r="C94" t="s">
        <v>219</v>
      </c>
      <c r="D94" s="99" t="n">
        <f t="shared" ref="D94:M94" si="36">(D18/D43-1)</f>
        <v>0</v>
      </c>
      <c r="E94" s="99" t="n">
        <f t="shared" si="36"/>
        <v>0</v>
      </c>
      <c r="F94" s="99" t="n">
        <f t="shared" si="36"/>
        <v>0</v>
      </c>
      <c r="G94" s="99" t="n">
        <f t="shared" si="36"/>
        <v>0</v>
      </c>
      <c r="H94" s="99" t="n">
        <f t="shared" si="36"/>
        <v>0</v>
      </c>
      <c r="I94" s="99" t="n">
        <f t="shared" si="36"/>
        <v>0</v>
      </c>
      <c r="J94" s="99" t="n">
        <f t="shared" si="36"/>
        <v>0</v>
      </c>
      <c r="K94" s="99" t="n">
        <f t="shared" si="36"/>
        <v>0</v>
      </c>
      <c r="L94" s="99" t="n">
        <f t="shared" si="36"/>
        <v>0</v>
      </c>
      <c r="M94" s="99" t="n">
        <f t="shared" si="36"/>
        <v>0</v>
      </c>
    </row>
    <row r="95">
      <c r="B95" t="s">
        <v>220</v>
      </c>
      <c r="C95" t="s">
        <v>221</v>
      </c>
      <c r="D95" s="99" t="n">
        <f t="shared" ref="D95:M95" si="37">(D19/D44-1)</f>
        <v>1.6286867425949758E-3</v>
      </c>
      <c r="E95" s="99" t="n">
        <f t="shared" si="37"/>
        <v>1.5499803864187367E-3</v>
      </c>
      <c r="F95" s="99" t="n">
        <f t="shared" si="37"/>
        <v>1.5444473654009361E-3</v>
      </c>
      <c r="G95" s="99" t="n">
        <f t="shared" si="37"/>
        <v>1.538953706720303E-3</v>
      </c>
      <c r="H95" s="99" t="n">
        <f t="shared" si="37"/>
        <v>1.5385244992405234E-3</v>
      </c>
      <c r="I95" s="99" t="n">
        <f t="shared" si="37"/>
        <v>1.5145399717719776E-3</v>
      </c>
      <c r="J95" s="99" t="n">
        <f t="shared" si="37"/>
        <v>1.5092927031343795E-3</v>
      </c>
      <c r="K95" s="99" t="n">
        <f t="shared" si="37"/>
        <v>1.5040816682898583E-3</v>
      </c>
      <c r="L95" s="99" t="n">
        <f t="shared" si="37"/>
        <v>1.4977815582453147E-3</v>
      </c>
      <c r="M95" s="99" t="n">
        <f t="shared" si="37"/>
        <v>1.4806583321220756E-3</v>
      </c>
    </row>
    <row r="96">
      <c r="B96" t="s">
        <v>222</v>
      </c>
      <c r="C96" t="s">
        <v>223</v>
      </c>
      <c r="D96" s="99" t="n">
        <f t="shared" ref="D96:M96" si="38">(D20/D45-1)</f>
        <v>2.4086712163791102E-3</v>
      </c>
      <c r="E96" s="99" t="n">
        <f t="shared" si="38"/>
        <v>3.3302080821346891E-3</v>
      </c>
      <c r="F96" s="99" t="n">
        <f t="shared" si="38"/>
        <v>3.3302080821346891E-3</v>
      </c>
      <c r="G96" s="99" t="n">
        <f t="shared" si="38"/>
        <v>3.3302080821349112E-3</v>
      </c>
      <c r="H96" s="99" t="n">
        <f t="shared" si="38"/>
        <v>3.3302080821349112E-3</v>
      </c>
      <c r="I96" s="99" t="n">
        <f t="shared" si="38"/>
        <v>3.3302080821349112E-3</v>
      </c>
      <c r="J96" s="99" t="n">
        <f t="shared" si="38"/>
        <v>3.3302080821349112E-3</v>
      </c>
      <c r="K96" s="99" t="n">
        <f t="shared" si="38"/>
        <v>3.3302080821349112E-3</v>
      </c>
      <c r="L96" s="99" t="n">
        <f t="shared" si="38"/>
        <v>3.3302080821351332E-3</v>
      </c>
      <c r="M96" s="99" t="n">
        <f t="shared" si="38"/>
        <v>3.3302080821351332E-3</v>
      </c>
    </row>
    <row r="97">
      <c r="B97" t="s">
        <v>224</v>
      </c>
      <c r="C97" t="s">
        <v>225</v>
      </c>
      <c r="D97" s="99" t="n">
        <f t="shared" ref="D97:M97" si="39">(D21/D46-1)</f>
        <v>3.7979155626213235E-3</v>
      </c>
      <c r="E97" s="99" t="n">
        <f t="shared" si="39"/>
        <v>3.9083011192919681E-3</v>
      </c>
      <c r="F97" s="99" t="n">
        <f t="shared" si="39"/>
        <v>3.9757001305302797E-3</v>
      </c>
      <c r="G97" s="99" t="n">
        <f t="shared" si="39"/>
        <v>4.0433572701195075E-3</v>
      </c>
      <c r="H97" s="99" t="n">
        <f t="shared" si="39"/>
        <v>4.0930511658812119E-3</v>
      </c>
      <c r="I97" s="99" t="n">
        <f t="shared" si="39"/>
        <v>4.1474054276571248E-3</v>
      </c>
      <c r="J97" s="99" t="n">
        <f t="shared" si="39"/>
        <v>4.2018728577282172E-3</v>
      </c>
      <c r="K97" s="99" t="n">
        <f t="shared" si="39"/>
        <v>4.2564463493777183E-3</v>
      </c>
      <c r="L97" s="99" t="n">
        <f t="shared" si="39"/>
        <v>4.2783316756926926E-3</v>
      </c>
      <c r="M97" s="99" t="n">
        <f t="shared" si="39"/>
        <v>4.3002419578352935E-3</v>
      </c>
    </row>
    <row r="98">
      <c r="B98" t="s">
        <v>226</v>
      </c>
      <c r="C98" t="s">
        <v>227</v>
      </c>
      <c r="D98" s="99" t="n">
        <f t="shared" ref="D98:M98" si="40">(D22/D47-1)</f>
        <v>-2.8107716021399387E-3</v>
      </c>
      <c r="E98" s="99" t="n">
        <f t="shared" si="40"/>
        <v>-2.8120069819143056E-3</v>
      </c>
      <c r="F98" s="99" t="n">
        <f t="shared" si="40"/>
        <v>-2.8179700754615844E-3</v>
      </c>
      <c r="G98" s="99" t="n">
        <f t="shared" si="40"/>
        <v>-2.8206155920215137E-3</v>
      </c>
      <c r="H98" s="99" t="n">
        <f t="shared" si="40"/>
        <v>-2.8251942184361889E-3</v>
      </c>
      <c r="I98" s="99" t="n">
        <f t="shared" si="40"/>
        <v>-2.8270184463337067E-3</v>
      </c>
      <c r="J98" s="99" t="n">
        <f t="shared" si="40"/>
        <v>-2.828004878883239E-3</v>
      </c>
      <c r="K98" s="99" t="n">
        <f t="shared" si="40"/>
        <v>-2.8292100531128739E-3</v>
      </c>
      <c r="L98" s="99" t="n">
        <f t="shared" si="40"/>
        <v>-2.8296452741264355E-3</v>
      </c>
      <c r="M98" s="99" t="n">
        <f t="shared" si="40"/>
        <v>-2.8301649301346599E-3</v>
      </c>
    </row>
    <row r="99">
      <c r="B99" t="s">
        <v>228</v>
      </c>
      <c r="C99" t="s">
        <v>229</v>
      </c>
      <c r="D99" s="99" t="n">
        <f t="shared" ref="D99:M99" si="41">(D23/D48-1)</f>
        <v>0</v>
      </c>
      <c r="E99" s="99" t="n">
        <f t="shared" si="41"/>
        <v>0</v>
      </c>
      <c r="F99" s="99" t="n">
        <f t="shared" si="41"/>
        <v>0</v>
      </c>
      <c r="G99" s="99" t="n">
        <f t="shared" si="41"/>
        <v>0</v>
      </c>
      <c r="H99" s="99" t="n">
        <f t="shared" si="41"/>
        <v>0</v>
      </c>
      <c r="I99" s="99" t="n">
        <f t="shared" si="41"/>
        <v>0</v>
      </c>
      <c r="J99" s="99" t="n">
        <f t="shared" si="41"/>
        <v>0</v>
      </c>
      <c r="K99" s="99" t="n">
        <f t="shared" si="41"/>
        <v>0</v>
      </c>
      <c r="L99" s="99" t="n">
        <f t="shared" si="41"/>
        <v>0</v>
      </c>
      <c r="M99" s="99" t="n">
        <f t="shared" si="41"/>
        <v>0</v>
      </c>
    </row>
    <row r="100">
      <c r="B100" t="s">
        <v>230</v>
      </c>
      <c r="C100" t="s">
        <v>231</v>
      </c>
      <c r="D100" s="99" t="n">
        <f t="shared" ref="D100:M100" si="42">(D24/D49-1)</f>
        <v>0</v>
      </c>
      <c r="E100" s="99" t="n">
        <f t="shared" si="42"/>
        <v>0</v>
      </c>
      <c r="F100" s="99" t="n">
        <f t="shared" si="42"/>
        <v>0</v>
      </c>
      <c r="G100" s="99" t="n">
        <f t="shared" si="42"/>
        <v>0</v>
      </c>
      <c r="H100" s="99" t="n">
        <f t="shared" si="42"/>
        <v>0</v>
      </c>
      <c r="I100" s="99" t="n">
        <f t="shared" si="42"/>
        <v>0</v>
      </c>
      <c r="J100" s="99" t="n">
        <f t="shared" si="42"/>
        <v>0</v>
      </c>
      <c r="K100" s="99" t="n">
        <f t="shared" si="42"/>
        <v>0</v>
      </c>
      <c r="L100" s="99" t="n">
        <f t="shared" si="42"/>
        <v>0</v>
      </c>
      <c r="M100" s="99" t="n">
        <f t="shared" si="42"/>
        <v>0</v>
      </c>
    </row>
    <row r="101">
      <c r="B101" s="63" t="s">
        <v>1464</v>
      </c>
      <c r="C101" s="63" t="s">
        <v>1463</v>
      </c>
      <c r="D101" s="99" t="e">
        <f t="shared" ref="D101:M101" si="43">(D25/D50-1)</f>
        <v>#DIV/0!</v>
      </c>
      <c r="E101" s="99" t="e">
        <f t="shared" si="43"/>
        <v>#DIV/0!</v>
      </c>
      <c r="F101" s="99" t="e">
        <f t="shared" si="43"/>
        <v>#DIV/0!</v>
      </c>
      <c r="G101" s="99" t="n">
        <f t="shared" si="43"/>
        <v>0</v>
      </c>
      <c r="H101" s="99" t="n">
        <f t="shared" si="43"/>
        <v>0</v>
      </c>
      <c r="I101" s="99" t="n">
        <f t="shared" si="43"/>
        <v>0</v>
      </c>
      <c r="J101" s="99" t="n">
        <f t="shared" si="43"/>
        <v>0</v>
      </c>
      <c r="K101" s="99" t="n">
        <f t="shared" si="43"/>
        <v>0</v>
      </c>
      <c r="L101" s="99" t="n">
        <f t="shared" si="43"/>
        <v>0</v>
      </c>
      <c r="M101" s="99" t="n">
        <f t="shared" si="43"/>
        <v>0</v>
      </c>
    </row>
  </sheetData>
  <mergeCells count="4">
    <mergeCell ref="B2:M2"/>
    <mergeCell ref="B78:M78"/>
    <mergeCell ref="B52:M52"/>
    <mergeCell ref="B27:M27"/>
  </mergeCells>
  <conditionalFormatting sqref="D80:M101 D54:M76">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A2" sqref="A2:L23"/>
    </sheetView>
  </sheetViews>
  <sheetFormatPr defaultRowHeight="15.0" baseColWidth="10"/>
  <cols>
    <col min="1" max="1" width="41.140625" hidden="0" customWidth="1"/>
    <col min="2" max="2" width="23.4257812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 min="8" max="8" width="10.42578125" hidden="0" customWidth="1"/>
  </cols>
  <sheetData>
    <row r="1">
      <c r="A1" s="103" t="s">
        <v>178</v>
      </c>
      <c r="B1" s="103" t="s">
        <v>179</v>
      </c>
      <c r="C1" s="104" t="s">
        <v>185</v>
      </c>
      <c r="D1" s="104" t="s">
        <v>186</v>
      </c>
      <c r="E1" s="104" t="s">
        <v>187</v>
      </c>
      <c r="F1" s="104" t="s">
        <v>188</v>
      </c>
      <c r="G1" s="104" t="s">
        <v>189</v>
      </c>
      <c r="H1" s="104" t="s">
        <v>190</v>
      </c>
      <c r="I1" s="104" t="s">
        <v>191</v>
      </c>
      <c r="J1" s="104" t="s">
        <v>175</v>
      </c>
      <c r="K1" s="104" t="s">
        <v>176</v>
      </c>
      <c r="L1" s="104" t="s">
        <v>177</v>
      </c>
      <c r="M1" s="103"/>
    </row>
    <row r="2">
      <c r="A2" t="s">
        <v>192</v>
      </c>
      <c r="B2" t="s">
        <v>193</v>
      </c>
      <c r="C2" s="100" t="n">
        <f>Grants!T79</f>
        <v>418.716928</v>
      </c>
      <c r="D2" s="100" t="n">
        <f>Grants!U79</f>
        <v>395.55067787919143</v>
      </c>
      <c r="E2" s="100" t="n">
        <f>Grants!V79</f>
        <v>399.37536121583202</v>
      </c>
      <c r="F2" s="100" t="n">
        <f>Grants!W79</f>
        <v>397.7223326820897</v>
      </c>
      <c r="G2" s="100" t="n">
        <f>Grants!X79</f>
        <v>397.59845066666662</v>
      </c>
      <c r="H2" s="100" t="n">
        <f>Grants!Y79</f>
        <v>385.69919062635915</v>
      </c>
      <c r="I2" s="100" t="n">
        <f>Grants!Z79</f>
        <v>365.34301490446529</v>
      </c>
      <c r="J2" s="100" t="n">
        <f>Grants!AA79</f>
        <v>369.30407374937334</v>
      </c>
      <c r="K2" s="100" t="n">
        <f>Grants!AB79</f>
        <v>373.5511150333333</v>
      </c>
      <c r="L2" s="100" t="n">
        <f>Grants!AC79</f>
        <v>356.21123877141349</v>
      </c>
      <c r="M2" s="100"/>
    </row>
    <row r="3">
      <c r="A3" t="s">
        <v>134</v>
      </c>
      <c r="B3" t="s">
        <v>194</v>
      </c>
      <c r="C3" s="100" t="n">
        <f>Grants!T99</f>
        <v>76.15900000000002</v>
      </c>
      <c r="D3" s="100" t="n">
        <f>Grants!U99</f>
        <v>76.15900000000002</v>
      </c>
      <c r="E3" s="100" t="n">
        <f>Grants!V99</f>
        <v>76.15900000000002</v>
      </c>
      <c r="F3" s="100" t="n">
        <f>Grants!W99</f>
        <v>76.15900000000002</v>
      </c>
      <c r="G3" s="100" t="n">
        <f>Grants!X99</f>
        <v>77.818000000000012</v>
      </c>
      <c r="H3" s="100" t="n">
        <f>Grants!Y99</f>
        <v>77.818000000000012</v>
      </c>
      <c r="I3" s="100" t="n">
        <f>Grants!Z99</f>
        <v>77.818000000000012</v>
      </c>
      <c r="J3" s="100" t="n">
        <f>Grants!AA99</f>
        <v>77.818000000000012</v>
      </c>
      <c r="K3" s="100" t="n">
        <f>Grants!AB99</f>
        <v>79.41200000000002</v>
      </c>
      <c r="L3" s="100" t="n">
        <f>Grants!AC99</f>
        <v>79.41200000000002</v>
      </c>
      <c r="M3" s="100"/>
    </row>
    <row r="4">
      <c r="A4" t="s">
        <v>195</v>
      </c>
      <c r="B4" t="s">
        <v>196</v>
      </c>
      <c r="C4" s="100" t="n">
        <f>'Federal and State Purchases'!T11</f>
        <v>1693.8</v>
      </c>
      <c r="D4" s="100" t="n">
        <f>'Federal and State Purchases'!U11</f>
        <v>1711.4924720854842</v>
      </c>
      <c r="E4" s="100" t="n">
        <f>'Federal and State Purchases'!V11</f>
        <v>1727.5580501860964</v>
      </c>
      <c r="F4" s="100" t="n">
        <f>'Federal and State Purchases'!W11</f>
        <v>1750.0295233521426</v>
      </c>
      <c r="G4" s="100" t="n">
        <f>'Federal and State Purchases'!X11</f>
        <v>1769.9589746668264</v>
      </c>
      <c r="H4" s="100" t="n">
        <f>'Federal and State Purchases'!Y11</f>
        <v>1787.7531276263653</v>
      </c>
      <c r="I4" s="100" t="n">
        <f>'Federal and State Purchases'!Z11</f>
        <v>1804.0220674750865</v>
      </c>
      <c r="J4" s="100" t="n">
        <f>'Federal and State Purchases'!AA11</f>
        <v>1820.4943690719167</v>
      </c>
      <c r="K4" s="100" t="n">
        <f>'Federal and State Purchases'!AB11</f>
        <v>1835.8481810541475</v>
      </c>
      <c r="L4" s="100" t="n">
        <f>'Federal and State Purchases'!AC11</f>
        <v>1849.5750990515062</v>
      </c>
      <c r="M4" s="100"/>
    </row>
    <row r="5">
      <c r="A5" t="s">
        <v>197</v>
      </c>
      <c r="B5" t="s">
        <v>198</v>
      </c>
      <c r="C5" s="100" t="n">
        <f>'Federal and State Purchases'!T26</f>
        <v>2878.7</v>
      </c>
      <c r="D5" s="100" t="n">
        <f>'Federal and State Purchases'!U26</f>
        <v>2907.7767650029605</v>
      </c>
      <c r="E5" s="100" t="n">
        <f>'Federal and State Purchases'!V26</f>
        <v>2940.4630594545642</v>
      </c>
      <c r="F5" s="100" t="n">
        <f>'Federal and State Purchases'!W26</f>
        <v>2978.4633833722264</v>
      </c>
      <c r="G5" s="100" t="n">
        <f>'Federal and State Purchases'!X26</f>
        <v>3010.8488837031105</v>
      </c>
      <c r="H5" s="100" t="n">
        <f>'Federal and State Purchases'!Y26</f>
        <v>3042.4322663787398</v>
      </c>
      <c r="I5" s="100" t="n">
        <f>'Federal and State Purchases'!Z26</f>
        <v>3070.6066490195394</v>
      </c>
      <c r="J5" s="100" t="n">
        <f>'Federal and State Purchases'!AA26</f>
        <v>3098.279708125805</v>
      </c>
      <c r="K5" s="100" t="n">
        <f>'Federal and State Purchases'!AB26</f>
        <v>3125.8525025251643</v>
      </c>
      <c r="L5" s="100" t="n">
        <f>'Federal and State Purchases'!AC26</f>
        <v>3146.1</v>
      </c>
      <c r="M5" s="100"/>
    </row>
    <row r="6">
      <c r="A6" t="s">
        <v>199</v>
      </c>
      <c r="B6" t="s">
        <v>200</v>
      </c>
      <c r="C6" s="100" t="n">
        <f>Subsidies!T46</f>
        <v>98.073999999999998</v>
      </c>
      <c r="D6" s="100" t="n">
        <f>Subsidies!U46</f>
        <v>83.295999999999992</v>
      </c>
      <c r="E6" s="100" t="n">
        <f>Subsidies!V46</f>
        <v>75.782000000000011</v>
      </c>
      <c r="F6" s="100" t="n">
        <f>Subsidies!W46</f>
        <v>75.782000000000011</v>
      </c>
      <c r="G6" s="100" t="n">
        <f>Subsidies!X46</f>
        <v>84.266000000000005</v>
      </c>
      <c r="H6" s="100" t="n">
        <f>Subsidies!Y46</f>
        <v>84.266000000000005</v>
      </c>
      <c r="I6" s="100" t="n">
        <f>Subsidies!Z46</f>
        <v>84.266000000000005</v>
      </c>
      <c r="J6" s="100" t="n">
        <f>Subsidies!AA46</f>
        <v>84.266000000000005</v>
      </c>
      <c r="K6" s="100" t="n">
        <f>Subsidies!AB46</f>
        <v>91.364999999999995</v>
      </c>
      <c r="L6" s="100" t="n">
        <f>Subsidies!AC46</f>
        <v>91.364999999999995</v>
      </c>
      <c r="M6" s="100"/>
    </row>
    <row r="7">
      <c r="A7" t="s">
        <v>201</v>
      </c>
      <c r="B7" t="s">
        <v>202</v>
      </c>
      <c r="C7" s="100" t="n">
        <f>Subsidies!T45</f>
        <v>12.726000000000001</v>
      </c>
      <c r="D7" s="100" t="n">
        <f>Subsidies!U45</f>
        <v>12.726000000000001</v>
      </c>
      <c r="E7" s="100" t="n">
        <f>Subsidies!V45</f>
        <v>12.726000000000001</v>
      </c>
      <c r="F7" s="100" t="n">
        <f>Subsidies!W45</f>
        <v>12.726000000000001</v>
      </c>
      <c r="G7" s="100" t="n">
        <f>Subsidies!X45</f>
        <v>1.365</v>
      </c>
      <c r="H7" s="100" t="n">
        <f>Subsidies!Y45</f>
        <v>1.365</v>
      </c>
      <c r="I7" s="100" t="n">
        <f>Subsidies!Z45</f>
        <v>1.365</v>
      </c>
      <c r="J7" s="100" t="n">
        <f>Subsidies!AA45</f>
        <v>1.365</v>
      </c>
      <c r="K7" s="100" t="n">
        <f>Subsidies!AB45</f>
        <v>-0.90100000000000025</v>
      </c>
      <c r="L7" s="100" t="n">
        <f>Subsidies!AC45</f>
        <v>-0.90100000000000025</v>
      </c>
      <c r="M7" s="100"/>
    </row>
    <row r="8">
      <c r="A8" t="s">
        <v>203</v>
      </c>
      <c r="B8" t="s">
        <v>204</v>
      </c>
      <c r="C8" s="100" t="n">
        <f>'Unemployment Insurance'!T19</f>
        <v>0.30000000000000071</v>
      </c>
      <c r="D8" s="100" t="n">
        <f>'Unemployment Insurance'!U19</f>
        <v>0.34158333333333246</v>
      </c>
      <c r="E8" s="100" t="n">
        <f>'Unemployment Insurance'!V19</f>
        <v>0.38325000000000031</v>
      </c>
      <c r="F8" s="100" t="n">
        <f>'Unemployment Insurance'!W19</f>
        <v>0.40824999999999889</v>
      </c>
      <c r="G8" s="100" t="n">
        <f>'Unemployment Insurance'!X19</f>
        <v>0.42616666666666703</v>
      </c>
      <c r="H8" s="100" t="n">
        <f>'Unemployment Insurance'!Y19</f>
        <v>0.42491666666666816</v>
      </c>
      <c r="I8" s="100" t="n">
        <f>'Unemployment Insurance'!Z19</f>
        <v>0.41191666666666649</v>
      </c>
      <c r="J8" s="100" t="n">
        <f>'Unemployment Insurance'!AA19</f>
        <v>0.40491666666666504</v>
      </c>
      <c r="K8" s="100" t="n">
        <f>'Unemployment Insurance'!AB19</f>
        <v>0.39991666666666603</v>
      </c>
      <c r="L8" s="100" t="n">
        <f>'Unemployment Insurance'!AC19</f>
        <v>0.39799999999999969</v>
      </c>
      <c r="M8" s="100"/>
    </row>
    <row r="9">
      <c r="A9" t="s">
        <v>205</v>
      </c>
      <c r="B9" t="s">
        <v>206</v>
      </c>
      <c r="C9" s="100" t="n">
        <f>'Unemployment Insurance'!T20</f>
        <v>20.099999999999998</v>
      </c>
      <c r="D9" s="100" t="n">
        <f>'Unemployment Insurance'!U20</f>
        <v>22.886083333333332</v>
      </c>
      <c r="E9" s="100" t="n">
        <f>'Unemployment Insurance'!V20</f>
        <v>25.677749999999996</v>
      </c>
      <c r="F9" s="100" t="n">
        <f>'Unemployment Insurance'!W20</f>
        <v>27.352749999999993</v>
      </c>
      <c r="G9" s="100" t="n">
        <f>'Unemployment Insurance'!X20</f>
        <v>28.553166666666659</v>
      </c>
      <c r="H9" s="100" t="n">
        <f>'Unemployment Insurance'!Y20</f>
        <v>28.46941666666666</v>
      </c>
      <c r="I9" s="100" t="n">
        <f>'Unemployment Insurance'!Z20</f>
        <v>27.598416666666658</v>
      </c>
      <c r="J9" s="100" t="n">
        <f>'Unemployment Insurance'!AA20</f>
        <v>27.129416666666657</v>
      </c>
      <c r="K9" s="100" t="n">
        <f>'Unemployment Insurance'!AB20</f>
        <v>26.794416666666656</v>
      </c>
      <c r="L9" s="100" t="n">
        <f>'Unemployment Insurance'!AC20</f>
        <v>26.665999999999986</v>
      </c>
      <c r="M9" s="100"/>
    </row>
    <row r="10">
      <c r="A10" s="63" t="s">
        <v>207</v>
      </c>
      <c r="B10" s="63" t="s">
        <v>208</v>
      </c>
      <c r="C10" s="100" t="n">
        <f>Medicaid!T28</f>
        <v>604.87400000000002</v>
      </c>
      <c r="D10" s="100" t="n">
        <f>Medicaid!U28</f>
        <v>607.40230668028107</v>
      </c>
      <c r="E10" s="100" t="n">
        <f>Medicaid!V28</f>
        <v>589.55996124169314</v>
      </c>
      <c r="F10" s="100" t="n">
        <f>Medicaid!W28</f>
        <v>572.32620043872669</v>
      </c>
      <c r="G10" s="100" t="n">
        <f>Medicaid!X28</f>
        <v>565.35156818531721</v>
      </c>
      <c r="H10" s="100" t="n">
        <f>Medicaid!Y28</f>
        <v>558.88844569073513</v>
      </c>
      <c r="I10" s="100" t="n">
        <f>Medicaid!Z28</f>
        <v>552.4992098796447</v>
      </c>
      <c r="J10" s="100" t="n">
        <f>Medicaid!AA28</f>
        <v>546.18301607642627</v>
      </c>
      <c r="K10" s="100" t="n">
        <f>Medicaid!AB28</f>
        <v>536.24818151910517</v>
      </c>
      <c r="L10" s="100" t="n">
        <f>Medicaid!AC28</f>
        <v>530.11777014379129</v>
      </c>
      <c r="M10" s="100"/>
    </row>
    <row r="11">
      <c r="A11" s="63" t="s">
        <v>209</v>
      </c>
      <c r="B11" s="63" t="s">
        <v>210</v>
      </c>
      <c r="C11" s="100" t="n">
        <f>Medicaid!T26</f>
        <v>793.3</v>
      </c>
      <c r="D11" s="100" t="n">
        <f>Medicaid!U26</f>
        <v>796.61590660115485</v>
      </c>
      <c r="E11" s="100" t="n">
        <f>Medicaid!V26</f>
        <v>799.94567332658505</v>
      </c>
      <c r="F11" s="100" t="n">
        <f>Medicaid!W26</f>
        <v>803.28935811008296</v>
      </c>
      <c r="G11" s="100" t="n">
        <f>Medicaid!X26</f>
        <v>794.10612096664613</v>
      </c>
      <c r="H11" s="100" t="n">
        <f>Medicaid!Y26</f>
        <v>785.02786696979422</v>
      </c>
      <c r="I11" s="100" t="n">
        <f>Medicaid!Z26</f>
        <v>776.05339594785642</v>
      </c>
      <c r="J11" s="100" t="n">
        <f>Medicaid!AA26</f>
        <v>767.18152144957389</v>
      </c>
      <c r="K11" s="100" t="n">
        <f>Medicaid!AB26</f>
        <v>758.41107058724765</v>
      </c>
      <c r="L11" s="100" t="n">
        <f>Medicaid!AC26</f>
        <v>749.74088388167945</v>
      </c>
      <c r="M11" s="100"/>
    </row>
    <row r="12">
      <c r="A12" t="s">
        <v>55</v>
      </c>
      <c r="B12" t="s">
        <v>211</v>
      </c>
      <c r="C12" s="100" t="n">
        <f>Medicare!T10</f>
        <v>941.6</v>
      </c>
      <c r="D12" s="100" t="n">
        <f>Medicare!U10</f>
        <v>958.68725729225423</v>
      </c>
      <c r="E12" s="100" t="n">
        <f>Medicare!V10</f>
        <v>976.08459780644091</v>
      </c>
      <c r="F12" s="100" t="n">
        <f>Medicare!W10</f>
        <v>993.79764863665025</v>
      </c>
      <c r="G12" s="100" t="n">
        <f>Medicare!X10</f>
        <v>1017.7617761487271</v>
      </c>
      <c r="H12" s="100" t="n">
        <f>Medicare!Y10</f>
        <v>1042.3037671808102</v>
      </c>
      <c r="I12" s="100" t="n">
        <f>Medicare!Z10</f>
        <v>1067.437556154154</v>
      </c>
      <c r="J12" s="100" t="n">
        <f>Medicare!AA10</f>
        <v>1093.1774135003152</v>
      </c>
      <c r="K12" s="100" t="n">
        <f>Medicare!AB10</f>
        <v>1119.5379537635997</v>
      </c>
      <c r="L12" s="100" t="n">
        <f>Medicare!AC10</f>
        <v>1146.534143898891</v>
      </c>
      <c r="M12" s="100"/>
    </row>
    <row r="13">
      <c r="A13" t="s">
        <v>212</v>
      </c>
      <c r="B13" t="s">
        <v>213</v>
      </c>
      <c r="C13" s="100" t="n">
        <f>'Rebate Checks (expired)'!T11</f>
        <v>0</v>
      </c>
      <c r="D13" s="100" t="n">
        <f>'Rebate Checks (expired)'!U11</f>
        <v>0</v>
      </c>
      <c r="E13" s="100" t="n">
        <f>'Rebate Checks (expired)'!V11</f>
        <v>0</v>
      </c>
      <c r="F13" s="100" t="n">
        <f>'Rebate Checks (expired)'!W11</f>
        <v>0</v>
      </c>
      <c r="G13" s="100" t="n">
        <f>'Rebate Checks (expired)'!X11</f>
        <v>0</v>
      </c>
      <c r="H13" s="100" t="n">
        <f>'Rebate Checks (expired)'!Y11</f>
        <v>0</v>
      </c>
      <c r="I13" s="100" t="n">
        <f>'Rebate Checks (expired)'!Z11</f>
        <v>0</v>
      </c>
      <c r="J13" s="100" t="n">
        <f>'Rebate Checks (expired)'!AA11</f>
        <v>0</v>
      </c>
      <c r="K13" s="100" t="n">
        <f>'Rebate Checks (expired)'!AB11</f>
        <v>0</v>
      </c>
      <c r="L13" s="100" t="n">
        <f>'Rebate Checks (expired)'!AC11</f>
        <v>0</v>
      </c>
      <c r="M13" s="100"/>
    </row>
    <row r="14">
      <c r="A14" t="s">
        <v>214</v>
      </c>
      <c r="B14" t="s">
        <v>215</v>
      </c>
      <c r="C14" s="100" t="n">
        <f>'Rebate Checks (expired)'!T10</f>
        <v>0</v>
      </c>
      <c r="D14" s="100" t="n">
        <f>'Rebate Checks (expired)'!U10</f>
        <v>0</v>
      </c>
      <c r="E14" s="100" t="n">
        <f>'Rebate Checks (expired)'!V10</f>
        <v>0</v>
      </c>
      <c r="F14" s="100" t="n">
        <f>'Rebate Checks (expired)'!W10</f>
        <v>0</v>
      </c>
      <c r="G14" s="100" t="n">
        <f>'Rebate Checks (expired)'!X10</f>
        <v>0</v>
      </c>
      <c r="H14" s="100" t="n">
        <f>'Rebate Checks (expired)'!Y10</f>
        <v>0</v>
      </c>
      <c r="I14" s="100" t="n">
        <f>'Rebate Checks (expired)'!Z10</f>
        <v>0</v>
      </c>
      <c r="J14" s="100" t="n">
        <f>'Rebate Checks (expired)'!AA10</f>
        <v>0</v>
      </c>
      <c r="K14" s="100" t="n">
        <f>'Rebate Checks (expired)'!AB10</f>
        <v>0</v>
      </c>
      <c r="L14" s="100" t="n">
        <f>'Rebate Checks (expired)'!AC10</f>
        <v>0</v>
      </c>
      <c r="M14" s="100"/>
    </row>
    <row r="15">
      <c r="A15" t="s">
        <v>216</v>
      </c>
      <c r="B15" t="s">
        <v>217</v>
      </c>
      <c r="C15" s="100" t="n">
        <f>'Social Benefits'!T17</f>
        <v>30</v>
      </c>
      <c r="D15" s="100" t="n">
        <f>'Social Benefits'!U17</f>
        <v>12</v>
      </c>
      <c r="E15" s="100" t="n">
        <f>'Social Benefits'!V17</f>
        <v>12</v>
      </c>
      <c r="F15" s="100" t="n">
        <f>'Social Benefits'!W17</f>
        <v>12</v>
      </c>
      <c r="G15" s="100" t="n">
        <f>'Social Benefits'!X17</f>
        <v>4.2219999999999995</v>
      </c>
      <c r="H15" s="100" t="n">
        <f>'Social Benefits'!Y17</f>
        <v>4.2219999999999995</v>
      </c>
      <c r="I15" s="100" t="n">
        <f>'Social Benefits'!Z17</f>
        <v>4.2219999999999995</v>
      </c>
      <c r="J15" s="100" t="n">
        <f>'Social Benefits'!AA17</f>
        <v>4.2219999999999995</v>
      </c>
      <c r="K15" s="100" t="n">
        <f>'Social Benefits'!AB17</f>
        <v>2.3719999999999999</v>
      </c>
      <c r="L15" s="100" t="n">
        <f>'Social Benefits'!AC17</f>
        <v>2.3719999999999999</v>
      </c>
      <c r="M15" s="100"/>
    </row>
    <row r="16">
      <c r="A16" t="s">
        <v>850</v>
      </c>
      <c r="B16" t="s">
        <v>219</v>
      </c>
      <c r="C16" s="100" t="n">
        <f>'Social Benefits'!T24</f>
        <v>6.3160000000000007</v>
      </c>
      <c r="D16" s="100" t="n">
        <f>'Social Benefits'!U24</f>
        <v>1.4159999999999999</v>
      </c>
      <c r="E16" s="100" t="n">
        <f>'Social Benefits'!V24</f>
        <v>1.4159999999999999</v>
      </c>
      <c r="F16" s="100" t="n">
        <f>'Social Benefits'!W24</f>
        <v>1.4159999999999999</v>
      </c>
      <c r="G16" s="100" t="n">
        <f>'Social Benefits'!X24</f>
        <v>1.4790000000000001</v>
      </c>
      <c r="H16" s="100" t="n">
        <f>'Social Benefits'!Y24</f>
        <v>1.4790000000000001</v>
      </c>
      <c r="I16" s="100" t="n">
        <f>'Social Benefits'!Z24</f>
        <v>1.4790000000000001</v>
      </c>
      <c r="J16" s="100" t="n">
        <f>'Social Benefits'!AA24</f>
        <v>1.4790000000000001</v>
      </c>
      <c r="K16" s="100" t="n">
        <f>'Social Benefits'!AB24</f>
        <v>1.63</v>
      </c>
      <c r="L16" s="100" t="n">
        <f>'Social Benefits'!AC24</f>
        <v>1.63</v>
      </c>
      <c r="M16" s="100"/>
    </row>
    <row r="17">
      <c r="A17" t="s">
        <v>220</v>
      </c>
      <c r="B17" t="s">
        <v>221</v>
      </c>
      <c r="C17" s="100" t="n">
        <f>'Social Benefits'!T27</f>
        <v>1906.4740000000004</v>
      </c>
      <c r="D17" s="100" t="n">
        <f>'Social Benefits'!U27</f>
        <v>1956.9577930000003</v>
      </c>
      <c r="E17" s="100" t="n">
        <f>'Social Benefits'!V27</f>
        <v>1963.9577930000003</v>
      </c>
      <c r="F17" s="100" t="n">
        <f>'Social Benefits'!W27</f>
        <v>1970.9577930000003</v>
      </c>
      <c r="G17" s="100" t="n">
        <f>'Social Benefits'!X27</f>
        <v>1971.5067930000002</v>
      </c>
      <c r="H17" s="100" t="n">
        <f>'Social Benefits'!Y27</f>
        <v>2016.4872130000003</v>
      </c>
      <c r="I17" s="100" t="n">
        <f>'Social Benefits'!Z27</f>
        <v>2023.4872130000003</v>
      </c>
      <c r="J17" s="100" t="n">
        <f>'Social Benefits'!AA27</f>
        <v>2030.4872130000003</v>
      </c>
      <c r="K17" s="100" t="n">
        <f>'Social Benefits'!AB27</f>
        <v>2039.0152130000004</v>
      </c>
      <c r="L17" s="100" t="n">
        <f>'Social Benefits'!AC27</f>
        <v>2071.9754930000004</v>
      </c>
      <c r="M17" s="100"/>
    </row>
    <row r="18">
      <c r="A18" t="s">
        <v>222</v>
      </c>
      <c r="B18" t="s">
        <v>223</v>
      </c>
      <c r="C18" s="100" t="n">
        <f>'Social Benefits'!T31</f>
        <v>249.70000000000005</v>
      </c>
      <c r="D18" s="100" t="n">
        <f>'Social Benefits'!U31</f>
        <v>183.57212584485049</v>
      </c>
      <c r="E18" s="100" t="n">
        <f>'Social Benefits'!V31</f>
        <v>186.41879934456207</v>
      </c>
      <c r="F18" s="100" t="n">
        <f>'Social Benefits'!W31</f>
        <v>189.30961652881547</v>
      </c>
      <c r="G18" s="100" t="n">
        <f>'Social Benefits'!X31</f>
        <v>192.24526193866711</v>
      </c>
      <c r="H18" s="100" t="n">
        <f>'Social Benefits'!Y31</f>
        <v>195.22643073042826</v>
      </c>
      <c r="I18" s="100" t="n">
        <f>'Social Benefits'!Z31</f>
        <v>198.25382884027687</v>
      </c>
      <c r="J18" s="100" t="n">
        <f>'Social Benefits'!AA31</f>
        <v>201.32817315142222</v>
      </c>
      <c r="K18" s="100" t="n">
        <f>'Social Benefits'!AB31</f>
        <v>204.45019166386174</v>
      </c>
      <c r="L18" s="100" t="n">
        <f>'Social Benefits'!AC31</f>
        <v>207.62062366677031</v>
      </c>
      <c r="M18" s="100"/>
    </row>
    <row r="19">
      <c r="A19" t="s">
        <v>224</v>
      </c>
      <c r="B19" t="s">
        <v>225</v>
      </c>
      <c r="C19" s="100" t="n">
        <f>Taxes!T9</f>
        <v>4546</v>
      </c>
      <c r="D19" s="100" t="n">
        <f>Taxes!U9</f>
        <v>4484.8338396206082</v>
      </c>
      <c r="E19" s="100" t="n">
        <f>Taxes!V9</f>
        <v>4475.1256243972575</v>
      </c>
      <c r="F19" s="100" t="n">
        <f>Taxes!W9</f>
        <v>4465.8739335289974</v>
      </c>
      <c r="G19" s="100" t="n">
        <f>Taxes!X9</f>
        <v>4478.3368458791647</v>
      </c>
      <c r="H19" s="100" t="n">
        <f>Taxes!Y9</f>
        <v>4486.1153485047389</v>
      </c>
      <c r="I19" s="100" t="n">
        <f>Taxes!Z9</f>
        <v>4494.2116295943742</v>
      </c>
      <c r="J19" s="100" t="n">
        <f>Taxes!AA9</f>
        <v>4502.6279087443791</v>
      </c>
      <c r="K19" s="100" t="n">
        <f>Taxes!AB9</f>
        <v>4532.842930779605</v>
      </c>
      <c r="L19" s="100" t="n">
        <f>Taxes!AC9</f>
        <v>4563.3094931572341</v>
      </c>
      <c r="M19" s="100"/>
    </row>
    <row r="20">
      <c r="A20" t="s">
        <v>226</v>
      </c>
      <c r="B20" t="s">
        <v>227</v>
      </c>
      <c r="C20" s="100" t="n">
        <f>Taxes!T22</f>
        <v>2199.6</v>
      </c>
      <c r="D20" s="100" t="n">
        <f>Taxes!U22</f>
        <v>2226.1294937253679</v>
      </c>
      <c r="E20" s="100" t="n">
        <f>Taxes!V22</f>
        <v>2250.9709737525445</v>
      </c>
      <c r="F20" s="100" t="n">
        <f>Taxes!W22</f>
        <v>2276.4323222605917</v>
      </c>
      <c r="G20" s="100" t="n">
        <f>Taxes!X22</f>
        <v>2302.0361619190921</v>
      </c>
      <c r="H20" s="100" t="n">
        <f>Taxes!Y22</f>
        <v>2325.7222045243498</v>
      </c>
      <c r="I20" s="100" t="n">
        <f>Taxes!Z22</f>
        <v>2348.6593465954388</v>
      </c>
      <c r="J20" s="100" t="n">
        <f>Taxes!AA22</f>
        <v>2371.5043954523735</v>
      </c>
      <c r="K20" s="100" t="n">
        <f>Taxes!AB22</f>
        <v>2395.3037749815721</v>
      </c>
      <c r="L20" s="100" t="n">
        <f>Taxes!AC22</f>
        <v>2419.8446359260029</v>
      </c>
      <c r="M20" s="100"/>
    </row>
    <row r="21">
      <c r="A21" t="s">
        <v>228</v>
      </c>
      <c r="B21" t="s">
        <v>229</v>
      </c>
      <c r="C21" s="100" t="n">
        <f>Taxes!T18</f>
        <v>350.30119606059549</v>
      </c>
      <c r="D21" s="100" t="n">
        <f>Taxes!U18</f>
        <v>360.27870804898345</v>
      </c>
      <c r="E21" s="100" t="n">
        <f>Taxes!V18</f>
        <v>370.54040617946271</v>
      </c>
      <c r="F21" s="100" t="n">
        <f>Taxes!W18</f>
        <v>381.09438483101775</v>
      </c>
      <c r="G21" s="100" t="n">
        <f>Taxes!X18</f>
        <v>381.72153892635089</v>
      </c>
      <c r="H21" s="100" t="n">
        <f>Taxes!Y18</f>
        <v>382.34972510789402</v>
      </c>
      <c r="I21" s="100" t="n">
        <f>Taxes!Z18</f>
        <v>382.97894507411644</v>
      </c>
      <c r="J21" s="100" t="n">
        <f>Taxes!AA18</f>
        <v>383.60920052628245</v>
      </c>
      <c r="K21" s="100" t="n">
        <f>Taxes!AB18</f>
        <v>385.61244152866738</v>
      </c>
      <c r="L21" s="100" t="n">
        <f>Taxes!AC18</f>
        <v>400.52681927840081</v>
      </c>
      <c r="M21" s="100"/>
    </row>
    <row r="22">
      <c r="A22" t="s">
        <v>230</v>
      </c>
      <c r="B22" t="s">
        <v>231</v>
      </c>
      <c r="C22" s="100" t="n">
        <f>Taxes!T27</f>
        <v>95.360546952748706</v>
      </c>
      <c r="D22" s="100" t="n">
        <f>Taxes!U27</f>
        <v>88.958815333784486</v>
      </c>
      <c r="E22" s="100" t="n">
        <f>Taxes!V27</f>
        <v>83.91599856693604</v>
      </c>
      <c r="F22" s="100" t="n">
        <f>Taxes!W27</f>
        <v>81.073902312806027</v>
      </c>
      <c r="G22" s="100" t="n">
        <f>Taxes!X27</f>
        <v>78.997448349986072</v>
      </c>
      <c r="H22" s="100" t="n">
        <f>Taxes!Y27</f>
        <v>79.891365789578444</v>
      </c>
      <c r="I22" s="100" t="n">
        <f>Taxes!Z27</f>
        <v>81.322435412602999</v>
      </c>
      <c r="J22" s="100" t="n">
        <f>Taxes!AA27</f>
        <v>83.346777596433256</v>
      </c>
      <c r="K22" s="100" t="n">
        <f>Taxes!AB27</f>
        <v>86.228959834401508</v>
      </c>
      <c r="L22" s="100" t="n">
        <f>Taxes!AC27</f>
        <v>89.010927112774183</v>
      </c>
      <c r="M22" s="100"/>
    </row>
    <row r="23">
      <c r="A23" s="63" t="s">
        <v>1464</v>
      </c>
      <c r="B23" t="s">
        <v>1463</v>
      </c>
      <c r="C23" s="100" t="n">
        <f>'Student loans'!T11</f>
        <v>0</v>
      </c>
      <c r="D23" s="100" t="n">
        <f>'Student loans'!U11</f>
        <v>0</v>
      </c>
      <c r="E23" s="100" t="n">
        <f>'Student loans'!V11</f>
        <v>0</v>
      </c>
      <c r="F23" s="100" t="n">
        <f>'Student loans'!W11</f>
        <v>20.815079999999998</v>
      </c>
      <c r="G23" s="100" t="n">
        <f>'Student loans'!X11</f>
        <v>21.006180000000001</v>
      </c>
      <c r="H23" s="100" t="n">
        <f>'Student loans'!Y11</f>
        <v>25.815300000000001</v>
      </c>
      <c r="I23" s="100" t="n">
        <f>'Student loans'!Z11</f>
        <v>26.04045</v>
      </c>
      <c r="J23" s="100" t="n">
        <f>'Student loans'!AA11</f>
        <v>26.26465</v>
      </c>
      <c r="K23" s="100" t="n">
        <f>'Student loans'!AB11</f>
        <v>26.498349999999999</v>
      </c>
      <c r="L23" s="100" t="n">
        <f>'Student loans'!AC11</f>
        <v>26.454419999999999</v>
      </c>
    </row>
    <row r="24">
      <c r="A24" s="101"/>
      <c r="C24" s="102"/>
      <c r="D24" s="102"/>
      <c r="E24" s="102"/>
      <c r="F24" s="102"/>
      <c r="G24" s="102"/>
      <c r="H24" s="102"/>
      <c r="I24" s="102"/>
      <c r="J24" s="102"/>
      <c r="K24" s="102"/>
      <c r="L24" s="102"/>
    </row>
    <row r="25">
      <c r="A25" s="75"/>
      <c r="C25" s="102"/>
      <c r="D25" s="102"/>
      <c r="E25" s="102"/>
      <c r="F25" s="102"/>
      <c r="G25" s="102"/>
      <c r="H25" s="102"/>
      <c r="I25" s="102"/>
      <c r="J25" s="102"/>
      <c r="K25" s="102"/>
      <c r="L25" s="102"/>
    </row>
    <row r="26">
      <c r="A26" s="75"/>
      <c r="C26" s="102"/>
      <c r="D26" s="102"/>
      <c r="E26" s="102"/>
      <c r="F26" s="102"/>
      <c r="G26" s="102"/>
      <c r="H26" s="102"/>
      <c r="I26" s="102"/>
      <c r="J26" s="102"/>
      <c r="K26" s="102"/>
      <c r="L26" s="102"/>
    </row>
    <row r="27">
      <c r="A27" s="75"/>
      <c r="C27" s="102"/>
      <c r="D27" s="102"/>
      <c r="E27" s="102"/>
      <c r="F27" s="102"/>
      <c r="G27" s="102"/>
      <c r="H27" s="102"/>
      <c r="I27" s="102"/>
      <c r="J27" s="102"/>
      <c r="K27" s="102"/>
      <c r="L27" s="102"/>
    </row>
    <row r="28">
      <c r="A28" s="63"/>
      <c r="C28" s="102"/>
      <c r="D28" s="102"/>
      <c r="E28" s="102"/>
      <c r="F28" s="102"/>
      <c r="G28" s="102"/>
      <c r="H28" s="102"/>
      <c r="I28" s="102"/>
      <c r="J28" s="102"/>
      <c r="K28" s="102"/>
      <c r="L28" s="102"/>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workbookViewId="0">
      <pane xSplit="7" ySplit="4" topLeftCell="H20" activePane="bottomRight" state="frozen"/>
      <selection activeCell="A4" sqref="A4"/>
      <selection pane="topRight" activeCell="H4" sqref="H4"/>
      <selection pane="bottomLeft" activeCell="A8" sqref="A8"/>
      <selection pane="bottomRight" activeCell="A72" sqref="A72:G72"/>
    </sheetView>
  </sheetViews>
  <sheetFormatPr defaultRowHeight="15.0" baseColWidth="10"/>
  <cols>
    <col min="1" max="1" width="6.5703125" hidden="0" customWidth="1"/>
    <col min="2" max="2" width="65" hidden="0" customWidth="1"/>
    <col min="3" max="3" width="11.5703125" hidden="0" customWidth="1"/>
    <col min="4" max="4" width="11.5703125" hidden="0" customWidth="1"/>
    <col min="5" max="5" width="11.5703125" hidden="0" customWidth="1"/>
    <col min="6" max="6" width="11.5703125" hidden="0" customWidth="1"/>
    <col min="7" max="7" width="11.5703125" hidden="0" customWidth="1"/>
    <col min="8" max="8" width="11.5703125" hidden="0" customWidth="1"/>
    <col min="9" max="9" width="11.5703125" hidden="0" customWidth="1"/>
    <col min="10" max="10" width="11.5703125" hidden="0" customWidth="1"/>
    <col min="11" max="11" width="11.5703125" hidden="0" customWidth="1"/>
    <col min="12" max="12" width="11.5703125" hidden="0" customWidth="1"/>
    <col min="13" max="13" width="11.5703125" hidden="0" customWidth="1"/>
    <col min="14" max="14" width="11.5703125" hidden="0" customWidth="1"/>
    <col min="15" max="15" width="18.140625" hidden="0" customWidth="1"/>
  </cols>
  <sheetData>
    <row r="2">
      <c r="A2" s="127" t="s">
        <v>968</v>
      </c>
      <c r="B2" s="127"/>
      <c r="C2" s="127"/>
      <c r="D2" s="127"/>
      <c r="E2" s="127"/>
      <c r="F2" s="127"/>
      <c r="G2" s="127"/>
      <c r="H2" s="127"/>
      <c r="I2" s="127"/>
      <c r="J2" s="127"/>
      <c r="K2" s="127"/>
      <c r="L2" s="127"/>
      <c r="M2" s="127"/>
      <c r="N2" s="127"/>
      <c r="O2" s="127"/>
      <c r="P2" s="127"/>
      <c r="Q2" s="127"/>
      <c r="R2" s="127"/>
      <c r="S2" s="127"/>
    </row>
    <row r="3">
      <c r="A3" s="127" t="s">
        <v>942</v>
      </c>
      <c r="B3" s="127"/>
      <c r="C3" s="127"/>
      <c r="D3" s="127"/>
      <c r="E3" s="127"/>
      <c r="F3" s="127"/>
      <c r="G3" s="127"/>
      <c r="H3" s="127"/>
      <c r="I3" s="127"/>
      <c r="J3" s="127"/>
      <c r="K3" s="127"/>
      <c r="L3" s="127"/>
      <c r="M3" s="127"/>
      <c r="N3" s="127"/>
      <c r="O3" s="127"/>
      <c r="P3" s="127"/>
      <c r="Q3" s="127"/>
      <c r="R3" s="127"/>
      <c r="S3" s="127"/>
    </row>
    <row r="4" ht="15" customHeight="1">
      <c r="A4" s="128"/>
      <c r="B4" s="128"/>
      <c r="C4" s="128"/>
      <c r="D4" s="127"/>
      <c r="E4" s="127"/>
      <c r="F4" s="127"/>
      <c r="G4" s="127"/>
      <c r="H4" s="127"/>
      <c r="I4" s="127"/>
      <c r="J4" s="127"/>
      <c r="K4" s="127"/>
      <c r="L4" s="127"/>
      <c r="M4" s="127"/>
      <c r="N4" s="127"/>
    </row>
    <row r="5">
      <c r="A5" s="114"/>
      <c r="B5" s="146"/>
      <c r="C5" s="129"/>
      <c r="D5" s="129"/>
      <c r="E5" s="129"/>
      <c r="F5" s="129"/>
      <c r="G5" s="129"/>
      <c r="H5" s="63"/>
      <c r="I5" s="63"/>
      <c r="J5" s="63"/>
      <c r="K5" s="63"/>
      <c r="L5" s="63"/>
      <c r="M5" s="63"/>
      <c r="N5" s="63"/>
      <c r="O5" s="63"/>
    </row>
    <row r="6">
      <c r="A6" s="123" t="s">
        <v>869</v>
      </c>
      <c r="B6" s="157"/>
      <c r="C6" s="130"/>
      <c r="D6" s="131"/>
      <c r="E6" s="165" t="n">
        <v>2022</v>
      </c>
      <c r="F6" s="130"/>
      <c r="G6" s="130"/>
      <c r="H6" s="135"/>
      <c r="I6" s="123"/>
      <c r="J6" s="123"/>
      <c r="K6" s="123"/>
      <c r="L6" s="123"/>
      <c r="M6" s="123"/>
      <c r="N6" s="123"/>
      <c r="O6" s="115"/>
    </row>
    <row r="7" ht="15" customHeight="1">
      <c r="A7" s="163"/>
      <c r="B7" s="166"/>
      <c r="C7" s="124" t="s">
        <v>234</v>
      </c>
      <c r="D7" s="125" t="s">
        <v>235</v>
      </c>
      <c r="E7" s="125" t="s">
        <v>236</v>
      </c>
      <c r="F7" s="125" t="s">
        <v>237</v>
      </c>
      <c r="G7" s="125" t="s">
        <v>987</v>
      </c>
      <c r="H7" s="125" t="s">
        <v>999</v>
      </c>
      <c r="I7" s="124" t="s">
        <v>1259</v>
      </c>
      <c r="J7" s="125" t="s">
        <v>1465</v>
      </c>
      <c r="K7" s="125" t="s">
        <v>1878</v>
      </c>
      <c r="L7" s="125" t="s">
        <v>1519</v>
      </c>
      <c r="M7" s="125" t="s">
        <v>1827</v>
      </c>
      <c r="N7" s="126" t="s">
        <v>1879</v>
      </c>
      <c r="O7" s="116" t="s">
        <v>1881</v>
      </c>
    </row>
    <row r="8">
      <c r="A8" s="167" t="n">
        <v>1</v>
      </c>
      <c r="B8" s="176" t="s">
        <v>239</v>
      </c>
      <c r="C8" s="178" t="n">
        <v>21205.7</v>
      </c>
      <c r="D8" s="181" t="n">
        <v>21319.5</v>
      </c>
      <c r="E8" s="181" t="n">
        <v>21434.3</v>
      </c>
      <c r="F8" s="178" t="n">
        <v>21503.599999999999</v>
      </c>
      <c r="G8" s="181" t="n">
        <v>21624.3</v>
      </c>
      <c r="H8" s="181" t="n">
        <v>21687</v>
      </c>
      <c r="I8" s="136" t="n">
        <v>21781.7</v>
      </c>
      <c r="J8" s="137" t="n">
        <v>21859.9</v>
      </c>
      <c r="K8" s="138" t="n">
        <v>21942.6</v>
      </c>
      <c r="L8" s="137" t="n">
        <v>22118.2</v>
      </c>
      <c r="M8" s="138" t="n">
        <v>22174.799999999999</v>
      </c>
      <c r="N8" s="139" t="n">
        <v>22224.3</v>
      </c>
      <c r="O8" s="117"/>
    </row>
    <row r="9">
      <c r="A9" s="103" t="n">
        <v>2</v>
      </c>
      <c r="B9" s="177" t="s">
        <v>240</v>
      </c>
      <c r="C9" s="179" t="n">
        <v>13174.5</v>
      </c>
      <c r="D9" s="182" t="n">
        <v>13269.4</v>
      </c>
      <c r="E9" s="182" t="n">
        <v>13335.3</v>
      </c>
      <c r="F9" s="179" t="n">
        <v>13396.5</v>
      </c>
      <c r="G9" s="182" t="n">
        <v>13471.4</v>
      </c>
      <c r="H9" s="182" t="n">
        <v>13468.8</v>
      </c>
      <c r="I9" s="140" t="n">
        <v>13573.8</v>
      </c>
      <c r="J9" s="141" t="n">
        <v>13623</v>
      </c>
      <c r="K9" s="142" t="n">
        <v>13699.4</v>
      </c>
      <c r="L9" s="141" t="n">
        <v>13754.3</v>
      </c>
      <c r="M9" s="142" t="n">
        <v>13798.9</v>
      </c>
      <c r="N9" s="143" t="n">
        <v>13834.9</v>
      </c>
      <c r="O9" s="117"/>
    </row>
    <row r="10">
      <c r="A10" s="168" t="n">
        <v>3</v>
      </c>
      <c r="B10" s="180" t="s">
        <v>241</v>
      </c>
      <c r="C10" s="144" t="n">
        <v>10851.2</v>
      </c>
      <c r="D10" s="147" t="n">
        <v>10933.6</v>
      </c>
      <c r="E10" s="147" t="n">
        <v>10991.7</v>
      </c>
      <c r="F10" s="144" t="n">
        <v>11045</v>
      </c>
      <c r="G10" s="147" t="n">
        <v>11110.6</v>
      </c>
      <c r="H10" s="147" t="n">
        <v>11104</v>
      </c>
      <c r="I10" s="144" t="n">
        <v>11196.6</v>
      </c>
      <c r="J10" s="145" t="n">
        <v>11237.1</v>
      </c>
      <c r="K10" s="147" t="n">
        <v>11303.8</v>
      </c>
      <c r="L10" s="145" t="n">
        <v>11350.3</v>
      </c>
      <c r="M10" s="147" t="n">
        <v>11386.9</v>
      </c>
      <c r="N10" s="148" t="n">
        <v>11415.8</v>
      </c>
      <c r="O10" s="117"/>
    </row>
    <row r="11">
      <c r="A11" s="63" t="n">
        <v>4</v>
      </c>
      <c r="B11" s="187" t="s">
        <v>242</v>
      </c>
      <c r="C11" s="149" t="n">
        <v>9268.7999999999993</v>
      </c>
      <c r="D11" s="151" t="n">
        <v>9345.6</v>
      </c>
      <c r="E11" s="151" t="n">
        <v>9398.7999999999993</v>
      </c>
      <c r="F11" s="149" t="n">
        <v>9449.9</v>
      </c>
      <c r="G11" s="151" t="n">
        <v>9508.5</v>
      </c>
      <c r="H11" s="151" t="n">
        <v>9500.1</v>
      </c>
      <c r="I11" s="149" t="n">
        <v>9581.2000000000007</v>
      </c>
      <c r="J11" s="150" t="n">
        <v>9612.2999999999993</v>
      </c>
      <c r="K11" s="151" t="n">
        <v>9672.7000000000007</v>
      </c>
      <c r="L11" s="150" t="n">
        <v>9714.9</v>
      </c>
      <c r="M11" s="151" t="n">
        <v>9745.4</v>
      </c>
      <c r="N11" s="152" t="n">
        <v>9771</v>
      </c>
      <c r="O11" s="117"/>
    </row>
    <row r="12">
      <c r="A12" s="168" t="n">
        <v>5</v>
      </c>
      <c r="B12" s="180" t="s">
        <v>243</v>
      </c>
      <c r="C12" s="144" t="n">
        <v>1582.4</v>
      </c>
      <c r="D12" s="147" t="n">
        <v>1588</v>
      </c>
      <c r="E12" s="147" t="n">
        <v>1592.8</v>
      </c>
      <c r="F12" s="144" t="n">
        <v>1595.1</v>
      </c>
      <c r="G12" s="147" t="n">
        <v>1602.1</v>
      </c>
      <c r="H12" s="147" t="n">
        <v>1603.9</v>
      </c>
      <c r="I12" s="144" t="n">
        <v>1615.4</v>
      </c>
      <c r="J12" s="145" t="n">
        <v>1624.8</v>
      </c>
      <c r="K12" s="147" t="n">
        <v>1631.1</v>
      </c>
      <c r="L12" s="145" t="n">
        <v>1635.4</v>
      </c>
      <c r="M12" s="147" t="n">
        <v>1641.4</v>
      </c>
      <c r="N12" s="148" t="n">
        <v>1644.8</v>
      </c>
      <c r="O12" s="117"/>
    </row>
    <row r="13">
      <c r="A13" s="63" t="n">
        <v>6</v>
      </c>
      <c r="B13" s="187" t="s">
        <v>244</v>
      </c>
      <c r="C13" s="149" t="n">
        <v>2323.3000000000002</v>
      </c>
      <c r="D13" s="151" t="n">
        <v>2335.6999999999998</v>
      </c>
      <c r="E13" s="151" t="n">
        <v>2343.6</v>
      </c>
      <c r="F13" s="149" t="n">
        <v>2351.5</v>
      </c>
      <c r="G13" s="151" t="n">
        <v>2360.8000000000002</v>
      </c>
      <c r="H13" s="151" t="n">
        <v>2364.8000000000002</v>
      </c>
      <c r="I13" s="149" t="n">
        <v>2377.3000000000002</v>
      </c>
      <c r="J13" s="150" t="n">
        <v>2385.9</v>
      </c>
      <c r="K13" s="151" t="n">
        <v>2395.6999999999998</v>
      </c>
      <c r="L13" s="150" t="n">
        <v>2404</v>
      </c>
      <c r="M13" s="151" t="n">
        <v>2412</v>
      </c>
      <c r="N13" s="152" t="n">
        <v>2419.1</v>
      </c>
      <c r="O13" s="117"/>
    </row>
    <row r="14">
      <c r="A14" s="167" t="n">
        <v>7</v>
      </c>
      <c r="B14" s="105" t="s">
        <v>245</v>
      </c>
      <c r="C14" s="183" t="n">
        <v>1780.7</v>
      </c>
      <c r="D14" s="184" t="n">
        <v>1808.6</v>
      </c>
      <c r="E14" s="184" t="n">
        <v>1844.9</v>
      </c>
      <c r="F14" s="183" t="n">
        <v>1827.2</v>
      </c>
      <c r="G14" s="184" t="n">
        <v>1836.2</v>
      </c>
      <c r="H14" s="184" t="n">
        <v>1842.6</v>
      </c>
      <c r="I14" s="153" t="n">
        <v>1846.5</v>
      </c>
      <c r="J14" s="154" t="n">
        <v>1869.7</v>
      </c>
      <c r="K14" s="155" t="n">
        <v>1874.4</v>
      </c>
      <c r="L14" s="154" t="n">
        <v>1870.6</v>
      </c>
      <c r="M14" s="155" t="n">
        <v>1868.8</v>
      </c>
      <c r="N14" s="156" t="n">
        <v>1875.2</v>
      </c>
      <c r="O14" s="117"/>
    </row>
    <row r="15">
      <c r="A15" s="63" t="n">
        <v>8</v>
      </c>
      <c r="B15" s="187" t="s">
        <v>246</v>
      </c>
      <c r="C15" s="149" t="n">
        <v>51.2</v>
      </c>
      <c r="D15" s="151" t="n">
        <v>71.099999999999994</v>
      </c>
      <c r="E15" s="151" t="n">
        <v>100.9</v>
      </c>
      <c r="F15" s="149" t="n">
        <v>97.7</v>
      </c>
      <c r="G15" s="151" t="n">
        <v>95.7</v>
      </c>
      <c r="H15" s="151" t="n">
        <v>93.7</v>
      </c>
      <c r="I15" s="149" t="n">
        <v>94.8</v>
      </c>
      <c r="J15" s="150" t="n">
        <v>95.9</v>
      </c>
      <c r="K15" s="151" t="n">
        <v>97.1</v>
      </c>
      <c r="L15" s="150" t="n">
        <v>93.9</v>
      </c>
      <c r="M15" s="151" t="n">
        <v>90.8</v>
      </c>
      <c r="N15" s="152" t="n">
        <v>87.7</v>
      </c>
      <c r="O15" s="117"/>
    </row>
    <row r="16">
      <c r="A16" s="168"/>
      <c r="B16" s="106" t="s">
        <v>249</v>
      </c>
      <c r="C16" s="144" t="s">
        <v>1466</v>
      </c>
      <c r="D16" s="147"/>
      <c r="E16" s="147"/>
      <c r="F16" s="144" t="s">
        <v>1515</v>
      </c>
      <c r="G16" s="147"/>
      <c r="H16" s="147"/>
      <c r="I16" s="144" t="s">
        <v>1880</v>
      </c>
      <c r="J16" s="145" t="s">
        <v>1880</v>
      </c>
      <c r="K16" s="147" t="s">
        <v>1880</v>
      </c>
      <c r="L16" s="145" t="s">
        <v>1880</v>
      </c>
      <c r="M16" s="147" t="s">
        <v>1880</v>
      </c>
      <c r="N16" s="148" t="s">
        <v>1880</v>
      </c>
      <c r="O16" s="117"/>
    </row>
    <row r="17" ht="16.350000000000001" customHeight="1">
      <c r="A17" s="168" t="n">
        <v>9</v>
      </c>
      <c r="B17" s="180" t="s">
        <v>958</v>
      </c>
      <c r="C17" s="144" t="n">
        <v>0.3</v>
      </c>
      <c r="D17" s="147" t="n">
        <v>0.2</v>
      </c>
      <c r="E17" s="147" t="n">
        <v>1.3</v>
      </c>
      <c r="F17" s="144" t="n">
        <v>0</v>
      </c>
      <c r="G17" s="147" t="n">
        <v>0</v>
      </c>
      <c r="H17" s="147" t="n">
        <v>0</v>
      </c>
      <c r="I17" s="144" t="n">
        <v>0</v>
      </c>
      <c r="J17" s="145" t="n">
        <v>0</v>
      </c>
      <c r="K17" s="147" t="n">
        <v>0</v>
      </c>
      <c r="L17" s="145" t="n">
        <v>0</v>
      </c>
      <c r="M17" s="147" t="n">
        <v>0</v>
      </c>
      <c r="N17" s="148" t="n">
        <v>0</v>
      </c>
      <c r="O17" s="117"/>
    </row>
    <row r="18" ht="16.350000000000001" customHeight="1">
      <c r="A18" s="170" t="n">
        <v>10</v>
      </c>
      <c r="B18" s="173" t="s">
        <v>959</v>
      </c>
      <c r="C18" s="149" t="n">
        <v>0</v>
      </c>
      <c r="D18" s="151" t="n">
        <v>0</v>
      </c>
      <c r="E18" s="151" t="n">
        <v>0</v>
      </c>
      <c r="F18" s="149" t="n">
        <v>0</v>
      </c>
      <c r="G18" s="151" t="n">
        <v>0</v>
      </c>
      <c r="H18" s="151" t="n">
        <v>0</v>
      </c>
      <c r="I18" s="149" t="n">
        <v>0</v>
      </c>
      <c r="J18" s="150" t="n">
        <v>0</v>
      </c>
      <c r="K18" s="151" t="n">
        <v>0</v>
      </c>
      <c r="L18" s="150" t="n">
        <v>0</v>
      </c>
      <c r="M18" s="151" t="n">
        <v>0</v>
      </c>
      <c r="N18" s="152" t="n">
        <v>0</v>
      </c>
      <c r="O18" s="118"/>
    </row>
    <row r="19">
      <c r="A19" s="168" t="n">
        <v>11</v>
      </c>
      <c r="B19" s="180" t="s">
        <v>250</v>
      </c>
      <c r="C19" s="144" t="n">
        <v>1729.6</v>
      </c>
      <c r="D19" s="147" t="n">
        <v>1737.5</v>
      </c>
      <c r="E19" s="147" t="n">
        <v>1743.9</v>
      </c>
      <c r="F19" s="144" t="n">
        <v>1729.6</v>
      </c>
      <c r="G19" s="147" t="n">
        <v>1740.5</v>
      </c>
      <c r="H19" s="147" t="n">
        <v>1749</v>
      </c>
      <c r="I19" s="144" t="n">
        <v>1751.7</v>
      </c>
      <c r="J19" s="145" t="n">
        <v>1773.7</v>
      </c>
      <c r="K19" s="147" t="n">
        <v>1777.4</v>
      </c>
      <c r="L19" s="145" t="n">
        <v>1776.7</v>
      </c>
      <c r="M19" s="147" t="n">
        <v>1778</v>
      </c>
      <c r="N19" s="148" t="n">
        <v>1787.6</v>
      </c>
      <c r="O19" s="117"/>
    </row>
    <row r="20">
      <c r="B20" s="107" t="s">
        <v>251</v>
      </c>
      <c r="C20" s="149" t="s">
        <v>1466</v>
      </c>
      <c r="D20" s="151"/>
      <c r="E20" s="151"/>
      <c r="F20" s="149" t="s">
        <v>1515</v>
      </c>
      <c r="G20" s="151"/>
      <c r="H20" s="151"/>
      <c r="I20" s="149" t="s">
        <v>1880</v>
      </c>
      <c r="J20" s="150" t="s">
        <v>1880</v>
      </c>
      <c r="K20" s="151" t="s">
        <v>1880</v>
      </c>
      <c r="L20" s="150" t="s">
        <v>1880</v>
      </c>
      <c r="M20" s="151" t="s">
        <v>1880</v>
      </c>
      <c r="N20" s="152" t="s">
        <v>1880</v>
      </c>
      <c r="O20" s="117"/>
    </row>
    <row r="21" ht="16.350000000000001" customHeight="1">
      <c r="A21" s="170" t="n">
        <v>12</v>
      </c>
      <c r="B21" s="173" t="s">
        <v>959</v>
      </c>
      <c r="C21" s="149" t="n">
        <v>0</v>
      </c>
      <c r="D21" s="151" t="n">
        <v>0</v>
      </c>
      <c r="E21" s="151" t="n">
        <v>0</v>
      </c>
      <c r="F21" s="149" t="n">
        <v>0</v>
      </c>
      <c r="G21" s="151" t="n">
        <v>0</v>
      </c>
      <c r="H21" s="151" t="n">
        <v>0</v>
      </c>
      <c r="I21" s="149" t="n">
        <v>0</v>
      </c>
      <c r="J21" s="150" t="n">
        <v>0</v>
      </c>
      <c r="K21" s="151" t="n">
        <v>0</v>
      </c>
      <c r="L21" s="150" t="n">
        <v>0</v>
      </c>
      <c r="M21" s="151" t="n">
        <v>0</v>
      </c>
      <c r="N21" s="152" t="n">
        <v>0</v>
      </c>
      <c r="O21" s="118"/>
    </row>
    <row r="22">
      <c r="A22" s="167" t="n">
        <v>13</v>
      </c>
      <c r="B22" s="105" t="s">
        <v>252</v>
      </c>
      <c r="C22" s="183" t="n">
        <v>739.2</v>
      </c>
      <c r="D22" s="184" t="n">
        <v>743.3</v>
      </c>
      <c r="E22" s="184" t="n">
        <v>752.1</v>
      </c>
      <c r="F22" s="183" t="n">
        <v>759.9</v>
      </c>
      <c r="G22" s="184" t="n">
        <v>775.8</v>
      </c>
      <c r="H22" s="184" t="n">
        <v>792</v>
      </c>
      <c r="I22" s="153" t="n">
        <v>792.9</v>
      </c>
      <c r="J22" s="154" t="n">
        <v>794.9</v>
      </c>
      <c r="K22" s="155" t="n">
        <v>797</v>
      </c>
      <c r="L22" s="154" t="n">
        <v>802.7</v>
      </c>
      <c r="M22" s="155" t="n">
        <v>807.9</v>
      </c>
      <c r="N22" s="156" t="n">
        <v>814.1</v>
      </c>
      <c r="O22" s="117"/>
    </row>
    <row r="23">
      <c r="A23" s="103" t="n">
        <v>14</v>
      </c>
      <c r="B23" s="177" t="s">
        <v>253</v>
      </c>
      <c r="C23" s="179" t="n">
        <v>3265.4</v>
      </c>
      <c r="D23" s="182" t="n">
        <v>3267.6</v>
      </c>
      <c r="E23" s="182" t="n">
        <v>3276.5</v>
      </c>
      <c r="F23" s="179" t="n">
        <v>3296.5</v>
      </c>
      <c r="G23" s="182" t="n">
        <v>3324.2</v>
      </c>
      <c r="H23" s="182" t="n">
        <v>3348.4</v>
      </c>
      <c r="I23" s="140" t="n">
        <v>3350.6</v>
      </c>
      <c r="J23" s="141" t="n">
        <v>3358.1</v>
      </c>
      <c r="K23" s="142" t="n">
        <v>3367.7</v>
      </c>
      <c r="L23" s="141" t="n">
        <v>3409</v>
      </c>
      <c r="M23" s="142" t="n">
        <v>3413.9</v>
      </c>
      <c r="N23" s="143" t="n">
        <v>3417.8</v>
      </c>
      <c r="O23" s="117"/>
    </row>
    <row r="24">
      <c r="A24" s="168" t="n">
        <v>15</v>
      </c>
      <c r="B24" s="180" t="s">
        <v>254</v>
      </c>
      <c r="C24" s="144" t="n">
        <v>1664.6</v>
      </c>
      <c r="D24" s="147" t="n">
        <v>1670.8</v>
      </c>
      <c r="E24" s="147" t="n">
        <v>1676.9</v>
      </c>
      <c r="F24" s="144" t="n">
        <v>1692.6</v>
      </c>
      <c r="G24" s="147" t="n">
        <v>1708.5</v>
      </c>
      <c r="H24" s="147" t="n">
        <v>1724.6</v>
      </c>
      <c r="I24" s="144" t="n">
        <v>1731.1</v>
      </c>
      <c r="J24" s="145" t="n">
        <v>1738</v>
      </c>
      <c r="K24" s="147" t="n">
        <v>1745.2</v>
      </c>
      <c r="L24" s="145" t="n">
        <v>1762.4</v>
      </c>
      <c r="M24" s="147" t="n">
        <v>1780.2</v>
      </c>
      <c r="N24" s="148" t="n">
        <v>1798.8</v>
      </c>
      <c r="O24" s="117"/>
    </row>
    <row r="25">
      <c r="A25" s="63" t="n">
        <v>16</v>
      </c>
      <c r="B25" s="187" t="s">
        <v>255</v>
      </c>
      <c r="C25" s="149" t="n">
        <v>1600.8</v>
      </c>
      <c r="D25" s="151" t="n">
        <v>1596.8</v>
      </c>
      <c r="E25" s="151" t="n">
        <v>1599.6</v>
      </c>
      <c r="F25" s="149" t="n">
        <v>1603.8</v>
      </c>
      <c r="G25" s="151" t="n">
        <v>1615.6</v>
      </c>
      <c r="H25" s="151" t="n">
        <v>1623.8</v>
      </c>
      <c r="I25" s="149" t="n">
        <v>1619.5</v>
      </c>
      <c r="J25" s="150" t="n">
        <v>1620.1</v>
      </c>
      <c r="K25" s="151" t="n">
        <v>1622.6</v>
      </c>
      <c r="L25" s="150" t="n">
        <v>1646.6</v>
      </c>
      <c r="M25" s="151" t="n">
        <v>1633.7</v>
      </c>
      <c r="N25" s="152" t="n">
        <v>1619</v>
      </c>
      <c r="O25" s="117"/>
    </row>
    <row r="26">
      <c r="A26" s="167" t="n">
        <v>17</v>
      </c>
      <c r="B26" s="105" t="s">
        <v>256</v>
      </c>
      <c r="C26" s="183" t="n">
        <v>3869.5</v>
      </c>
      <c r="D26" s="184" t="n">
        <v>3866.5</v>
      </c>
      <c r="E26" s="184" t="n">
        <v>3870.2</v>
      </c>
      <c r="F26" s="183" t="n">
        <v>3875.3</v>
      </c>
      <c r="G26" s="184" t="n">
        <v>3877.8</v>
      </c>
      <c r="H26" s="184" t="n">
        <v>3896.4</v>
      </c>
      <c r="I26" s="153" t="n">
        <v>3891.7</v>
      </c>
      <c r="J26" s="154" t="n">
        <v>3893.9</v>
      </c>
      <c r="K26" s="155" t="n">
        <v>3892.9</v>
      </c>
      <c r="L26" s="154" t="n">
        <v>3976.9</v>
      </c>
      <c r="M26" s="155" t="n">
        <v>3985.6</v>
      </c>
      <c r="N26" s="156" t="n">
        <v>3986.6</v>
      </c>
      <c r="O26" s="117"/>
    </row>
    <row r="27">
      <c r="A27" s="63" t="n">
        <v>18</v>
      </c>
      <c r="B27" s="187" t="s">
        <v>257</v>
      </c>
      <c r="C27" s="149" t="n">
        <v>3797.8</v>
      </c>
      <c r="D27" s="151" t="n">
        <v>3795.5</v>
      </c>
      <c r="E27" s="151" t="n">
        <v>3799.7</v>
      </c>
      <c r="F27" s="149" t="n">
        <v>3805.1</v>
      </c>
      <c r="G27" s="151" t="n">
        <v>3807.9</v>
      </c>
      <c r="H27" s="151" t="n">
        <v>3814.4</v>
      </c>
      <c r="I27" s="149" t="n">
        <v>3821.1</v>
      </c>
      <c r="J27" s="150" t="n">
        <v>3824.5</v>
      </c>
      <c r="K27" s="151" t="n">
        <v>3823.5</v>
      </c>
      <c r="L27" s="150" t="n">
        <v>3907.5</v>
      </c>
      <c r="M27" s="151" t="n">
        <v>3916.1</v>
      </c>
      <c r="N27" s="152" t="n">
        <v>3917</v>
      </c>
      <c r="O27" s="117"/>
    </row>
    <row r="28">
      <c r="A28" s="168" t="n">
        <v>19</v>
      </c>
      <c r="B28" s="180" t="s">
        <v>258</v>
      </c>
      <c r="C28" s="144" t="n">
        <v>1195.8</v>
      </c>
      <c r="D28" s="147" t="n">
        <v>1197.5999999999999</v>
      </c>
      <c r="E28" s="147" t="n">
        <v>1202.7</v>
      </c>
      <c r="F28" s="144" t="n">
        <v>1204.4000000000001</v>
      </c>
      <c r="G28" s="147" t="n">
        <v>1207.2</v>
      </c>
      <c r="H28" s="147" t="n">
        <v>1209</v>
      </c>
      <c r="I28" s="144" t="n">
        <v>1211.0999999999999</v>
      </c>
      <c r="J28" s="145" t="n">
        <v>1215.9000000000001</v>
      </c>
      <c r="K28" s="147" t="n">
        <v>1216.9000000000001</v>
      </c>
      <c r="L28" s="145" t="n">
        <v>1229.5</v>
      </c>
      <c r="M28" s="147" t="n">
        <v>1224.7</v>
      </c>
      <c r="N28" s="148" t="n">
        <v>1221.7</v>
      </c>
      <c r="O28" s="117"/>
    </row>
    <row r="29">
      <c r="A29" s="170" t="n">
        <v>20</v>
      </c>
      <c r="B29" s="171" t="s">
        <v>259</v>
      </c>
      <c r="C29" s="149" t="n">
        <v>905</v>
      </c>
      <c r="D29" s="151" t="n">
        <v>907.8</v>
      </c>
      <c r="E29" s="151" t="n">
        <v>911.2</v>
      </c>
      <c r="F29" s="149" t="n">
        <v>907.1</v>
      </c>
      <c r="G29" s="151" t="n">
        <v>911.6</v>
      </c>
      <c r="H29" s="151" t="n">
        <v>916.6</v>
      </c>
      <c r="I29" s="149" t="n">
        <v>914.1</v>
      </c>
      <c r="J29" s="150" t="n">
        <v>920.1</v>
      </c>
      <c r="K29" s="151" t="n">
        <v>926.7</v>
      </c>
      <c r="L29" s="150" t="n">
        <v>933.8</v>
      </c>
      <c r="M29" s="151" t="n">
        <v>941.5</v>
      </c>
      <c r="N29" s="152" t="n">
        <v>949.7</v>
      </c>
      <c r="O29" s="119" t="n">
        <f>Medicare!U10</f>
        <v>958.68725729225423</v>
      </c>
      <c r="P29" s="121" t="n">
        <f>N29-L29</f>
        <v>15.900000000000091</v>
      </c>
      <c r="Q29" s="162" t="n">
        <f>O29-N29</f>
        <v>8.9872572922541849</v>
      </c>
    </row>
    <row r="30">
      <c r="A30" s="168"/>
      <c r="B30" s="106" t="s">
        <v>260</v>
      </c>
      <c r="C30" s="144" t="s">
        <v>1466</v>
      </c>
      <c r="D30" s="147" t="s">
        <v>1466</v>
      </c>
      <c r="E30" s="147" t="s">
        <v>1466</v>
      </c>
      <c r="F30" s="144" t="s">
        <v>1515</v>
      </c>
      <c r="G30" s="147" t="s">
        <v>1515</v>
      </c>
      <c r="H30" s="147" t="s">
        <v>1780</v>
      </c>
      <c r="I30" s="144" t="s">
        <v>1880</v>
      </c>
      <c r="J30" s="145" t="s">
        <v>1880</v>
      </c>
      <c r="K30" s="147" t="s">
        <v>1880</v>
      </c>
      <c r="L30" s="145" t="s">
        <v>1880</v>
      </c>
      <c r="M30" s="147" t="s">
        <v>1880</v>
      </c>
      <c r="N30" s="148" t="s">
        <v>1880</v>
      </c>
      <c r="O30" s="117"/>
    </row>
    <row r="31" ht="16.350000000000001" customHeight="1">
      <c r="A31" s="168" t="n">
        <v>21</v>
      </c>
      <c r="B31" s="180" t="s">
        <v>960</v>
      </c>
      <c r="C31" s="144" t="n">
        <v>15.8</v>
      </c>
      <c r="D31" s="147" t="n">
        <v>15.8</v>
      </c>
      <c r="E31" s="147" t="n">
        <v>15.9</v>
      </c>
      <c r="F31" s="144" t="n">
        <v>7.9</v>
      </c>
      <c r="G31" s="147" t="n">
        <v>7.9</v>
      </c>
      <c r="H31" s="147" t="n">
        <v>8</v>
      </c>
      <c r="I31" s="144" t="n">
        <v>0</v>
      </c>
      <c r="J31" s="145" t="n">
        <v>0</v>
      </c>
      <c r="K31" s="147" t="n">
        <v>0</v>
      </c>
      <c r="L31" s="145" t="n">
        <v>0</v>
      </c>
      <c r="M31" s="147" t="n">
        <v>0</v>
      </c>
      <c r="N31" s="148" t="n">
        <v>0</v>
      </c>
      <c r="O31" s="117"/>
    </row>
    <row r="32">
      <c r="A32" s="170" t="n">
        <v>22</v>
      </c>
      <c r="B32" s="171" t="s">
        <v>261</v>
      </c>
      <c r="C32" s="149" t="n">
        <v>756.6</v>
      </c>
      <c r="D32" s="151" t="n">
        <v>763.8</v>
      </c>
      <c r="E32" s="151" t="n">
        <v>769</v>
      </c>
      <c r="F32" s="149" t="n">
        <v>780.7</v>
      </c>
      <c r="G32" s="151" t="n">
        <v>790.6</v>
      </c>
      <c r="H32" s="151" t="n">
        <v>797.2</v>
      </c>
      <c r="I32" s="149" t="n">
        <v>790.3</v>
      </c>
      <c r="J32" s="150" t="n">
        <v>785.3</v>
      </c>
      <c r="K32" s="151" t="n">
        <v>782.8</v>
      </c>
      <c r="L32" s="150" t="n">
        <v>784</v>
      </c>
      <c r="M32" s="151" t="n">
        <v>784.6</v>
      </c>
      <c r="N32" s="152" t="n">
        <v>785.3</v>
      </c>
      <c r="O32" s="119" t="n">
        <f>forecast!D11</f>
        <v>796.61590660115485</v>
      </c>
      <c r="P32" s="121" t="n">
        <f t="shared" ref="P32:P49" si="0">N32-L32</f>
        <v>1.2999999999999545</v>
      </c>
      <c r="Q32" s="162" t="n">
        <f t="shared" ref="Q32:Q49" si="1">O32-N32</f>
        <v>11.315906601154893</v>
      </c>
    </row>
    <row r="33">
      <c r="A33" s="170" t="n">
        <v>23</v>
      </c>
      <c r="B33" s="171" t="s">
        <v>262</v>
      </c>
      <c r="C33" s="144" t="n">
        <v>25.5</v>
      </c>
      <c r="D33" s="147" t="n">
        <v>23.6</v>
      </c>
      <c r="E33" s="147" t="n">
        <v>21.7</v>
      </c>
      <c r="F33" s="144" t="n">
        <v>19.5</v>
      </c>
      <c r="G33" s="147" t="n">
        <v>18.2</v>
      </c>
      <c r="H33" s="147" t="n">
        <v>18.100000000000001</v>
      </c>
      <c r="I33" s="144" t="n">
        <v>18.7</v>
      </c>
      <c r="J33" s="145" t="n">
        <v>18.899999999999999</v>
      </c>
      <c r="K33" s="147" t="n">
        <v>18</v>
      </c>
      <c r="L33" s="145" t="n">
        <v>18.899999999999999</v>
      </c>
      <c r="M33" s="147" t="n">
        <v>20.7</v>
      </c>
      <c r="N33" s="148" t="n">
        <v>21.6</v>
      </c>
      <c r="O33" s="119" t="n">
        <f>forecast!D9+forecast!D8</f>
        <v>23.227666666666664</v>
      </c>
      <c r="P33" s="121" t="n">
        <f t="shared" si="0"/>
        <v>2.7000000000000028</v>
      </c>
      <c r="Q33" s="162" t="n">
        <f t="shared" si="1"/>
        <v>1.6276666666666628</v>
      </c>
    </row>
    <row r="34" ht="16.350000000000001" customHeight="1">
      <c r="B34" s="108" t="s">
        <v>961</v>
      </c>
      <c r="C34" s="149" t="s">
        <v>1466</v>
      </c>
      <c r="D34" s="151"/>
      <c r="E34" s="151"/>
      <c r="F34" s="149" t="s">
        <v>1515</v>
      </c>
      <c r="G34" s="151"/>
      <c r="H34" s="151"/>
      <c r="I34" s="149" t="s">
        <v>1880</v>
      </c>
      <c r="J34" s="150" t="s">
        <v>1880</v>
      </c>
      <c r="K34" s="151" t="s">
        <v>1880</v>
      </c>
      <c r="L34" s="150" t="s">
        <v>1880</v>
      </c>
      <c r="M34" s="151" t="s">
        <v>1880</v>
      </c>
      <c r="N34" s="152" t="s">
        <v>1880</v>
      </c>
      <c r="O34" s="117"/>
    </row>
    <row r="35">
      <c r="A35" s="63" t="n">
        <v>24</v>
      </c>
      <c r="B35" s="109" t="s">
        <v>263</v>
      </c>
      <c r="C35" s="149" t="n">
        <v>0.2</v>
      </c>
      <c r="D35" s="151" t="n">
        <v>0.2</v>
      </c>
      <c r="E35" s="151" t="n">
        <v>0.2</v>
      </c>
      <c r="F35" s="149" t="n">
        <v>0.1</v>
      </c>
      <c r="G35" s="151" t="n">
        <v>0</v>
      </c>
      <c r="H35" s="151" t="n">
        <v>0</v>
      </c>
      <c r="I35" s="149" t="n">
        <v>0</v>
      </c>
      <c r="J35" s="150" t="n">
        <v>0</v>
      </c>
      <c r="K35" s="151" t="n">
        <v>0</v>
      </c>
      <c r="L35" s="150" t="n">
        <v>0</v>
      </c>
      <c r="M35" s="151" t="n">
        <v>0</v>
      </c>
      <c r="N35" s="152" t="n">
        <v>0</v>
      </c>
      <c r="O35" s="117"/>
    </row>
    <row r="36">
      <c r="A36" s="168" t="n">
        <v>25</v>
      </c>
      <c r="B36" s="110" t="s">
        <v>264</v>
      </c>
      <c r="C36" s="144" t="n">
        <v>0.9</v>
      </c>
      <c r="D36" s="147" t="n">
        <v>0.8</v>
      </c>
      <c r="E36" s="147" t="n">
        <v>0.7</v>
      </c>
      <c r="F36" s="144" t="n">
        <v>0.7</v>
      </c>
      <c r="G36" s="147" t="n">
        <v>0.5</v>
      </c>
      <c r="H36" s="147" t="n">
        <v>0.4</v>
      </c>
      <c r="I36" s="144" t="n">
        <v>0.4</v>
      </c>
      <c r="J36" s="145" t="n">
        <v>0.3</v>
      </c>
      <c r="K36" s="147" t="n">
        <v>0.3</v>
      </c>
      <c r="L36" s="145" t="n">
        <v>0.2</v>
      </c>
      <c r="M36" s="147" t="n">
        <v>0.2</v>
      </c>
      <c r="N36" s="148" t="n">
        <v>0.1</v>
      </c>
      <c r="O36" s="117"/>
    </row>
    <row r="37">
      <c r="A37" s="63" t="n">
        <v>26</v>
      </c>
      <c r="B37" s="109" t="s">
        <v>265</v>
      </c>
      <c r="C37" s="149" t="n">
        <v>1</v>
      </c>
      <c r="D37" s="151" t="n">
        <v>0.7</v>
      </c>
      <c r="E37" s="151" t="n">
        <v>0.6</v>
      </c>
      <c r="F37" s="149" t="n">
        <v>0.5</v>
      </c>
      <c r="G37" s="151" t="n">
        <v>0.3</v>
      </c>
      <c r="H37" s="151" t="n">
        <v>0.3</v>
      </c>
      <c r="I37" s="149" t="n">
        <v>0.2</v>
      </c>
      <c r="J37" s="150" t="n">
        <v>0.2</v>
      </c>
      <c r="K37" s="151" t="n">
        <v>0.2</v>
      </c>
      <c r="L37" s="150" t="n">
        <v>0.1</v>
      </c>
      <c r="M37" s="151" t="n">
        <v>0.1</v>
      </c>
      <c r="N37" s="152" t="n">
        <v>0.1</v>
      </c>
      <c r="O37" s="117"/>
    </row>
    <row r="38">
      <c r="A38" s="168" t="n">
        <v>27</v>
      </c>
      <c r="B38" s="110" t="s">
        <v>266</v>
      </c>
      <c r="C38" s="144" t="n">
        <v>0</v>
      </c>
      <c r="D38" s="147" t="n">
        <v>0</v>
      </c>
      <c r="E38" s="147" t="n">
        <v>0</v>
      </c>
      <c r="F38" s="144" t="n">
        <v>0</v>
      </c>
      <c r="G38" s="147" t="n">
        <v>0</v>
      </c>
      <c r="H38" s="147" t="n">
        <v>0</v>
      </c>
      <c r="I38" s="144" t="n">
        <v>0</v>
      </c>
      <c r="J38" s="145" t="n">
        <v>0</v>
      </c>
      <c r="K38" s="147" t="n">
        <v>0</v>
      </c>
      <c r="L38" s="145" t="n">
        <v>0</v>
      </c>
      <c r="M38" s="147" t="n">
        <v>0</v>
      </c>
      <c r="N38" s="148" t="n">
        <v>0</v>
      </c>
      <c r="O38" s="117"/>
    </row>
    <row r="39">
      <c r="A39" s="63" t="n">
        <v>28</v>
      </c>
      <c r="B39" s="187" t="s">
        <v>267</v>
      </c>
      <c r="C39" s="149" t="n">
        <v>157.19999999999999</v>
      </c>
      <c r="D39" s="151" t="n">
        <v>157.6</v>
      </c>
      <c r="E39" s="151" t="n">
        <v>158.1</v>
      </c>
      <c r="F39" s="149" t="n">
        <v>159.1</v>
      </c>
      <c r="G39" s="151" t="n">
        <v>159.69999999999999</v>
      </c>
      <c r="H39" s="151" t="n">
        <v>160.4</v>
      </c>
      <c r="I39" s="149" t="n">
        <v>161.1</v>
      </c>
      <c r="J39" s="150" t="n">
        <v>161.6</v>
      </c>
      <c r="K39" s="151" t="n">
        <v>162.5</v>
      </c>
      <c r="L39" s="150" t="n">
        <v>163.19999999999999</v>
      </c>
      <c r="M39" s="151" t="n">
        <v>164</v>
      </c>
      <c r="N39" s="152" t="n">
        <v>164.8</v>
      </c>
      <c r="O39" s="117"/>
    </row>
    <row r="40">
      <c r="A40" s="168" t="n">
        <v>29</v>
      </c>
      <c r="B40" s="180" t="s">
        <v>268</v>
      </c>
      <c r="C40" s="144" t="n">
        <v>757.8</v>
      </c>
      <c r="D40" s="147" t="n">
        <v>745.1</v>
      </c>
      <c r="E40" s="147" t="n">
        <v>736.9</v>
      </c>
      <c r="F40" s="144" t="n">
        <v>734.2</v>
      </c>
      <c r="G40" s="147" t="n">
        <v>720.5</v>
      </c>
      <c r="H40" s="147" t="n">
        <v>713.2</v>
      </c>
      <c r="I40" s="144" t="n">
        <v>725.8</v>
      </c>
      <c r="J40" s="145" t="n">
        <v>722.7</v>
      </c>
      <c r="K40" s="147" t="n">
        <v>716.6</v>
      </c>
      <c r="L40" s="145" t="n">
        <v>778</v>
      </c>
      <c r="M40" s="147" t="n">
        <v>780.6</v>
      </c>
      <c r="N40" s="148" t="n">
        <v>773.8</v>
      </c>
      <c r="O40" s="117"/>
    </row>
    <row r="41">
      <c r="B41" s="108" t="s">
        <v>269</v>
      </c>
      <c r="C41" s="149" t="s">
        <v>1466</v>
      </c>
      <c r="D41" s="151"/>
      <c r="E41" s="151"/>
      <c r="F41" s="149" t="s">
        <v>1515</v>
      </c>
      <c r="G41" s="151"/>
      <c r="H41" s="151"/>
      <c r="I41" s="149" t="s">
        <v>1880</v>
      </c>
      <c r="J41" s="150" t="s">
        <v>1880</v>
      </c>
      <c r="K41" s="151" t="s">
        <v>1880</v>
      </c>
      <c r="L41" s="150" t="s">
        <v>1880</v>
      </c>
      <c r="M41" s="151" t="s">
        <v>1880</v>
      </c>
      <c r="N41" s="152" t="s">
        <v>1880</v>
      </c>
      <c r="O41" s="117"/>
    </row>
    <row r="42" ht="16.350000000000001" customHeight="1">
      <c r="A42" s="170" t="n">
        <v>30</v>
      </c>
      <c r="B42" s="172" t="s">
        <v>962</v>
      </c>
      <c r="C42" s="149" t="n">
        <v>94.3</v>
      </c>
      <c r="D42" s="151" t="n">
        <v>94.3</v>
      </c>
      <c r="E42" s="151" t="n">
        <v>94.3</v>
      </c>
      <c r="F42" s="149" t="n">
        <v>94.3</v>
      </c>
      <c r="G42" s="151" t="n">
        <v>94.3</v>
      </c>
      <c r="H42" s="151" t="n">
        <v>94.3</v>
      </c>
      <c r="I42" s="149" t="n">
        <v>94.3</v>
      </c>
      <c r="J42" s="150" t="n">
        <v>94.3</v>
      </c>
      <c r="K42" s="151" t="n">
        <v>94.3</v>
      </c>
      <c r="L42" s="150" t="n">
        <v>94.3</v>
      </c>
      <c r="M42" s="151" t="n">
        <v>94.3</v>
      </c>
      <c r="N42" s="152" t="n">
        <v>94.3</v>
      </c>
      <c r="O42" s="119" t="n">
        <f>'Social Benefits'!U21</f>
        <v>34</v>
      </c>
      <c r="P42" s="121" t="n">
        <f t="shared" si="0"/>
        <v>0</v>
      </c>
      <c r="Q42" s="162" t="n">
        <f t="shared" si="1"/>
        <v>-60.3</v>
      </c>
    </row>
    <row r="43" ht="16.350000000000001" customHeight="1">
      <c r="A43" s="170" t="n">
        <v>31</v>
      </c>
      <c r="B43" s="172" t="s">
        <v>963</v>
      </c>
      <c r="C43" s="144" t="n">
        <v>0</v>
      </c>
      <c r="D43" s="147" t="n">
        <v>0</v>
      </c>
      <c r="E43" s="147" t="n">
        <v>0</v>
      </c>
      <c r="F43" s="144" t="n">
        <v>0</v>
      </c>
      <c r="G43" s="147" t="n">
        <v>0</v>
      </c>
      <c r="H43" s="147" t="n">
        <v>0</v>
      </c>
      <c r="I43" s="144" t="n">
        <v>0</v>
      </c>
      <c r="J43" s="145" t="n">
        <v>0</v>
      </c>
      <c r="K43" s="147" t="n">
        <v>0</v>
      </c>
      <c r="L43" s="145" t="n">
        <v>0</v>
      </c>
      <c r="M43" s="147" t="n">
        <v>0</v>
      </c>
      <c r="N43" s="148" t="n">
        <v>0</v>
      </c>
      <c r="O43" s="118"/>
      <c r="P43" s="121" t="n">
        <f t="shared" si="0"/>
        <v>0</v>
      </c>
      <c r="Q43" s="162" t="n">
        <f t="shared" si="1"/>
        <v>0</v>
      </c>
    </row>
    <row r="44" ht="16.350000000000001" customHeight="1">
      <c r="A44" s="63" t="n">
        <v>32</v>
      </c>
      <c r="B44" s="109" t="s">
        <v>964</v>
      </c>
      <c r="C44" s="149" t="n">
        <v>0</v>
      </c>
      <c r="D44" s="151" t="n">
        <v>0</v>
      </c>
      <c r="E44" s="151" t="n">
        <v>0</v>
      </c>
      <c r="F44" s="149" t="n">
        <v>0</v>
      </c>
      <c r="G44" s="151" t="n">
        <v>0</v>
      </c>
      <c r="H44" s="151" t="n">
        <v>0</v>
      </c>
      <c r="I44" s="149" t="n">
        <v>0</v>
      </c>
      <c r="J44" s="150" t="n">
        <v>0</v>
      </c>
      <c r="K44" s="151" t="n">
        <v>0</v>
      </c>
      <c r="L44" s="150" t="n">
        <v>0</v>
      </c>
      <c r="M44" s="151" t="n">
        <v>0</v>
      </c>
      <c r="N44" s="152" t="n">
        <v>0</v>
      </c>
      <c r="O44" s="117"/>
      <c r="P44" s="121" t="n">
        <f t="shared" si="0"/>
        <v>0</v>
      </c>
      <c r="Q44" s="162" t="n">
        <f t="shared" si="1"/>
        <v>0</v>
      </c>
    </row>
    <row r="45" ht="16.350000000000001" customHeight="1">
      <c r="A45" s="170" t="n">
        <v>33</v>
      </c>
      <c r="B45" s="173" t="s">
        <v>965</v>
      </c>
      <c r="C45" s="144" t="n">
        <v>0</v>
      </c>
      <c r="D45" s="147" t="n">
        <v>0</v>
      </c>
      <c r="E45" s="147" t="n">
        <v>0</v>
      </c>
      <c r="F45" s="144" t="n">
        <v>0</v>
      </c>
      <c r="G45" s="147" t="n">
        <v>0</v>
      </c>
      <c r="H45" s="147" t="n">
        <v>0</v>
      </c>
      <c r="I45" s="144" t="n">
        <v>0</v>
      </c>
      <c r="J45" s="145" t="n">
        <v>0</v>
      </c>
      <c r="K45" s="147" t="n">
        <v>0</v>
      </c>
      <c r="L45" s="145" t="n">
        <v>0</v>
      </c>
      <c r="M45" s="147" t="n">
        <v>0</v>
      </c>
      <c r="N45" s="148" t="n">
        <v>0</v>
      </c>
      <c r="O45" s="118"/>
      <c r="P45" s="121" t="n">
        <f t="shared" si="0"/>
        <v>0</v>
      </c>
      <c r="Q45" s="162" t="n">
        <f t="shared" si="1"/>
        <v>0</v>
      </c>
    </row>
    <row r="46" ht="16.350000000000001" customHeight="1">
      <c r="A46" s="170" t="n">
        <v>34</v>
      </c>
      <c r="B46" s="113" t="s">
        <v>966</v>
      </c>
      <c r="C46" s="149" t="n">
        <v>32.700000000000003</v>
      </c>
      <c r="D46" s="151" t="n">
        <v>23.6</v>
      </c>
      <c r="E46" s="151" t="n">
        <v>24.3</v>
      </c>
      <c r="F46" s="149" t="n">
        <v>27.3</v>
      </c>
      <c r="G46" s="151" t="n">
        <v>17.8</v>
      </c>
      <c r="H46" s="151" t="n">
        <v>14.8</v>
      </c>
      <c r="I46" s="149" t="n">
        <v>11.8</v>
      </c>
      <c r="J46" s="150" t="n">
        <v>9.8000000000000007</v>
      </c>
      <c r="K46" s="151" t="n">
        <v>2.8</v>
      </c>
      <c r="L46" s="150" t="n">
        <v>3.2</v>
      </c>
      <c r="M46" s="151" t="n">
        <v>8.1</v>
      </c>
      <c r="N46" s="152" t="n">
        <v>3.3</v>
      </c>
      <c r="O46" s="120" t="n">
        <f>'Provider Relief (expired)'!U11</f>
        <v>0</v>
      </c>
      <c r="P46" s="121" t="n">
        <f t="shared" si="0"/>
        <v>9.9999999999999645E-2</v>
      </c>
      <c r="Q46" s="162" t="n">
        <f t="shared" si="1"/>
        <v>-3.3</v>
      </c>
    </row>
    <row r="47">
      <c r="A47" s="168" t="n">
        <v>35</v>
      </c>
      <c r="B47" s="180" t="s">
        <v>270</v>
      </c>
      <c r="C47" s="144" t="n">
        <v>71.7</v>
      </c>
      <c r="D47" s="147" t="n">
        <v>71</v>
      </c>
      <c r="E47" s="147" t="n">
        <v>70.5</v>
      </c>
      <c r="F47" s="144" t="n">
        <v>70.2</v>
      </c>
      <c r="G47" s="147" t="n">
        <v>70</v>
      </c>
      <c r="H47" s="147" t="n">
        <v>82</v>
      </c>
      <c r="I47" s="144" t="n">
        <v>70.7</v>
      </c>
      <c r="J47" s="145" t="n">
        <v>69.400000000000006</v>
      </c>
      <c r="K47" s="147" t="n">
        <v>69.400000000000006</v>
      </c>
      <c r="L47" s="145" t="n">
        <v>69.400000000000006</v>
      </c>
      <c r="M47" s="147" t="n">
        <v>69.5</v>
      </c>
      <c r="N47" s="148" t="n">
        <v>69.599999999999994</v>
      </c>
      <c r="O47" s="117"/>
      <c r="P47" s="121" t="n">
        <f t="shared" si="0"/>
        <v>0.19999999999998863</v>
      </c>
      <c r="Q47" s="162" t="n">
        <f t="shared" si="1"/>
        <v>-69.599999999999994</v>
      </c>
    </row>
    <row r="48">
      <c r="A48" s="103" t="n">
        <v>36</v>
      </c>
      <c r="B48" s="177" t="s">
        <v>271</v>
      </c>
      <c r="C48" s="179" t="n">
        <v>1623.6</v>
      </c>
      <c r="D48" s="182" t="n">
        <v>1635.9</v>
      </c>
      <c r="E48" s="182" t="n">
        <v>1644.7</v>
      </c>
      <c r="F48" s="179" t="n">
        <v>1651.8</v>
      </c>
      <c r="G48" s="182" t="n">
        <v>1661.2</v>
      </c>
      <c r="H48" s="182" t="n">
        <v>1661.3</v>
      </c>
      <c r="I48" s="140" t="n">
        <v>1673.9</v>
      </c>
      <c r="J48" s="141" t="n">
        <v>1679.7</v>
      </c>
      <c r="K48" s="142" t="n">
        <v>1688.8</v>
      </c>
      <c r="L48" s="141" t="n">
        <v>1695.3</v>
      </c>
      <c r="M48" s="142" t="n">
        <v>1700.3</v>
      </c>
      <c r="N48" s="143" t="n">
        <v>1704.3</v>
      </c>
      <c r="O48" s="164" t="n">
        <f>Taxes!U13+Taxes!U25</f>
        <v>1744.6944373767442</v>
      </c>
      <c r="P48" s="121" t="n">
        <f t="shared" si="0"/>
        <v>9</v>
      </c>
      <c r="Q48" s="162" t="n">
        <f t="shared" si="1"/>
        <v>40.394437376744236</v>
      </c>
    </row>
    <row r="49">
      <c r="A49" s="167" t="n">
        <v>37</v>
      </c>
      <c r="B49" s="105" t="s">
        <v>272</v>
      </c>
      <c r="C49" s="183" t="n">
        <v>3125.7</v>
      </c>
      <c r="D49" s="184" t="n">
        <v>3147</v>
      </c>
      <c r="E49" s="184" t="n">
        <v>3163.7</v>
      </c>
      <c r="F49" s="183" t="n">
        <v>3183.6</v>
      </c>
      <c r="G49" s="184" t="n">
        <v>3199.3</v>
      </c>
      <c r="H49" s="184" t="n">
        <v>3198.5</v>
      </c>
      <c r="I49" s="153" t="n">
        <v>3216.6</v>
      </c>
      <c r="J49" s="154" t="n">
        <v>3227.9</v>
      </c>
      <c r="K49" s="155" t="n">
        <v>3243.1</v>
      </c>
      <c r="L49" s="154" t="n">
        <v>3245.9</v>
      </c>
      <c r="M49" s="155" t="n">
        <v>3241.8</v>
      </c>
      <c r="N49" s="156" t="n">
        <v>3242.2</v>
      </c>
      <c r="O49" s="164" t="n">
        <f>Taxes!U10+Taxes!U24</f>
        <v>3161.2690691490393</v>
      </c>
      <c r="P49" s="121" t="n">
        <f t="shared" si="0"/>
        <v>-3.7000000000002728</v>
      </c>
      <c r="Q49" s="162" t="n">
        <f t="shared" si="1"/>
        <v>-80.930930850960522</v>
      </c>
    </row>
    <row r="50">
      <c r="A50" s="103" t="n">
        <v>38</v>
      </c>
      <c r="B50" s="177" t="s">
        <v>273</v>
      </c>
      <c r="C50" s="179" t="n">
        <v>18080</v>
      </c>
      <c r="D50" s="182" t="n">
        <v>18172.5</v>
      </c>
      <c r="E50" s="182" t="n">
        <v>18270.599999999999</v>
      </c>
      <c r="F50" s="179" t="n">
        <v>18320</v>
      </c>
      <c r="G50" s="182" t="n">
        <v>18425</v>
      </c>
      <c r="H50" s="182" t="n">
        <v>18488.5</v>
      </c>
      <c r="I50" s="140" t="n">
        <v>18565.099999999999</v>
      </c>
      <c r="J50" s="141" t="n">
        <v>18631.900000000001</v>
      </c>
      <c r="K50" s="142" t="n">
        <v>18699.5</v>
      </c>
      <c r="L50" s="141" t="n">
        <v>18872.400000000001</v>
      </c>
      <c r="M50" s="142" t="n">
        <v>18933</v>
      </c>
      <c r="N50" s="143" t="n">
        <v>18982.099999999999</v>
      </c>
      <c r="O50" s="117"/>
      <c r="P50" s="99"/>
    </row>
    <row r="51">
      <c r="A51" s="167" t="n">
        <v>39</v>
      </c>
      <c r="B51" s="105" t="s">
        <v>274</v>
      </c>
      <c r="C51" s="183" t="n">
        <v>17234.400000000001</v>
      </c>
      <c r="D51" s="184" t="n">
        <v>17359.2</v>
      </c>
      <c r="E51" s="184" t="n">
        <v>17574.8</v>
      </c>
      <c r="F51" s="183" t="n">
        <v>17645.400000000001</v>
      </c>
      <c r="G51" s="184" t="n">
        <v>17768.400000000001</v>
      </c>
      <c r="H51" s="184" t="n">
        <v>17982.2</v>
      </c>
      <c r="I51" s="153" t="n">
        <v>17983.400000000001</v>
      </c>
      <c r="J51" s="154" t="n">
        <v>18132.7</v>
      </c>
      <c r="K51" s="155" t="n">
        <v>18257.400000000001</v>
      </c>
      <c r="L51" s="154" t="n">
        <v>18400.400000000001</v>
      </c>
      <c r="M51" s="155" t="n">
        <v>18383.8</v>
      </c>
      <c r="N51" s="156" t="n">
        <v>18344.7</v>
      </c>
      <c r="O51" s="117"/>
      <c r="P51" s="99" t="n">
        <f>K49/C49-1</f>
        <v>3.755958665258996E-2</v>
      </c>
    </row>
    <row r="52">
      <c r="A52" s="63" t="n">
        <v>40</v>
      </c>
      <c r="B52" s="187" t="s">
        <v>275</v>
      </c>
      <c r="C52" s="149" t="n">
        <v>16725.599999999999</v>
      </c>
      <c r="D52" s="151" t="n">
        <v>16844.5</v>
      </c>
      <c r="E52" s="151" t="n">
        <v>17054.2</v>
      </c>
      <c r="F52" s="149" t="n">
        <v>17115.599999999999</v>
      </c>
      <c r="G52" s="151" t="n">
        <v>17231.099999999999</v>
      </c>
      <c r="H52" s="151" t="n">
        <v>17437.400000000001</v>
      </c>
      <c r="I52" s="149" t="n">
        <v>17420.3</v>
      </c>
      <c r="J52" s="150" t="n">
        <v>17550.900000000001</v>
      </c>
      <c r="K52" s="151" t="n">
        <v>17656.8</v>
      </c>
      <c r="L52" s="150" t="n">
        <v>17797.900000000001</v>
      </c>
      <c r="M52" s="151" t="n">
        <v>17778.8</v>
      </c>
      <c r="N52" s="152" t="n">
        <v>17737.2</v>
      </c>
      <c r="O52" s="117"/>
    </row>
    <row r="53">
      <c r="A53" s="168" t="n">
        <v>41</v>
      </c>
      <c r="B53" s="180" t="s">
        <v>276</v>
      </c>
      <c r="C53" s="144" t="n">
        <v>288.10000000000002</v>
      </c>
      <c r="D53" s="147" t="n">
        <v>293.5</v>
      </c>
      <c r="E53" s="147" t="n">
        <v>298.8</v>
      </c>
      <c r="F53" s="144" t="n">
        <v>306</v>
      </c>
      <c r="G53" s="147" t="n">
        <v>313.10000000000002</v>
      </c>
      <c r="H53" s="147" t="n">
        <v>320.2</v>
      </c>
      <c r="I53" s="144" t="n">
        <v>338.7</v>
      </c>
      <c r="J53" s="145" t="n">
        <v>357.1</v>
      </c>
      <c r="K53" s="147" t="n">
        <v>375.6</v>
      </c>
      <c r="L53" s="145" t="n">
        <v>377.9</v>
      </c>
      <c r="M53" s="147" t="n">
        <v>380.2</v>
      </c>
      <c r="N53" s="148" t="n">
        <v>382.5</v>
      </c>
      <c r="O53" s="117"/>
    </row>
    <row r="54">
      <c r="B54" s="111" t="s">
        <v>277</v>
      </c>
      <c r="C54" s="149" t="s">
        <v>1466</v>
      </c>
      <c r="D54" s="151"/>
      <c r="E54" s="151"/>
      <c r="F54" s="149" t="s">
        <v>1515</v>
      </c>
      <c r="G54" s="151"/>
      <c r="H54" s="151"/>
      <c r="I54" s="149" t="s">
        <v>1880</v>
      </c>
      <c r="J54" s="150" t="s">
        <v>1880</v>
      </c>
      <c r="K54" s="151" t="s">
        <v>1880</v>
      </c>
      <c r="L54" s="150" t="s">
        <v>1880</v>
      </c>
      <c r="M54" s="151" t="s">
        <v>1880</v>
      </c>
      <c r="N54" s="152" t="s">
        <v>1880</v>
      </c>
      <c r="O54" s="117"/>
    </row>
    <row r="55" ht="16.350000000000001" customHeight="1">
      <c r="A55" s="63" t="n">
        <v>42</v>
      </c>
      <c r="B55" s="109" t="s">
        <v>967</v>
      </c>
      <c r="C55" s="149" t="n">
        <v>-37.799999999999997</v>
      </c>
      <c r="D55" s="151" t="n">
        <v>-37.799999999999997</v>
      </c>
      <c r="E55" s="151" t="n">
        <v>-37.799999999999997</v>
      </c>
      <c r="F55" s="149" t="n">
        <v>-37.799999999999997</v>
      </c>
      <c r="G55" s="151" t="n">
        <v>-37.799999999999997</v>
      </c>
      <c r="H55" s="151" t="n">
        <v>-37.799999999999997</v>
      </c>
      <c r="I55" s="149" t="n">
        <v>-37.799999999999997</v>
      </c>
      <c r="J55" s="150" t="n">
        <v>-37.799999999999997</v>
      </c>
      <c r="K55" s="151" t="n">
        <v>-37.799999999999997</v>
      </c>
      <c r="L55" s="150" t="n">
        <v>-37.799999999999997</v>
      </c>
      <c r="M55" s="151" t="n">
        <v>-37.799999999999997</v>
      </c>
      <c r="N55" s="152" t="n">
        <v>-37.799999999999997</v>
      </c>
      <c r="O55" s="117"/>
    </row>
    <row r="56">
      <c r="A56" s="168" t="n">
        <v>43</v>
      </c>
      <c r="B56" s="180" t="s">
        <v>278</v>
      </c>
      <c r="C56" s="144" t="n">
        <v>220.7</v>
      </c>
      <c r="D56" s="147" t="n">
        <v>221.3</v>
      </c>
      <c r="E56" s="147" t="n">
        <v>221.8</v>
      </c>
      <c r="F56" s="144" t="n">
        <v>223.8</v>
      </c>
      <c r="G56" s="147" t="n">
        <v>224.2</v>
      </c>
      <c r="H56" s="147" t="n">
        <v>224.6</v>
      </c>
      <c r="I56" s="144" t="n">
        <v>224.4</v>
      </c>
      <c r="J56" s="145" t="n">
        <v>224.7</v>
      </c>
      <c r="K56" s="147" t="n">
        <v>225</v>
      </c>
      <c r="L56" s="145" t="n">
        <v>224.7</v>
      </c>
      <c r="M56" s="147" t="n">
        <v>224.9</v>
      </c>
      <c r="N56" s="148" t="n">
        <v>225</v>
      </c>
      <c r="O56" s="117"/>
    </row>
    <row r="57">
      <c r="A57" s="63" t="n">
        <v>44</v>
      </c>
      <c r="B57" s="187" t="s">
        <v>279</v>
      </c>
      <c r="C57" s="149" t="n">
        <v>113.6</v>
      </c>
      <c r="D57" s="151" t="n">
        <v>114.1</v>
      </c>
      <c r="E57" s="151" t="n">
        <v>114.6</v>
      </c>
      <c r="F57" s="149" t="n">
        <v>115</v>
      </c>
      <c r="G57" s="151" t="n">
        <v>115.4</v>
      </c>
      <c r="H57" s="151" t="n">
        <v>115.8</v>
      </c>
      <c r="I57" s="149" t="n">
        <v>116.1</v>
      </c>
      <c r="J57" s="150" t="n">
        <v>116.4</v>
      </c>
      <c r="K57" s="151" t="n">
        <v>116.7</v>
      </c>
      <c r="L57" s="150" t="n">
        <v>116.9</v>
      </c>
      <c r="M57" s="151" t="n">
        <v>117.1</v>
      </c>
      <c r="N57" s="152" t="n">
        <v>117.2</v>
      </c>
      <c r="O57" s="117"/>
    </row>
    <row r="58">
      <c r="A58" s="168" t="n">
        <v>45</v>
      </c>
      <c r="B58" s="180" t="s">
        <v>280</v>
      </c>
      <c r="C58" s="144" t="n">
        <v>107.2</v>
      </c>
      <c r="D58" s="147" t="n">
        <v>107.2</v>
      </c>
      <c r="E58" s="147" t="n">
        <v>107.2</v>
      </c>
      <c r="F58" s="144" t="n">
        <v>108.8</v>
      </c>
      <c r="G58" s="147" t="n">
        <v>108.8</v>
      </c>
      <c r="H58" s="147" t="n">
        <v>108.8</v>
      </c>
      <c r="I58" s="144" t="n">
        <v>108.3</v>
      </c>
      <c r="J58" s="145" t="n">
        <v>108.3</v>
      </c>
      <c r="K58" s="147" t="n">
        <v>108.3</v>
      </c>
      <c r="L58" s="145" t="n">
        <v>107.8</v>
      </c>
      <c r="M58" s="147" t="n">
        <v>107.8</v>
      </c>
      <c r="N58" s="148" t="n">
        <v>107.8</v>
      </c>
      <c r="O58" s="117"/>
    </row>
    <row r="59" ht="15" customHeight="1">
      <c r="A59" s="169" t="n">
        <v>46</v>
      </c>
      <c r="B59" s="112" t="s">
        <v>281</v>
      </c>
      <c r="C59" s="186" t="n">
        <v>845.6</v>
      </c>
      <c r="D59" s="185" t="n">
        <v>813.3</v>
      </c>
      <c r="E59" s="185" t="n">
        <v>695.8</v>
      </c>
      <c r="F59" s="186" t="n">
        <v>674.7</v>
      </c>
      <c r="G59" s="185" t="n">
        <v>656.6</v>
      </c>
      <c r="H59" s="185" t="n">
        <v>506.3</v>
      </c>
      <c r="I59" s="158" t="n">
        <v>581.70000000000005</v>
      </c>
      <c r="J59" s="159" t="n">
        <v>499.2</v>
      </c>
      <c r="K59" s="160" t="n">
        <v>442.1</v>
      </c>
      <c r="L59" s="159" t="n">
        <v>471.9</v>
      </c>
      <c r="M59" s="160" t="n">
        <v>549.1</v>
      </c>
      <c r="N59" s="161" t="n">
        <v>637.5</v>
      </c>
      <c r="O59" s="122"/>
    </row>
    <row r="61">
      <c r="A61" s="63" t="s">
        <v>282</v>
      </c>
      <c r="B61" s="63" t="s">
        <v>283</v>
      </c>
      <c r="I61" s="63"/>
      <c r="J61" s="63"/>
      <c r="K61" s="63"/>
      <c r="L61" s="63"/>
      <c r="M61" s="63"/>
      <c r="N61" s="63"/>
    </row>
    <row r="62">
      <c r="A62" s="63" t="s">
        <v>284</v>
      </c>
      <c r="B62" s="63" t="s">
        <v>285</v>
      </c>
    </row>
    <row r="63">
      <c r="A63" s="63" t="s">
        <v>286</v>
      </c>
      <c r="B63" s="63" t="s">
        <v>287</v>
      </c>
    </row>
    <row r="64">
      <c r="A64" s="63" t="s">
        <v>288</v>
      </c>
      <c r="B64" s="63" t="s">
        <v>289</v>
      </c>
    </row>
    <row r="66">
      <c r="A66" s="90" t="s">
        <v>943</v>
      </c>
      <c r="B66" s="90"/>
      <c r="C66" s="90"/>
      <c r="D66" s="90"/>
      <c r="E66" s="90"/>
      <c r="F66" s="90"/>
      <c r="G66" s="90"/>
    </row>
    <row r="67">
      <c r="A67" s="133" t="s">
        <v>944</v>
      </c>
      <c r="B67" s="133"/>
      <c r="C67" s="133"/>
      <c r="D67" s="133"/>
      <c r="E67" s="133"/>
      <c r="F67" s="133"/>
      <c r="G67" s="133"/>
    </row>
    <row r="68">
      <c r="A68" s="132" t="s">
        <v>945</v>
      </c>
      <c r="B68" s="132"/>
      <c r="C68" s="132"/>
      <c r="D68" s="132"/>
      <c r="E68" s="132"/>
      <c r="F68" s="132"/>
      <c r="G68" s="132"/>
    </row>
    <row r="69">
      <c r="A69" s="134" t="s">
        <v>946</v>
      </c>
      <c r="B69" s="134"/>
      <c r="C69" s="134"/>
      <c r="D69" s="134"/>
      <c r="E69" s="134"/>
      <c r="F69" s="134"/>
      <c r="G69" s="134"/>
    </row>
    <row r="70">
      <c r="A70" s="90" t="s">
        <v>947</v>
      </c>
      <c r="B70" s="90"/>
      <c r="C70" s="90"/>
      <c r="D70" s="90"/>
      <c r="E70" s="90"/>
      <c r="F70" s="90"/>
      <c r="G70" s="90"/>
    </row>
    <row r="71">
      <c r="A71" s="133" t="s">
        <v>948</v>
      </c>
      <c r="B71" s="133"/>
      <c r="C71" s="133"/>
      <c r="D71" s="133"/>
      <c r="E71" s="133"/>
      <c r="F71" s="133"/>
      <c r="G71" s="133"/>
    </row>
    <row r="72">
      <c r="A72" s="132" t="s">
        <v>949</v>
      </c>
      <c r="B72" s="132"/>
      <c r="C72" s="132"/>
      <c r="D72" s="132"/>
      <c r="E72" s="132"/>
      <c r="F72" s="132"/>
      <c r="G72" s="132"/>
    </row>
    <row r="73">
      <c r="A73" s="132" t="s">
        <v>950</v>
      </c>
      <c r="B73" s="132"/>
      <c r="C73" s="132"/>
      <c r="D73" s="132"/>
      <c r="E73" s="132"/>
      <c r="F73" s="132"/>
      <c r="G73" s="132"/>
    </row>
    <row r="74">
      <c r="A74" s="133" t="s">
        <v>951</v>
      </c>
      <c r="B74" s="133"/>
      <c r="C74" s="133"/>
      <c r="D74" s="133"/>
      <c r="E74" s="133"/>
      <c r="F74" s="133"/>
      <c r="G74" s="133"/>
    </row>
    <row r="76">
      <c r="A76" s="134" t="s">
        <v>952</v>
      </c>
      <c r="B76" s="134"/>
      <c r="C76" s="134"/>
      <c r="D76" s="134"/>
      <c r="E76" s="134"/>
      <c r="F76" s="134"/>
      <c r="G76" s="134"/>
    </row>
    <row r="78">
      <c r="A78" s="63" t="s">
        <v>290</v>
      </c>
    </row>
    <row r="80">
      <c r="A80" s="63" t="s">
        <v>291</v>
      </c>
    </row>
    <row r="82">
      <c r="A82" s="175"/>
    </row>
    <row r="88">
      <c r="A88" s="174"/>
    </row>
    <row r="89">
      <c r="A89" s="174"/>
    </row>
    <row r="90">
      <c r="A90" s="174"/>
    </row>
  </sheetData>
  <mergeCells count="15">
    <mergeCell ref="A72:G72"/>
    <mergeCell ref="A73:G73"/>
    <mergeCell ref="A74:G74"/>
    <mergeCell ref="A76:G76"/>
    <mergeCell ref="A66:G66"/>
    <mergeCell ref="A67:G67"/>
    <mergeCell ref="A68:G68"/>
    <mergeCell ref="A69:G69"/>
    <mergeCell ref="A70:G70"/>
    <mergeCell ref="A71:G71"/>
    <mergeCell ref="A2:S2"/>
    <mergeCell ref="A3:S3"/>
    <mergeCell ref="A4:C4"/>
    <mergeCell ref="C5:G5"/>
    <mergeCell ref="C6:D6"/>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7:G67" r:id="rId3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A69" r:id="rId4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5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6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7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67:H67" r:id="rId8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C71:H71" r:id="rId9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2" sqref="B12"/>
    </sheetView>
  </sheetViews>
  <sheetFormatPr defaultRowHeight="15.0" baseColWidth="10"/>
  <cols>
    <col min="1" max="1" width="6.140625" hidden="0" customWidth="1"/>
    <col min="2" max="2" width="42.5703125" hidden="0" customWidth="1"/>
    <col min="3" max="3" width="8" hidden="0" customWidth="1"/>
    <col min="4" max="4" width="8.85546875" hidden="0" customWidth="1"/>
    <col min="5" max="5" width="8.85546875" hidden="0" customWidth="1"/>
    <col min="6" max="6" width="9.42578125" hidden="0" customWidth="1"/>
    <col min="7" max="7" width="8.85546875" hidden="0" customWidth="1"/>
    <col min="8" max="8" width="8.85546875" hidden="0" customWidth="1"/>
    <col min="9" max="9" width="8.85546875" hidden="0" customWidth="1"/>
    <col min="10" max="10" width="8.85546875" hidden="0" customWidth="1"/>
    <col min="11" max="11" width="8.85546875" hidden="0" customWidth="1"/>
    <col min="12" max="12" width="8.85546875" hidden="0" customWidth="1"/>
    <col min="13" max="13" width="8.85546875" hidden="0" customWidth="1"/>
    <col min="14" max="14" width="8.85546875" hidden="0" customWidth="1"/>
    <col min="15" max="15" width="8.85546875" hidden="0" customWidth="1"/>
    <col min="16" max="16" width="8.85546875" hidden="0" customWidth="1"/>
    <col min="17" max="17" width="9.85546875" hidden="0" customWidth="1"/>
    <col min="18" max="18" width="9.42578125" hidden="0" customWidth="1"/>
    <col min="19" max="19" width="8.85546875" hidden="0" customWidth="1"/>
    <col min="20" max="20" width="9.85546875" hidden="0" customWidth="1"/>
    <col min="21" max="21" width="9.42578125" hidden="0" customWidth="1"/>
    <col min="22" max="22" width="9.42578125" hidden="0" customWidth="1"/>
    <col min="23" max="23" width="9.42578125" hidden="0" customWidth="1"/>
    <col min="24" max="24" width="8.85546875" hidden="0" customWidth="1"/>
    <col min="25" max="25" width="9.42578125" hidden="0" customWidth="1"/>
    <col min="26" max="26" width="9.42578125" hidden="0" customWidth="1"/>
  </cols>
  <sheetData>
    <row r="1" ht="18.600000000000001" customHeight="1">
      <c r="A1" s="188" t="s">
        <v>1829</v>
      </c>
      <c r="B1" s="189"/>
      <c r="C1" s="189"/>
      <c r="D1" s="189"/>
      <c r="E1" s="189"/>
      <c r="F1" s="189"/>
      <c r="G1" s="189"/>
      <c r="H1" s="189"/>
      <c r="I1" s="189"/>
      <c r="J1" s="189"/>
      <c r="K1" s="189"/>
      <c r="L1" s="189"/>
      <c r="M1" s="189"/>
      <c r="N1" s="189"/>
      <c r="O1" s="189"/>
      <c r="P1" s="189"/>
      <c r="Q1" s="189"/>
      <c r="R1" s="189"/>
      <c r="S1" s="189"/>
      <c r="T1" s="189"/>
      <c r="U1" s="189"/>
      <c r="V1" s="189"/>
      <c r="W1" s="189"/>
      <c r="X1" s="189"/>
      <c r="Y1" s="189"/>
      <c r="Z1" s="189"/>
    </row>
    <row r="2" ht="17.100000000000001" customHeight="1">
      <c r="A2" s="190" t="s">
        <v>1830</v>
      </c>
      <c r="B2" s="189"/>
      <c r="C2" s="189"/>
      <c r="D2" s="189"/>
      <c r="E2" s="189"/>
      <c r="F2" s="189"/>
      <c r="G2" s="189"/>
      <c r="H2" s="189"/>
      <c r="I2" s="189"/>
      <c r="J2" s="189"/>
      <c r="K2" s="189"/>
      <c r="L2" s="189"/>
      <c r="M2" s="189"/>
      <c r="N2" s="189"/>
      <c r="O2" s="189"/>
      <c r="P2" s="189"/>
      <c r="Q2" s="189"/>
      <c r="R2" s="189"/>
      <c r="S2" s="189"/>
      <c r="T2" s="189"/>
      <c r="U2" s="189"/>
      <c r="V2" s="189"/>
      <c r="W2" s="189"/>
      <c r="X2" s="189"/>
      <c r="Y2" s="189"/>
      <c r="Z2" s="189"/>
    </row>
    <row r="3">
      <c r="A3" s="189" t="s">
        <v>1831</v>
      </c>
      <c r="B3" s="189"/>
      <c r="C3" s="189"/>
      <c r="D3" s="189"/>
      <c r="E3" s="189"/>
      <c r="F3" s="189"/>
      <c r="G3" s="189"/>
      <c r="H3" s="189"/>
      <c r="I3" s="189"/>
      <c r="J3" s="189"/>
      <c r="K3" s="189"/>
      <c r="L3" s="189"/>
      <c r="M3" s="189"/>
      <c r="N3" s="189"/>
      <c r="O3" s="189"/>
      <c r="P3" s="189"/>
      <c r="Q3" s="189"/>
      <c r="R3" s="189"/>
      <c r="S3" s="189"/>
      <c r="T3" s="189"/>
      <c r="U3" s="189"/>
      <c r="V3" s="189"/>
      <c r="W3" s="189"/>
      <c r="X3" s="189"/>
      <c r="Y3" s="189"/>
      <c r="Z3" s="189"/>
    </row>
    <row r="4">
      <c r="A4" s="189" t="s">
        <v>1890</v>
      </c>
      <c r="B4" s="189"/>
      <c r="C4" s="189"/>
      <c r="D4" s="189"/>
      <c r="E4" s="189"/>
      <c r="F4" s="189"/>
      <c r="G4" s="189"/>
      <c r="H4" s="189"/>
      <c r="I4" s="189"/>
      <c r="J4" s="189"/>
      <c r="K4" s="189"/>
      <c r="L4" s="189"/>
      <c r="M4" s="189"/>
      <c r="N4" s="189"/>
      <c r="O4" s="189"/>
      <c r="P4" s="189"/>
      <c r="Q4" s="189"/>
      <c r="R4" s="189"/>
      <c r="S4" s="189"/>
      <c r="T4" s="189"/>
      <c r="U4" s="189"/>
      <c r="V4" s="189"/>
      <c r="W4" s="189"/>
      <c r="X4" s="189"/>
      <c r="Y4" s="189"/>
      <c r="Z4" s="189"/>
    </row>
    <row r="5">
      <c r="A5" s="63"/>
      <c r="B5" s="63"/>
      <c r="C5" s="63"/>
      <c r="D5" s="63"/>
      <c r="E5" s="63"/>
      <c r="F5" s="63"/>
      <c r="G5" s="63"/>
      <c r="H5" s="63"/>
      <c r="I5" s="63"/>
      <c r="J5" s="63"/>
      <c r="K5" s="63"/>
      <c r="L5" s="63"/>
      <c r="M5" s="63"/>
      <c r="N5" s="63"/>
      <c r="O5" s="63"/>
      <c r="P5" s="63"/>
      <c r="Q5" s="63"/>
      <c r="R5" s="63"/>
      <c r="S5" s="63"/>
      <c r="T5" s="63"/>
      <c r="U5" s="63"/>
      <c r="V5" s="63"/>
      <c r="W5" s="63"/>
      <c r="X5" s="63"/>
      <c r="Y5" s="63"/>
    </row>
    <row r="6">
      <c r="A6" s="197" t="s">
        <v>869</v>
      </c>
      <c r="B6" s="197" t="s">
        <v>1880</v>
      </c>
      <c r="C6" s="197" t="s">
        <v>1891</v>
      </c>
      <c r="D6" s="197"/>
      <c r="E6" s="197"/>
      <c r="F6" s="197"/>
      <c r="G6" s="197"/>
      <c r="H6" s="197"/>
      <c r="I6" s="197"/>
      <c r="J6" s="197"/>
      <c r="K6" s="197"/>
      <c r="L6" s="197"/>
      <c r="M6" s="197"/>
      <c r="N6" s="197"/>
      <c r="O6" s="197" t="s">
        <v>1832</v>
      </c>
      <c r="P6" s="197"/>
      <c r="Q6" s="197"/>
      <c r="R6" s="197"/>
      <c r="S6" s="197"/>
      <c r="T6" s="197"/>
      <c r="U6" s="197"/>
      <c r="V6" s="197"/>
      <c r="W6" s="197"/>
      <c r="X6" s="197"/>
      <c r="Y6" s="197"/>
      <c r="Z6" s="197"/>
      <c r="AA6" s="194" t="s">
        <v>1873</v>
      </c>
      <c r="AB6" s="195"/>
      <c r="AC6" s="196"/>
    </row>
    <row r="7">
      <c r="A7" s="197"/>
      <c r="B7" s="197"/>
      <c r="C7" s="197" t="s">
        <v>1833</v>
      </c>
      <c r="D7" s="197" t="s">
        <v>1834</v>
      </c>
      <c r="E7" s="197" t="s">
        <v>1835</v>
      </c>
      <c r="F7" s="197" t="s">
        <v>1836</v>
      </c>
      <c r="G7" s="197" t="s">
        <v>1837</v>
      </c>
      <c r="H7" s="197" t="s">
        <v>1838</v>
      </c>
      <c r="I7" s="197" t="s">
        <v>1839</v>
      </c>
      <c r="J7" s="197" t="s">
        <v>1840</v>
      </c>
      <c r="K7" s="197" t="s">
        <v>1841</v>
      </c>
      <c r="L7" s="197" t="s">
        <v>1842</v>
      </c>
      <c r="M7" s="197" t="s">
        <v>1843</v>
      </c>
      <c r="N7" s="197" t="s">
        <v>1844</v>
      </c>
      <c r="O7" s="197" t="s">
        <v>1833</v>
      </c>
      <c r="P7" s="197" t="s">
        <v>1834</v>
      </c>
      <c r="Q7" s="197" t="s">
        <v>1835</v>
      </c>
      <c r="R7" s="197" t="s">
        <v>1836</v>
      </c>
      <c r="S7" s="197" t="s">
        <v>1837</v>
      </c>
      <c r="T7" s="197" t="s">
        <v>1838</v>
      </c>
      <c r="U7" s="197" t="s">
        <v>1839</v>
      </c>
      <c r="V7" s="197" t="s">
        <v>1840</v>
      </c>
      <c r="W7" s="197" t="s">
        <v>1841</v>
      </c>
      <c r="X7" s="197" t="s">
        <v>1842</v>
      </c>
      <c r="Y7" s="197" t="s">
        <v>1843</v>
      </c>
      <c r="Z7" s="197" t="s">
        <v>1844</v>
      </c>
      <c r="AA7" s="202" t="s">
        <v>1833</v>
      </c>
      <c r="AB7" s="202" t="s">
        <v>1834</v>
      </c>
      <c r="AC7" s="202" t="s">
        <v>1835</v>
      </c>
    </row>
    <row r="8">
      <c r="A8" s="189" t="s">
        <v>1845</v>
      </c>
      <c r="B8" s="103" t="s">
        <v>1846</v>
      </c>
      <c r="C8" s="103" t="n">
        <v>112.583</v>
      </c>
      <c r="D8" s="103" t="n">
        <v>112.961</v>
      </c>
      <c r="E8" s="103" t="n">
        <v>113.63200000000001</v>
      </c>
      <c r="F8" s="103" t="n">
        <v>114.238</v>
      </c>
      <c r="G8" s="103" t="n">
        <v>114.819</v>
      </c>
      <c r="H8" s="103" t="n">
        <v>115.458</v>
      </c>
      <c r="I8" s="103" t="n">
        <v>115.986</v>
      </c>
      <c r="J8" s="103" t="n">
        <v>116.444</v>
      </c>
      <c r="K8" s="103" t="n">
        <v>116.80800000000001</v>
      </c>
      <c r="L8" s="103" t="n">
        <v>117.479</v>
      </c>
      <c r="M8" s="103" t="n">
        <v>118.2</v>
      </c>
      <c r="N8" s="103" t="n">
        <v>118.84099999999999</v>
      </c>
      <c r="O8" s="103" t="n">
        <v>119.46899999999999</v>
      </c>
      <c r="P8" s="103" t="n">
        <v>120.178</v>
      </c>
      <c r="Q8" s="103" t="n">
        <v>121.321</v>
      </c>
      <c r="R8" s="103" t="n">
        <v>121.563</v>
      </c>
      <c r="S8" s="103" t="n">
        <v>122.3</v>
      </c>
      <c r="T8" s="103" t="n">
        <v>123.512</v>
      </c>
      <c r="U8" s="103" t="n">
        <v>123.39700000000001</v>
      </c>
      <c r="V8" s="103" t="n">
        <v>123.72799999999999</v>
      </c>
      <c r="W8" s="103" t="n">
        <v>124.154</v>
      </c>
      <c r="X8" s="103" t="n">
        <v>124.623</v>
      </c>
      <c r="Y8" s="103" t="n">
        <v>124.744</v>
      </c>
      <c r="Z8" s="103" t="n">
        <v>124.809</v>
      </c>
      <c r="AA8" s="75" t="n">
        <f>Z8*(1+AA30)^(1/12)</f>
        <v>125.04063770784778</v>
      </c>
      <c r="AB8" s="75" t="n">
        <f t="shared" ref="AB8:AC8" si="0">AA8*(1+AB30)^(1/12)</f>
        <v>125.27270532081215</v>
      </c>
      <c r="AC8" s="75" t="n">
        <f t="shared" si="0"/>
        <v>125.50520363677016</v>
      </c>
    </row>
    <row r="9">
      <c r="A9" s="189" t="s">
        <v>1847</v>
      </c>
      <c r="B9" s="103" t="s">
        <v>1848</v>
      </c>
      <c r="C9" s="103" t="n">
        <v>95.314999999999998</v>
      </c>
      <c r="D9" s="103" t="n">
        <v>95.686999999999998</v>
      </c>
      <c r="E9" s="103" t="n">
        <v>96.406000000000006</v>
      </c>
      <c r="F9" s="103" t="n">
        <v>97.102000000000004</v>
      </c>
      <c r="G9" s="103" t="n">
        <v>97.861000000000004</v>
      </c>
      <c r="H9" s="103" t="n">
        <v>98.683999999999997</v>
      </c>
      <c r="I9" s="103" t="n">
        <v>99.159000000000006</v>
      </c>
      <c r="J9" s="103" t="n">
        <v>99.754999999999995</v>
      </c>
      <c r="K9" s="103" t="n">
        <v>100.149</v>
      </c>
      <c r="L9" s="103" t="n">
        <v>101.224</v>
      </c>
      <c r="M9" s="103" t="n">
        <v>101.938</v>
      </c>
      <c r="N9" s="103" t="n">
        <v>102.608</v>
      </c>
      <c r="O9" s="103" t="n">
        <v>103.54</v>
      </c>
      <c r="P9" s="103" t="n">
        <v>104.79</v>
      </c>
      <c r="Q9" s="103" t="n">
        <v>106.631</v>
      </c>
      <c r="R9" s="103" t="n">
        <v>106.443</v>
      </c>
      <c r="S9" s="103" t="n">
        <v>107.414</v>
      </c>
      <c r="T9" s="103" t="n">
        <v>109.154</v>
      </c>
      <c r="U9" s="103" t="n">
        <v>108.682</v>
      </c>
      <c r="V9" s="103" t="n">
        <v>108.316</v>
      </c>
      <c r="W9" s="103" t="n">
        <v>108.20699999999999</v>
      </c>
      <c r="X9" s="103" t="n">
        <v>108.54</v>
      </c>
      <c r="Y9" s="103" t="n">
        <v>108.131</v>
      </c>
      <c r="Z9" s="103" t="n">
        <v>107.33</v>
      </c>
      <c r="AA9" s="75"/>
      <c r="AB9" s="63"/>
      <c r="AC9" s="209"/>
    </row>
    <row r="10">
      <c r="A10" s="189" t="s">
        <v>1849</v>
      </c>
      <c r="B10" s="189" t="s">
        <v>1850</v>
      </c>
      <c r="C10" s="189" t="n">
        <v>86.924000000000007</v>
      </c>
      <c r="D10" s="189" t="n">
        <v>86.869</v>
      </c>
      <c r="E10" s="189" t="n">
        <v>87.171999999999997</v>
      </c>
      <c r="F10" s="189" t="n">
        <v>88.608000000000004</v>
      </c>
      <c r="G10" s="189" t="n">
        <v>90.114999999999995</v>
      </c>
      <c r="H10" s="189" t="n">
        <v>91.334999999999994</v>
      </c>
      <c r="I10" s="189" t="n">
        <v>91.619</v>
      </c>
      <c r="J10" s="189" t="n">
        <v>92.432000000000002</v>
      </c>
      <c r="K10" s="189" t="n">
        <v>92.543000000000006</v>
      </c>
      <c r="L10" s="189" t="n">
        <v>93.463999999999999</v>
      </c>
      <c r="M10" s="189" t="n">
        <v>93.86</v>
      </c>
      <c r="N10" s="189" t="n">
        <v>94.763000000000005</v>
      </c>
      <c r="O10" s="189" t="n">
        <v>95.872</v>
      </c>
      <c r="P10" s="189" t="n">
        <v>96.036000000000001</v>
      </c>
      <c r="Q10" s="189" t="n">
        <v>95.870999999999995</v>
      </c>
      <c r="R10" s="189" t="n">
        <v>96.034999999999997</v>
      </c>
      <c r="S10" s="189" t="n">
        <v>96.397999999999996</v>
      </c>
      <c r="T10" s="189" t="n">
        <v>97.09</v>
      </c>
      <c r="U10" s="189" t="n">
        <v>96.88</v>
      </c>
      <c r="V10" s="189" t="n">
        <v>97.346999999999994</v>
      </c>
      <c r="W10" s="189" t="n">
        <v>97.781999999999996</v>
      </c>
      <c r="X10" s="189" t="n">
        <v>97.207999999999998</v>
      </c>
      <c r="Y10" s="189" t="n">
        <v>96.397999999999996</v>
      </c>
      <c r="Z10" s="189" t="n">
        <v>96.111000000000004</v>
      </c>
      <c r="AA10" s="75"/>
      <c r="AB10" s="63"/>
      <c r="AC10" s="209"/>
    </row>
    <row r="11">
      <c r="A11" s="189" t="s">
        <v>1851</v>
      </c>
      <c r="B11" s="189" t="s">
        <v>1852</v>
      </c>
      <c r="C11" s="189" t="n">
        <v>99.802000000000007</v>
      </c>
      <c r="D11" s="189" t="n">
        <v>100.465</v>
      </c>
      <c r="E11" s="189" t="n">
        <v>101.476</v>
      </c>
      <c r="F11" s="189" t="n">
        <v>101.63200000000001</v>
      </c>
      <c r="G11" s="189" t="n">
        <v>101.855</v>
      </c>
      <c r="H11" s="189" t="n">
        <v>102.4</v>
      </c>
      <c r="I11" s="189" t="n">
        <v>103</v>
      </c>
      <c r="J11" s="189" t="n">
        <v>103.449</v>
      </c>
      <c r="K11" s="189" t="n">
        <v>104.024</v>
      </c>
      <c r="L11" s="189" t="n">
        <v>105.19</v>
      </c>
      <c r="M11" s="189" t="n">
        <v>106.107</v>
      </c>
      <c r="N11" s="189" t="n">
        <v>106.61</v>
      </c>
      <c r="O11" s="189" t="n">
        <v>107.404</v>
      </c>
      <c r="P11" s="189" t="n">
        <v>109.376</v>
      </c>
      <c r="Q11" s="189" t="n">
        <v>112.557</v>
      </c>
      <c r="R11" s="189" t="n">
        <v>112.134</v>
      </c>
      <c r="S11" s="189" t="n">
        <v>113.511</v>
      </c>
      <c r="T11" s="189" t="n">
        <v>115.94</v>
      </c>
      <c r="U11" s="189" t="n">
        <v>115.297</v>
      </c>
      <c r="V11" s="189" t="n">
        <v>114.367</v>
      </c>
      <c r="W11" s="189" t="n">
        <v>113.89</v>
      </c>
      <c r="X11" s="189" t="n">
        <v>114.836</v>
      </c>
      <c r="Y11" s="189" t="n">
        <v>114.70399999999999</v>
      </c>
      <c r="Z11" s="189" t="n">
        <v>113.565</v>
      </c>
      <c r="AA11" s="75"/>
      <c r="AB11" s="63"/>
      <c r="AC11" s="209"/>
    </row>
    <row r="12">
      <c r="A12" s="189" t="s">
        <v>1853</v>
      </c>
      <c r="B12" s="103" t="s">
        <v>1854</v>
      </c>
      <c r="C12" s="103" t="n">
        <v>121.786</v>
      </c>
      <c r="D12" s="103" t="n">
        <v>122.16500000000001</v>
      </c>
      <c r="E12" s="103" t="n">
        <v>122.792</v>
      </c>
      <c r="F12" s="103" t="n">
        <v>123.324</v>
      </c>
      <c r="G12" s="103" t="n">
        <v>123.773</v>
      </c>
      <c r="H12" s="103" t="n">
        <v>124.277</v>
      </c>
      <c r="I12" s="103" t="n">
        <v>124.831</v>
      </c>
      <c r="J12" s="103" t="n">
        <v>125.19199999999999</v>
      </c>
      <c r="K12" s="103" t="n">
        <v>125.53100000000001</v>
      </c>
      <c r="L12" s="103" t="n">
        <v>125.92700000000001</v>
      </c>
      <c r="M12" s="103" t="n">
        <v>126.64100000000001</v>
      </c>
      <c r="N12" s="103" t="n">
        <v>127.253</v>
      </c>
      <c r="O12" s="103" t="n">
        <v>127.672</v>
      </c>
      <c r="P12" s="103" t="n">
        <v>128.01499999999999</v>
      </c>
      <c r="Q12" s="103" t="n">
        <v>128.69</v>
      </c>
      <c r="R12" s="103" t="n">
        <v>129.20400000000001</v>
      </c>
      <c r="S12" s="103" t="n">
        <v>129.78</v>
      </c>
      <c r="T12" s="103" t="n">
        <v>130.63900000000001</v>
      </c>
      <c r="U12" s="103" t="n">
        <v>130.75299999999999</v>
      </c>
      <c r="V12" s="103" t="n">
        <v>131.51900000000001</v>
      </c>
      <c r="W12" s="103" t="n">
        <v>132.27500000000001</v>
      </c>
      <c r="X12" s="103" t="n">
        <v>132.821</v>
      </c>
      <c r="Y12" s="103" t="n">
        <v>133.274</v>
      </c>
      <c r="Z12" s="103" t="n">
        <v>133.87799999999999</v>
      </c>
      <c r="AA12" s="75"/>
      <c r="AB12" s="63"/>
      <c r="AC12" s="209"/>
    </row>
    <row r="13">
      <c r="A13" s="189" t="s">
        <v>1880</v>
      </c>
      <c r="B13" s="189" t="s">
        <v>1855</v>
      </c>
      <c r="C13" s="189" t="s">
        <v>1880</v>
      </c>
      <c r="D13" s="189" t="s">
        <v>1880</v>
      </c>
      <c r="E13" s="189" t="s">
        <v>1880</v>
      </c>
      <c r="F13" s="189" t="s">
        <v>1880</v>
      </c>
      <c r="G13" s="189" t="s">
        <v>1880</v>
      </c>
      <c r="H13" s="189" t="s">
        <v>1880</v>
      </c>
      <c r="I13" s="189" t="s">
        <v>1880</v>
      </c>
      <c r="J13" s="189" t="s">
        <v>1880</v>
      </c>
      <c r="K13" s="189" t="s">
        <v>1880</v>
      </c>
      <c r="L13" s="189" t="s">
        <v>1880</v>
      </c>
      <c r="M13" s="189" t="s">
        <v>1880</v>
      </c>
      <c r="N13" s="189" t="s">
        <v>1880</v>
      </c>
      <c r="O13" s="189" t="s">
        <v>1880</v>
      </c>
      <c r="P13" s="189" t="s">
        <v>1880</v>
      </c>
      <c r="Q13" s="189" t="s">
        <v>1880</v>
      </c>
      <c r="R13" s="189" t="s">
        <v>1880</v>
      </c>
      <c r="S13" s="189" t="s">
        <v>1880</v>
      </c>
      <c r="T13" s="189" t="s">
        <v>1880</v>
      </c>
      <c r="U13" s="189" t="s">
        <v>1880</v>
      </c>
      <c r="V13" s="189" t="s">
        <v>1880</v>
      </c>
      <c r="W13" s="189" t="s">
        <v>1880</v>
      </c>
      <c r="X13" s="189" t="s">
        <v>1880</v>
      </c>
      <c r="Y13" s="189" t="s">
        <v>1880</v>
      </c>
      <c r="Z13" s="189" t="s">
        <v>1880</v>
      </c>
      <c r="AA13" s="75"/>
      <c r="AB13" s="63"/>
      <c r="AC13" s="209"/>
    </row>
    <row r="14">
      <c r="A14" s="189" t="s">
        <v>1856</v>
      </c>
      <c r="B14" s="189" t="s">
        <v>1857</v>
      </c>
      <c r="C14" s="189" t="n">
        <v>114.782</v>
      </c>
      <c r="D14" s="189" t="n">
        <v>114.97499999999999</v>
      </c>
      <c r="E14" s="189" t="n">
        <v>115.45699999999999</v>
      </c>
      <c r="F14" s="189" t="n">
        <v>116.18600000000001</v>
      </c>
      <c r="G14" s="189" t="n">
        <v>116.78700000000001</v>
      </c>
      <c r="H14" s="189" t="n">
        <v>117.349</v>
      </c>
      <c r="I14" s="189" t="n">
        <v>117.81100000000001</v>
      </c>
      <c r="J14" s="189" t="n">
        <v>118.199</v>
      </c>
      <c r="K14" s="189" t="n">
        <v>118.446</v>
      </c>
      <c r="L14" s="189" t="n">
        <v>118.929</v>
      </c>
      <c r="M14" s="189" t="n">
        <v>119.54300000000001</v>
      </c>
      <c r="N14" s="189" t="n">
        <v>120.193</v>
      </c>
      <c r="O14" s="189" t="n">
        <v>120.761</v>
      </c>
      <c r="P14" s="189" t="n">
        <v>121.205</v>
      </c>
      <c r="Q14" s="189" t="n">
        <v>121.651</v>
      </c>
      <c r="R14" s="189" t="n">
        <v>122.03</v>
      </c>
      <c r="S14" s="189" t="n">
        <v>122.488</v>
      </c>
      <c r="T14" s="189" t="n">
        <v>123.258</v>
      </c>
      <c r="U14" s="189" t="n">
        <v>123.352</v>
      </c>
      <c r="V14" s="189" t="n">
        <v>124.03100000000001</v>
      </c>
      <c r="W14" s="189" t="n">
        <v>124.607</v>
      </c>
      <c r="X14" s="189" t="n">
        <v>124.935</v>
      </c>
      <c r="Y14" s="189" t="n">
        <v>125.13200000000001</v>
      </c>
      <c r="Z14" s="189" t="n">
        <v>125.503</v>
      </c>
      <c r="AA14" s="75"/>
      <c r="AB14" s="63"/>
      <c r="AC14" s="209"/>
    </row>
    <row r="15">
      <c r="A15" s="189" t="s">
        <v>1858</v>
      </c>
      <c r="B15" s="189" t="s">
        <v>1859</v>
      </c>
      <c r="C15" s="189" t="n">
        <v>108.717</v>
      </c>
      <c r="D15" s="189" t="n">
        <v>109.011</v>
      </c>
      <c r="E15" s="189" t="n">
        <v>109.259</v>
      </c>
      <c r="F15" s="189" t="n">
        <v>109.633</v>
      </c>
      <c r="G15" s="189" t="n">
        <v>109.985</v>
      </c>
      <c r="H15" s="189" t="n">
        <v>110.67</v>
      </c>
      <c r="I15" s="189" t="n">
        <v>111.321</v>
      </c>
      <c r="J15" s="189" t="n">
        <v>111.783</v>
      </c>
      <c r="K15" s="189" t="n">
        <v>112.94499999999999</v>
      </c>
      <c r="L15" s="189" t="n">
        <v>113.773</v>
      </c>
      <c r="M15" s="189" t="n">
        <v>114.502</v>
      </c>
      <c r="N15" s="189" t="n">
        <v>114.864</v>
      </c>
      <c r="O15" s="189" t="n">
        <v>115.857</v>
      </c>
      <c r="P15" s="189" t="n">
        <v>117.517</v>
      </c>
      <c r="Q15" s="189" t="n">
        <v>119.119</v>
      </c>
      <c r="R15" s="189" t="n">
        <v>120.371</v>
      </c>
      <c r="S15" s="189" t="n">
        <v>121.849</v>
      </c>
      <c r="T15" s="189" t="n">
        <v>123.053</v>
      </c>
      <c r="U15" s="189" t="n">
        <v>124.623</v>
      </c>
      <c r="V15" s="189" t="n">
        <v>125.58799999999999</v>
      </c>
      <c r="W15" s="189" t="n">
        <v>126.366</v>
      </c>
      <c r="X15" s="189" t="n">
        <v>126.934</v>
      </c>
      <c r="Y15" s="189" t="n">
        <v>127.371</v>
      </c>
      <c r="Z15" s="189" t="n">
        <v>127.675</v>
      </c>
      <c r="AA15" s="75"/>
      <c r="AB15" s="63"/>
      <c r="AC15" s="209"/>
    </row>
    <row r="16">
      <c r="A16" s="189" t="s">
        <v>1860</v>
      </c>
      <c r="B16" s="189" t="s">
        <v>1861</v>
      </c>
      <c r="C16" s="189" t="n">
        <v>83.465999999999994</v>
      </c>
      <c r="D16" s="189" t="n">
        <v>87.337000000000003</v>
      </c>
      <c r="E16" s="189" t="n">
        <v>92.162000000000006</v>
      </c>
      <c r="F16" s="189" t="n">
        <v>90.917000000000002</v>
      </c>
      <c r="G16" s="189" t="n">
        <v>91.519000000000005</v>
      </c>
      <c r="H16" s="189" t="n">
        <v>93.471000000000004</v>
      </c>
      <c r="I16" s="189" t="n">
        <v>95.004000000000005</v>
      </c>
      <c r="J16" s="189" t="n">
        <v>96.728999999999999</v>
      </c>
      <c r="K16" s="189" t="n">
        <v>97.88</v>
      </c>
      <c r="L16" s="189" t="n">
        <v>101.735</v>
      </c>
      <c r="M16" s="189" t="n">
        <v>104.42400000000001</v>
      </c>
      <c r="N16" s="189" t="n">
        <v>105.376</v>
      </c>
      <c r="O16" s="189" t="n">
        <v>106.527</v>
      </c>
      <c r="P16" s="189" t="n">
        <v>110.572</v>
      </c>
      <c r="Q16" s="189" t="n">
        <v>123.81</v>
      </c>
      <c r="R16" s="189" t="n">
        <v>119.991</v>
      </c>
      <c r="S16" s="189" t="n">
        <v>124.726</v>
      </c>
      <c r="T16" s="189" t="n">
        <v>134.256</v>
      </c>
      <c r="U16" s="189" t="n">
        <v>127.651</v>
      </c>
      <c r="V16" s="189" t="n">
        <v>120.47499999999999</v>
      </c>
      <c r="W16" s="189" t="n">
        <v>117.581</v>
      </c>
      <c r="X16" s="189" t="n">
        <v>120.529</v>
      </c>
      <c r="Y16" s="189" t="n">
        <v>118.708</v>
      </c>
      <c r="Z16" s="189" t="n">
        <v>112.634</v>
      </c>
      <c r="AA16" s="75"/>
      <c r="AB16" s="63"/>
      <c r="AC16" s="209"/>
    </row>
    <row r="17">
      <c r="A17" s="189" t="s">
        <v>1862</v>
      </c>
      <c r="B17" s="189" t="s">
        <v>1863</v>
      </c>
      <c r="C17" s="189" t="n">
        <v>109.682</v>
      </c>
      <c r="D17" s="189" t="n">
        <v>110.125</v>
      </c>
      <c r="E17" s="189" t="n">
        <v>110.774</v>
      </c>
      <c r="F17" s="189" t="n">
        <v>111.247</v>
      </c>
      <c r="G17" s="189" t="n">
        <v>111.73399999999999</v>
      </c>
      <c r="H17" s="189" t="n">
        <v>112.292</v>
      </c>
      <c r="I17" s="189" t="n">
        <v>112.818</v>
      </c>
      <c r="J17" s="189" t="n">
        <v>113.22199999999999</v>
      </c>
      <c r="K17" s="189" t="n">
        <v>113.54300000000001</v>
      </c>
      <c r="L17" s="189" t="n">
        <v>114.292</v>
      </c>
      <c r="M17" s="189" t="n">
        <v>114.9</v>
      </c>
      <c r="N17" s="189" t="n">
        <v>115.499</v>
      </c>
      <c r="O17" s="189" t="n">
        <v>116.179</v>
      </c>
      <c r="P17" s="189" t="n">
        <v>117.042</v>
      </c>
      <c r="Q17" s="189" t="n">
        <v>118.312</v>
      </c>
      <c r="R17" s="189" t="n">
        <v>118.494</v>
      </c>
      <c r="S17" s="189" t="n">
        <v>119.295</v>
      </c>
      <c r="T17" s="189" t="n">
        <v>120.56100000000001</v>
      </c>
      <c r="U17" s="189" t="n">
        <v>120.541</v>
      </c>
      <c r="V17" s="189" t="n">
        <v>120.72799999999999</v>
      </c>
      <c r="W17" s="189" t="n">
        <v>121.08499999999999</v>
      </c>
      <c r="X17" s="189" t="n">
        <v>121.627</v>
      </c>
      <c r="Y17" s="189" t="n">
        <v>121.63800000000001</v>
      </c>
      <c r="Z17" s="189" t="n">
        <v>121.74299999999999</v>
      </c>
      <c r="AA17" s="75"/>
      <c r="AB17" s="63"/>
      <c r="AC17" s="209"/>
    </row>
    <row r="18">
      <c r="A18" s="189" t="s">
        <v>1864</v>
      </c>
      <c r="B18" s="189" t="s">
        <v>1865</v>
      </c>
      <c r="C18" s="189" t="n">
        <v>111.714</v>
      </c>
      <c r="D18" s="189" t="n">
        <v>111.956</v>
      </c>
      <c r="E18" s="189" t="n">
        <v>112.386</v>
      </c>
      <c r="F18" s="189" t="n">
        <v>112.97499999999999</v>
      </c>
      <c r="G18" s="189" t="n">
        <v>113.47</v>
      </c>
      <c r="H18" s="189" t="n">
        <v>113.92700000000001</v>
      </c>
      <c r="I18" s="189" t="n">
        <v>114.377</v>
      </c>
      <c r="J18" s="189" t="n">
        <v>114.691</v>
      </c>
      <c r="K18" s="189" t="n">
        <v>114.873</v>
      </c>
      <c r="L18" s="189" t="n">
        <v>115.42</v>
      </c>
      <c r="M18" s="189" t="n">
        <v>115.887</v>
      </c>
      <c r="N18" s="189" t="n">
        <v>116.489</v>
      </c>
      <c r="O18" s="189" t="n">
        <v>117.11</v>
      </c>
      <c r="P18" s="189" t="n">
        <v>117.697</v>
      </c>
      <c r="Q18" s="189" t="n">
        <v>118.19499999999999</v>
      </c>
      <c r="R18" s="189" t="n">
        <v>118.52200000000001</v>
      </c>
      <c r="S18" s="189" t="n">
        <v>119.01600000000001</v>
      </c>
      <c r="T18" s="189" t="n">
        <v>119.785</v>
      </c>
      <c r="U18" s="189" t="n">
        <v>120.018</v>
      </c>
      <c r="V18" s="189" t="n">
        <v>120.58</v>
      </c>
      <c r="W18" s="189" t="n">
        <v>121.09699999999999</v>
      </c>
      <c r="X18" s="189" t="n">
        <v>121.491</v>
      </c>
      <c r="Y18" s="189" t="n">
        <v>121.571</v>
      </c>
      <c r="Z18" s="189" t="n">
        <v>122.032</v>
      </c>
      <c r="AA18" s="210"/>
      <c r="AB18" s="64"/>
      <c r="AC18" s="211"/>
    </row>
    <row r="19" ht="15.6" customHeight="1">
      <c r="A19" s="192" t="s">
        <v>1866</v>
      </c>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row>
    <row r="20">
      <c r="A20" s="193" t="s">
        <v>1867</v>
      </c>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row>
    <row r="21">
      <c r="A21" s="193" t="s">
        <v>1868</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row>
    <row r="22">
      <c r="A22" s="193" t="s">
        <v>1869</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c r="A23" s="193"/>
    </row>
    <row r="24">
      <c r="A24" s="193"/>
    </row>
    <row r="25">
      <c r="A25" s="193"/>
    </row>
    <row r="26">
      <c r="A26" s="193"/>
    </row>
    <row r="27">
      <c r="A27" s="193"/>
      <c r="B27" s="207" t="s">
        <v>1870</v>
      </c>
      <c r="C27" s="191" t="s">
        <v>325</v>
      </c>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213" t="s">
        <v>1882</v>
      </c>
    </row>
    <row r="28">
      <c r="A28" s="193"/>
      <c r="C28" s="191" t="n">
        <v>2021</v>
      </c>
      <c r="D28" s="191"/>
      <c r="E28" s="191"/>
      <c r="F28" s="191"/>
      <c r="G28" s="191"/>
      <c r="H28" s="191"/>
      <c r="I28" s="191"/>
      <c r="J28" s="191"/>
      <c r="K28" s="191"/>
      <c r="L28" s="191"/>
      <c r="M28" s="191"/>
      <c r="N28" s="191"/>
      <c r="O28" s="191" t="n">
        <v>2022</v>
      </c>
      <c r="P28" s="191"/>
      <c r="Q28" s="191"/>
      <c r="R28" s="191"/>
      <c r="S28" s="191"/>
      <c r="T28" s="191"/>
      <c r="U28" s="191"/>
      <c r="V28" s="191"/>
      <c r="W28" s="191"/>
      <c r="X28" s="191"/>
      <c r="Y28" s="191"/>
      <c r="Z28" s="191"/>
      <c r="AA28" s="213"/>
      <c r="AB28" s="63"/>
      <c r="AC28" s="63"/>
      <c r="AD28" s="63"/>
    </row>
    <row r="29">
      <c r="A29" s="193"/>
      <c r="C29" s="197" t="s">
        <v>1833</v>
      </c>
      <c r="D29" s="197" t="s">
        <v>1834</v>
      </c>
      <c r="E29" s="197" t="s">
        <v>1835</v>
      </c>
      <c r="F29" s="197" t="s">
        <v>1836</v>
      </c>
      <c r="G29" s="197" t="s">
        <v>1837</v>
      </c>
      <c r="H29" s="197" t="s">
        <v>1838</v>
      </c>
      <c r="I29" s="197" t="s">
        <v>1839</v>
      </c>
      <c r="J29" s="197" t="s">
        <v>1840</v>
      </c>
      <c r="K29" s="197" t="s">
        <v>1841</v>
      </c>
      <c r="L29" s="197" t="s">
        <v>1842</v>
      </c>
      <c r="M29" s="197" t="s">
        <v>1843</v>
      </c>
      <c r="N29" s="197" t="s">
        <v>1844</v>
      </c>
      <c r="O29" s="197" t="s">
        <v>1833</v>
      </c>
      <c r="P29" s="197" t="s">
        <v>1834</v>
      </c>
      <c r="Q29" s="197" t="s">
        <v>1835</v>
      </c>
      <c r="R29" s="197" t="s">
        <v>1836</v>
      </c>
      <c r="S29" s="197" t="s">
        <v>1837</v>
      </c>
      <c r="T29" s="197" t="s">
        <v>1838</v>
      </c>
      <c r="U29" s="197" t="s">
        <v>1839</v>
      </c>
      <c r="V29" s="197" t="s">
        <v>1840</v>
      </c>
      <c r="W29" s="197" t="s">
        <v>1841</v>
      </c>
      <c r="X29" s="197" t="s">
        <v>1842</v>
      </c>
      <c r="Y29" s="197" t="s">
        <v>1843</v>
      </c>
      <c r="Z29" s="201"/>
      <c r="AA29" s="208" t="s">
        <v>1844</v>
      </c>
      <c r="AB29" s="205" t="s">
        <v>1833</v>
      </c>
      <c r="AC29" s="205" t="s">
        <v>1834</v>
      </c>
      <c r="AD29" s="63"/>
      <c r="AE29" s="216" t="s">
        <v>1874</v>
      </c>
      <c r="AF29" s="63"/>
    </row>
    <row r="30">
      <c r="A30" s="193"/>
      <c r="B30" s="103" t="s">
        <v>1846</v>
      </c>
      <c r="D30" s="206" t="n">
        <f>(D8/C8)^(12)-1</f>
        <v>4.1042680162006073E-2</v>
      </c>
      <c r="E30" s="206" t="n">
        <f t="shared" ref="E30:Z30" si="1">(E8/D8)^(12)-1</f>
        <v>7.3656770386894443E-2</v>
      </c>
      <c r="F30" s="206" t="n">
        <f t="shared" si="1"/>
        <v>6.5906931976990268E-2</v>
      </c>
      <c r="G30" s="206" t="n">
        <f t="shared" si="1"/>
        <v>6.2766918615354106E-2</v>
      </c>
      <c r="H30" s="206" t="n">
        <f t="shared" si="1"/>
        <v>6.8865947836563857E-2</v>
      </c>
      <c r="I30" s="206" t="n">
        <f t="shared" si="1"/>
        <v>5.6278625527978576E-2</v>
      </c>
      <c r="J30" s="206" t="n">
        <f t="shared" si="1"/>
        <v>4.8427810693439044E-2</v>
      </c>
      <c r="K30" s="206" t="n">
        <f t="shared" si="1"/>
        <v>3.8163290994450927E-2</v>
      </c>
      <c r="L30" s="206" t="n">
        <f t="shared" si="1"/>
        <v>7.1153811599884431E-2</v>
      </c>
      <c r="M30" s="206" t="n">
        <f t="shared" si="1"/>
        <v>7.6184730021106928E-2</v>
      </c>
      <c r="N30" s="206" t="n">
        <f t="shared" si="1"/>
        <v>6.7052658631531425E-2</v>
      </c>
      <c r="O30" s="206" t="n">
        <f t="shared" si="1"/>
        <v>6.5288334451285346E-2</v>
      </c>
      <c r="P30" s="206" t="n">
        <f t="shared" si="1"/>
        <v>7.3586210362064142E-2</v>
      </c>
      <c r="Q30" s="206" t="n">
        <f t="shared" si="1"/>
        <v>0.12029425742902733</v>
      </c>
      <c r="R30" s="206" t="n">
        <f t="shared" si="1"/>
        <v>2.420085779508252E-2</v>
      </c>
      <c r="S30" s="206" t="n">
        <f t="shared" si="1"/>
        <v>7.5228018520828943E-2</v>
      </c>
      <c r="T30" s="206" t="n">
        <f t="shared" si="1"/>
        <v>0.12562146420345077</v>
      </c>
      <c r="U30" s="206" t="n">
        <f t="shared" si="1"/>
        <v>-1.1115964136614309E-2</v>
      </c>
      <c r="V30" s="206" t="n">
        <f t="shared" si="1"/>
        <v>3.26679483742216E-2</v>
      </c>
      <c r="W30" s="206" t="n">
        <f t="shared" si="1"/>
        <v>4.210788235244034E-2</v>
      </c>
      <c r="X30" s="206" t="n">
        <f t="shared" si="1"/>
        <v>4.6284580163938438E-2</v>
      </c>
      <c r="Y30" s="206" t="n">
        <f t="shared" si="1"/>
        <v>1.1713559962372999E-2</v>
      </c>
      <c r="Z30" s="206" t="n">
        <f t="shared" si="1"/>
        <v>6.2707566313164875E-3</v>
      </c>
      <c r="AA30" s="212" t="n">
        <f>AE30</f>
        <v>2.2499999999999999E-2</v>
      </c>
      <c r="AB30" s="212" t="n">
        <f>AA30</f>
        <v>2.2499999999999999E-2</v>
      </c>
      <c r="AC30" s="212" t="n">
        <f>AB30</f>
        <v>2.2499999999999999E-2</v>
      </c>
      <c r="AD30" s="63"/>
      <c r="AE30" s="215" t="n">
        <v>2.2499999999999999E-2</v>
      </c>
      <c r="AF30" s="63" t="s">
        <v>1875</v>
      </c>
    </row>
    <row r="31">
      <c r="A31" s="193"/>
      <c r="B31" s="103" t="s">
        <v>1848</v>
      </c>
      <c r="D31" s="206" t="n">
        <f t="shared" ref="D31:Z31" si="2">(D9/C9)^(12)-1</f>
        <v>4.7852702682074089E-2</v>
      </c>
      <c r="E31" s="206" t="n">
        <f t="shared" si="2"/>
        <v>9.3990376547193E-2</v>
      </c>
      <c r="F31" s="206" t="n">
        <f t="shared" si="2"/>
        <v>9.0157721904044807E-2</v>
      </c>
      <c r="G31" s="206" t="n">
        <f t="shared" si="2"/>
        <v>9.7937681358029272E-2</v>
      </c>
      <c r="H31" s="206" t="n">
        <f t="shared" si="2"/>
        <v>0.10571994524004813</v>
      </c>
      <c r="I31" s="206" t="n">
        <f t="shared" si="2"/>
        <v>5.9314030950316399E-2</v>
      </c>
      <c r="J31" s="206" t="n">
        <f t="shared" si="2"/>
        <v>7.4559369880963899E-2</v>
      </c>
      <c r="K31" s="206" t="n">
        <f t="shared" si="2"/>
        <v>4.8439393408400866E-2</v>
      </c>
      <c r="L31" s="206" t="n">
        <f t="shared" si="2"/>
        <v>0.13669129570635752</v>
      </c>
      <c r="M31" s="206" t="n">
        <f t="shared" si="2"/>
        <v>8.8006180889502517E-2</v>
      </c>
      <c r="N31" s="206" t="n">
        <f t="shared" si="2"/>
        <v>8.1786027991030075E-2</v>
      </c>
      <c r="O31" s="206" t="n">
        <f t="shared" si="2"/>
        <v>0.11461082577636561</v>
      </c>
      <c r="P31" s="206" t="n">
        <f t="shared" si="2"/>
        <v>0.15488876520850492</v>
      </c>
      <c r="Q31" s="206" t="n">
        <f t="shared" si="2"/>
        <v>0.23243408487920147</v>
      </c>
      <c r="R31" s="206" t="n">
        <f t="shared" si="2"/>
        <v>-2.0953115354990115E-2</v>
      </c>
      <c r="S31" s="206" t="n">
        <f t="shared" si="2"/>
        <v>0.11512974514483676</v>
      </c>
      <c r="T31" s="206" t="n">
        <f t="shared" si="2"/>
        <v>0.21267713141662403</v>
      </c>
      <c r="U31" s="206" t="n">
        <f t="shared" si="2"/>
        <v>-5.0673511435372243E-2</v>
      </c>
      <c r="V31" s="206" t="n">
        <f t="shared" si="2"/>
        <v>-3.967131618295705E-2</v>
      </c>
      <c r="W31" s="206" t="n">
        <f t="shared" si="2"/>
        <v>-1.2009165772774555E-2</v>
      </c>
      <c r="X31" s="206" t="n">
        <f t="shared" si="2"/>
        <v>3.7560735525880684E-2</v>
      </c>
      <c r="Y31" s="206" t="n">
        <f t="shared" si="2"/>
        <v>-4.4292870843120391E-2</v>
      </c>
      <c r="Z31" s="206" t="n">
        <f t="shared" si="2"/>
        <v>-8.5358464165969816E-2</v>
      </c>
      <c r="AA31" s="63"/>
      <c r="AB31" s="63"/>
      <c r="AC31" s="63"/>
      <c r="AD31" s="63"/>
    </row>
    <row r="32">
      <c r="A32" s="193"/>
      <c r="B32" t="s">
        <v>1850</v>
      </c>
      <c r="D32" s="206" t="n">
        <f t="shared" ref="D32:Z32" si="3">(D10/C10)^(12)-1</f>
        <v>-7.5664718995666069E-3</v>
      </c>
      <c r="E32" s="206" t="n">
        <f t="shared" si="3"/>
        <v>4.266850819250112E-2</v>
      </c>
      <c r="F32" s="206" t="n">
        <f t="shared" si="3"/>
        <v>0.21660917290096582</v>
      </c>
      <c r="G32" s="206" t="n">
        <f t="shared" si="3"/>
        <v>0.22430559919810955</v>
      </c>
      <c r="H32" s="206" t="n">
        <f t="shared" si="3"/>
        <v>0.17511874187668353</v>
      </c>
      <c r="I32" s="206" t="n">
        <f t="shared" si="3"/>
        <v>3.795797382041366E-2</v>
      </c>
      <c r="J32" s="206" t="n">
        <f t="shared" si="3"/>
        <v>0.11183831318895598</v>
      </c>
      <c r="K32" s="206" t="n">
        <f t="shared" si="3"/>
        <v>1.4506155653571495E-2</v>
      </c>
      <c r="L32" s="206" t="n">
        <f t="shared" si="3"/>
        <v>0.12618431747599668</v>
      </c>
      <c r="M32" s="206" t="n">
        <f t="shared" si="3"/>
        <v>5.2044800480764541E-2</v>
      </c>
      <c r="N32" s="206" t="n">
        <f t="shared" si="3"/>
        <v>0.12175758567831618</v>
      </c>
      <c r="O32" s="206" t="n">
        <f t="shared" si="3"/>
        <v>0.14983582216551206</v>
      </c>
      <c r="P32" s="206" t="n">
        <f t="shared" si="3"/>
        <v>2.0721604560002937E-2</v>
      </c>
      <c r="Q32" s="206" t="n">
        <f t="shared" si="3"/>
        <v>-2.0423555429524787E-2</v>
      </c>
      <c r="R32" s="206" t="n">
        <f t="shared" si="3"/>
        <v>2.0721822738088314E-2</v>
      </c>
      <c r="S32" s="206" t="n">
        <f t="shared" si="3"/>
        <v>4.6313416239633698E-2</v>
      </c>
      <c r="T32" s="206" t="n">
        <f t="shared" si="3"/>
        <v>8.9626684643578036E-2</v>
      </c>
      <c r="U32" s="206" t="n">
        <f t="shared" si="3"/>
        <v>-2.564874569369624E-2</v>
      </c>
      <c r="V32" s="206" t="n">
        <f t="shared" si="3"/>
        <v>5.9403258043756235E-2</v>
      </c>
      <c r="W32" s="206" t="n">
        <f t="shared" si="3"/>
        <v>5.49603210423244E-2</v>
      </c>
      <c r="X32" s="206" t="n">
        <f t="shared" si="3"/>
        <v>-6.8212021435523074E-2</v>
      </c>
      <c r="Y32" s="206" t="n">
        <f t="shared" si="3"/>
        <v>-9.5534119782068272E-2</v>
      </c>
      <c r="Z32" s="206" t="n">
        <f t="shared" si="3"/>
        <v>-3.5147628118349261E-2</v>
      </c>
      <c r="AA32" s="63"/>
      <c r="AB32" s="63"/>
      <c r="AC32" s="63"/>
      <c r="AD32" s="63"/>
    </row>
    <row r="33">
      <c r="A33" s="193"/>
      <c r="B33" t="s">
        <v>1852</v>
      </c>
      <c r="D33" s="206" t="n">
        <f t="shared" ref="D33:Z33" si="4">(D11/C11)^(12)-1</f>
        <v>8.2695991789366596E-2</v>
      </c>
      <c r="E33" s="206" t="n">
        <f t="shared" si="4"/>
        <v>0.12767152587874242</v>
      </c>
      <c r="F33" s="206" t="n">
        <f t="shared" si="4"/>
        <v>1.8604492954842566E-2</v>
      </c>
      <c r="G33" s="206" t="n">
        <f t="shared" si="4"/>
        <v>2.6650380476038515E-2</v>
      </c>
      <c r="H33" s="206" t="n">
        <f t="shared" si="4"/>
        <v>6.6132646674121442E-2</v>
      </c>
      <c r="I33" s="206" t="n">
        <f t="shared" si="4"/>
        <v>7.2623275591077174E-2</v>
      </c>
      <c r="J33" s="206" t="n">
        <f t="shared" si="4"/>
        <v>5.3583270512252978E-2</v>
      </c>
      <c r="K33" s="206" t="n">
        <f t="shared" si="4"/>
        <v>6.8776834563306188E-2</v>
      </c>
      <c r="L33" s="206" t="n">
        <f t="shared" si="4"/>
        <v>0.14311748267808033</v>
      </c>
      <c r="M33" s="206" t="n">
        <f t="shared" si="4"/>
        <v>0.10977507787605911</v>
      </c>
      <c r="N33" s="206" t="n">
        <f t="shared" si="4"/>
        <v>5.8392835152005329E-2</v>
      </c>
      <c r="O33" s="206" t="n">
        <f t="shared" si="4"/>
        <v>9.3125815044879046E-2</v>
      </c>
      <c r="P33" s="206" t="n">
        <f t="shared" si="4"/>
        <v>0.24399595906104432</v>
      </c>
      <c r="Q33" s="206" t="n">
        <f t="shared" si="4"/>
        <v>0.41060581771805249</v>
      </c>
      <c r="R33" s="206" t="n">
        <f t="shared" si="4"/>
        <v>-4.4176592701257844E-2</v>
      </c>
      <c r="S33" s="206" t="n">
        <f t="shared" si="4"/>
        <v>0.15773089650212335</v>
      </c>
      <c r="T33" s="206" t="n">
        <f t="shared" si="4"/>
        <v>0.28927082760345146</v>
      </c>
      <c r="U33" s="206" t="n">
        <f t="shared" si="4"/>
        <v>-6.4558713318927374E-2</v>
      </c>
      <c r="V33" s="206" t="n">
        <f t="shared" si="4"/>
        <v>-9.2612769739008449E-2</v>
      </c>
      <c r="W33" s="206" t="n">
        <f t="shared" si="4"/>
        <v>-4.8917116413696671E-2</v>
      </c>
      <c r="X33" s="206" t="n">
        <f t="shared" si="4"/>
        <v>0.10435719253431563</v>
      </c>
      <c r="Y33" s="206" t="n">
        <f t="shared" si="4"/>
        <v>-1.3706713301895879E-2</v>
      </c>
      <c r="Z33" s="206" t="n">
        <f t="shared" si="4"/>
        <v>-0.11286174670473859</v>
      </c>
      <c r="AA33" s="63"/>
      <c r="AB33" s="63"/>
      <c r="AC33" s="63"/>
      <c r="AD33" s="63"/>
    </row>
    <row r="34">
      <c r="A34" s="193"/>
      <c r="B34" s="103" t="s">
        <v>1854</v>
      </c>
      <c r="D34" s="206" t="n">
        <f t="shared" ref="D34:Z34" si="5">(D12/C12)^(12)-1</f>
        <v>3.799005764470742E-2</v>
      </c>
      <c r="E34" s="206" t="n">
        <f t="shared" si="5"/>
        <v>6.3357467016105451E-2</v>
      </c>
      <c r="F34" s="206" t="n">
        <f t="shared" si="5"/>
        <v>5.3247298586749592E-2</v>
      </c>
      <c r="G34" s="206" t="n">
        <f t="shared" si="5"/>
        <v>4.4575363388868805E-2</v>
      </c>
      <c r="H34" s="206" t="n">
        <f t="shared" si="5"/>
        <v>4.9972978556659831E-2</v>
      </c>
      <c r="I34" s="206" t="n">
        <f t="shared" si="5"/>
        <v>5.4824632504445026E-2</v>
      </c>
      <c r="J34" s="206" t="n">
        <f t="shared" si="5"/>
        <v>3.5260241342689014E-2</v>
      </c>
      <c r="K34" s="206" t="n">
        <f t="shared" si="5"/>
        <v>3.2982422405918088E-2</v>
      </c>
      <c r="L34" s="206" t="n">
        <f t="shared" si="5"/>
        <v>3.8518945643091884E-2</v>
      </c>
      <c r="M34" s="206" t="n">
        <f t="shared" si="5"/>
        <v>7.0201828642715958E-2</v>
      </c>
      <c r="N34" s="206" t="n">
        <f t="shared" si="5"/>
        <v>5.9557137704392193E-2</v>
      </c>
      <c r="O34" s="206" t="n">
        <f t="shared" si="5"/>
        <v>4.0235293867976862E-2</v>
      </c>
      <c r="P34" s="206" t="n">
        <f t="shared" si="5"/>
        <v>3.2719520059437901E-2</v>
      </c>
      <c r="Q34" s="206" t="n">
        <f t="shared" si="5"/>
        <v>6.514144593018778E-2</v>
      </c>
      <c r="R34" s="206" t="n">
        <f t="shared" si="5"/>
        <v>4.8996160643866915E-2</v>
      </c>
      <c r="S34" s="206" t="n">
        <f t="shared" si="5"/>
        <v>5.4828192396408904E-2</v>
      </c>
      <c r="T34" s="206" t="n">
        <f t="shared" si="5"/>
        <v>8.2382919779997899E-2</v>
      </c>
      <c r="U34" s="206" t="n">
        <f t="shared" si="5"/>
        <v>1.052200975220785E-2</v>
      </c>
      <c r="V34" s="206" t="n">
        <f t="shared" si="5"/>
        <v>7.2610468750667234E-2</v>
      </c>
      <c r="W34" s="206" t="n">
        <f t="shared" si="5"/>
        <v>7.1201730649114836E-2</v>
      </c>
      <c r="X34" s="206" t="n">
        <f t="shared" si="5"/>
        <v>5.0673323753796407E-2</v>
      </c>
      <c r="Y34" s="206" t="n">
        <f t="shared" si="5"/>
        <v>4.170378545896658E-2</v>
      </c>
      <c r="Z34" s="206" t="n">
        <f t="shared" si="5"/>
        <v>5.5760475369509122E-2</v>
      </c>
      <c r="AA34" s="63"/>
      <c r="AB34" s="63"/>
      <c r="AC34" s="63"/>
      <c r="AD34" s="63"/>
    </row>
    <row r="35">
      <c r="A35" s="193"/>
      <c r="B35" t="s">
        <v>1855</v>
      </c>
      <c r="D35" s="206"/>
      <c r="E35" s="206"/>
      <c r="F35" s="206"/>
      <c r="G35" s="206"/>
      <c r="H35" s="206"/>
      <c r="I35" s="206"/>
      <c r="J35" s="206"/>
      <c r="K35" s="206"/>
      <c r="L35" s="206"/>
      <c r="M35" s="206"/>
      <c r="N35" s="206"/>
      <c r="O35" s="206"/>
      <c r="P35" s="206"/>
      <c r="Q35" s="206"/>
      <c r="R35" s="206"/>
      <c r="S35" s="206"/>
      <c r="T35" s="206"/>
      <c r="U35" s="206"/>
      <c r="V35" s="206"/>
      <c r="W35" s="206"/>
      <c r="X35" s="206"/>
      <c r="Y35" s="206"/>
      <c r="Z35" s="206"/>
      <c r="AA35" s="63"/>
      <c r="AB35" s="63"/>
      <c r="AC35" s="63"/>
      <c r="AD35" s="63"/>
    </row>
    <row r="36">
      <c r="A36" s="193"/>
      <c r="B36" t="s">
        <v>1857</v>
      </c>
      <c r="D36" s="206" t="n">
        <f t="shared" ref="D36:Z36" si="6">(D14/C14)^(12)-1</f>
        <v>2.0365029271033563E-2</v>
      </c>
      <c r="E36" s="206" t="n">
        <f t="shared" si="6"/>
        <v>5.1482879592318564E-2</v>
      </c>
      <c r="F36" s="206" t="n">
        <f t="shared" si="6"/>
        <v>7.8455869418629476E-2</v>
      </c>
      <c r="G36" s="206" t="n">
        <f t="shared" si="6"/>
        <v>6.3869668258956791E-2</v>
      </c>
      <c r="H36" s="206" t="n">
        <f t="shared" si="6"/>
        <v>5.9299303350246912E-2</v>
      </c>
      <c r="I36" s="206" t="n">
        <f t="shared" si="6"/>
        <v>4.8280221057496409E-2</v>
      </c>
      <c r="J36" s="206" t="n">
        <f t="shared" si="6"/>
        <v>4.0244717542295305E-2</v>
      </c>
      <c r="K36" s="206" t="n">
        <f t="shared" si="6"/>
        <v>2.5366582122491321E-2</v>
      </c>
      <c r="L36" s="206" t="n">
        <f t="shared" si="6"/>
        <v>5.0046228788346303E-2</v>
      </c>
      <c r="M36" s="206" t="n">
        <f t="shared" si="6"/>
        <v>6.3742717313237662E-2</v>
      </c>
      <c r="N36" s="206" t="n">
        <f t="shared" si="6"/>
        <v>6.7235583186497916E-2</v>
      </c>
      <c r="O36" s="206" t="n">
        <f t="shared" si="6"/>
        <v>5.8206208718552199E-2</v>
      </c>
      <c r="P36" s="206" t="n">
        <f t="shared" si="6"/>
        <v>4.5023417871011384E-2</v>
      </c>
      <c r="Q36" s="206" t="n">
        <f t="shared" si="6"/>
        <v>4.5061307418852836E-2</v>
      </c>
      <c r="R36" s="206" t="n">
        <f t="shared" si="6"/>
        <v>3.8032941434556822E-2</v>
      </c>
      <c r="S36" s="206" t="n">
        <f t="shared" si="6"/>
        <v>4.59795327686916E-2</v>
      </c>
      <c r="T36" s="206" t="n">
        <f t="shared" si="6"/>
        <v>7.8099579395199514E-2</v>
      </c>
      <c r="U36" s="206" t="n">
        <f t="shared" si="6"/>
        <v>9.1900192457399221E-3</v>
      </c>
      <c r="V36" s="206" t="n">
        <f t="shared" si="6"/>
        <v>6.8091840581138374E-2</v>
      </c>
      <c r="W36" s="206" t="n">
        <f t="shared" si="6"/>
        <v>5.7173674500435201E-2</v>
      </c>
      <c r="X36" s="206" t="n">
        <f t="shared" si="6"/>
        <v>3.2048652721034632E-2</v>
      </c>
      <c r="Y36" s="206" t="n">
        <f t="shared" si="6"/>
        <v>1.9086804779387956E-2</v>
      </c>
      <c r="Z36" s="206" t="n">
        <f t="shared" si="6"/>
        <v>3.6164370985877436E-2</v>
      </c>
      <c r="AA36" s="63"/>
      <c r="AB36" s="63"/>
      <c r="AC36" s="63"/>
      <c r="AD36" s="63"/>
    </row>
    <row r="37">
      <c r="A37" s="193"/>
      <c r="B37" t="s">
        <v>1859</v>
      </c>
      <c r="D37" s="206" t="n">
        <f t="shared" ref="D37:Z37" si="7">(D15/C15)^(12)-1</f>
        <v>3.2938266631028057E-2</v>
      </c>
      <c r="E37" s="206" t="n">
        <f t="shared" si="7"/>
        <v>2.7644192136645263E-2</v>
      </c>
      <c r="F37" s="206" t="n">
        <f t="shared" si="7"/>
        <v>4.1858943940387805E-2</v>
      </c>
      <c r="G37" s="206" t="n">
        <f t="shared" si="7"/>
        <v>3.9216252076649472E-2</v>
      </c>
      <c r="H37" s="206" t="n">
        <f t="shared" si="7"/>
        <v>7.7351472587609216E-2</v>
      </c>
      <c r="I37" s="206" t="n">
        <f t="shared" si="7"/>
        <v>7.2917349757494865E-2</v>
      </c>
      <c r="J37" s="206" t="n">
        <f t="shared" si="7"/>
        <v>5.0954570797017595E-2</v>
      </c>
      <c r="K37" s="206" t="n">
        <f t="shared" si="7"/>
        <v>0.13212657821659612</v>
      </c>
      <c r="L37" s="206" t="n">
        <f t="shared" si="7"/>
        <v>9.1607223976764907E-2</v>
      </c>
      <c r="M37" s="206" t="n">
        <f t="shared" si="7"/>
        <v>7.9658361080225948E-2</v>
      </c>
      <c r="N37" s="206" t="n">
        <f t="shared" si="7"/>
        <v>3.8604886098567048E-2</v>
      </c>
      <c r="O37" s="206" t="n">
        <f t="shared" si="7"/>
        <v>0.10881760422644993</v>
      </c>
      <c r="P37" s="206" t="n">
        <f t="shared" si="7"/>
        <v>0.18615381389271946</v>
      </c>
      <c r="Q37" s="206" t="n">
        <f t="shared" si="7"/>
        <v>0.17642464112952694</v>
      </c>
      <c r="R37" s="206" t="n">
        <f t="shared" si="7"/>
        <v>0.1336786180791798</v>
      </c>
      <c r="S37" s="206" t="n">
        <f t="shared" si="7"/>
        <v>0.15771379938119745</v>
      </c>
      <c r="T37" s="206" t="n">
        <f t="shared" si="7"/>
        <v>0.12523398845374589</v>
      </c>
      <c r="U37" s="206" t="n">
        <f t="shared" si="7"/>
        <v>0.16431889623926255</v>
      </c>
      <c r="V37" s="206" t="n">
        <f t="shared" si="7"/>
        <v>9.6981521654441627E-2</v>
      </c>
      <c r="W37" s="206" t="n">
        <f t="shared" si="7"/>
        <v>7.692418537218737E-2</v>
      </c>
      <c r="X37" s="206" t="n">
        <f t="shared" si="7"/>
        <v>5.5292202512151389E-2</v>
      </c>
      <c r="Y37" s="206" t="n">
        <f t="shared" si="7"/>
        <v>4.2104114748562793E-2</v>
      </c>
      <c r="Z37" s="206" t="n">
        <f t="shared" si="7"/>
        <v>2.901971685203919E-2</v>
      </c>
      <c r="AA37" s="63"/>
      <c r="AB37" s="63"/>
      <c r="AC37" s="63"/>
      <c r="AD37" s="63"/>
    </row>
    <row r="38">
      <c r="B38" t="s">
        <v>1861</v>
      </c>
      <c r="D38" s="206" t="n">
        <f t="shared" ref="D38:Z38" si="8">(D16/C16)^(12)-1</f>
        <v>0.72291569588284976</v>
      </c>
      <c r="E38" s="206" t="n">
        <f t="shared" si="8"/>
        <v>0.90652914977426202</v>
      </c>
      <c r="F38" s="206" t="n">
        <f t="shared" si="8"/>
        <v>-0.15058784271851389</v>
      </c>
      <c r="G38" s="206" t="n">
        <f t="shared" si="8"/>
        <v>8.2415570773829439E-2</v>
      </c>
      <c r="H38" s="206" t="n">
        <f t="shared" si="8"/>
        <v>0.288212400240214</v>
      </c>
      <c r="I38" s="206" t="n">
        <f t="shared" si="8"/>
        <v>0.21557014107504702</v>
      </c>
      <c r="J38" s="206" t="n">
        <f t="shared" si="8"/>
        <v>0.24101686665685773</v>
      </c>
      <c r="K38" s="206" t="n">
        <f t="shared" si="8"/>
        <v>0.15251650157315622</v>
      </c>
      <c r="L38" s="206" t="n">
        <f t="shared" si="8"/>
        <v>0.58970721346460908</v>
      </c>
      <c r="M38" s="206" t="n">
        <f t="shared" si="8"/>
        <v>0.36760042472255372</v>
      </c>
      <c r="N38" s="206" t="n">
        <f t="shared" si="8"/>
        <v>0.11505581871805415</v>
      </c>
      <c r="O38" s="206" t="n">
        <f t="shared" si="8"/>
        <v>0.13924164278085938</v>
      </c>
      <c r="P38" s="206" t="n">
        <f t="shared" si="8"/>
        <v>0.56395992753520474</v>
      </c>
      <c r="Q38" s="206" t="n">
        <f t="shared" si="8"/>
        <v>2.8844246570707157</v>
      </c>
      <c r="R38" s="206" t="n">
        <f t="shared" si="8"/>
        <v>-0.31338167549989293</v>
      </c>
      <c r="S38" s="206" t="n">
        <f t="shared" si="8"/>
        <v>0.59110874420150306</v>
      </c>
      <c r="T38" s="206" t="n">
        <f t="shared" si="8"/>
        <v>1.4194714937063813</v>
      </c>
      <c r="U38" s="206" t="n">
        <f t="shared" si="8"/>
        <v>-0.45413379038575985</v>
      </c>
      <c r="V38" s="206" t="n">
        <f t="shared" si="8"/>
        <v>-0.50057237216762762</v>
      </c>
      <c r="W38" s="206" t="n">
        <f t="shared" si="8"/>
        <v>-0.25306540672645772</v>
      </c>
      <c r="X38" s="206" t="n">
        <f t="shared" si="8"/>
        <v>0.34602413381269881</v>
      </c>
      <c r="Y38" s="206" t="n">
        <f t="shared" si="8"/>
        <v>-0.16696889851534225</v>
      </c>
      <c r="Z38" s="206" t="n">
        <f t="shared" si="8"/>
        <v>-0.46755563534182565</v>
      </c>
      <c r="AA38" s="63"/>
      <c r="AB38" s="63"/>
      <c r="AC38" s="63"/>
      <c r="AD38" s="63"/>
    </row>
    <row r="39">
      <c r="B39" t="s">
        <v>1863</v>
      </c>
      <c r="D39" s="206" t="n">
        <f t="shared" ref="D39:Z39" si="9">(D17/C17)^(12)-1</f>
        <v>4.9558680616075268E-2</v>
      </c>
      <c r="E39" s="206" t="n">
        <f t="shared" si="9"/>
        <v>7.3057516618111329E-2</v>
      </c>
      <c r="F39" s="206" t="n">
        <f t="shared" si="9"/>
        <v>5.2460099709424668E-2</v>
      </c>
      <c r="G39" s="206" t="n">
        <f t="shared" si="9"/>
        <v>5.381520289141295E-2</v>
      </c>
      <c r="H39" s="206" t="n">
        <f t="shared" si="9"/>
        <v>6.1601799694704917E-2</v>
      </c>
      <c r="I39" s="206" t="n">
        <f t="shared" si="9"/>
        <v>5.7681609776136566E-2</v>
      </c>
      <c r="J39" s="206" t="n">
        <f t="shared" si="9"/>
        <v>4.38284003771372E-2</v>
      </c>
      <c r="K39" s="206" t="n">
        <f t="shared" si="9"/>
        <v>3.4557210756703594E-2</v>
      </c>
      <c r="L39" s="206" t="n">
        <f t="shared" si="9"/>
        <v>8.2095552588947074E-2</v>
      </c>
      <c r="M39" s="206" t="n">
        <f t="shared" si="9"/>
        <v>6.5737761414305318E-2</v>
      </c>
      <c r="N39" s="206" t="n">
        <f t="shared" si="9"/>
        <v>6.4384017739507859E-2</v>
      </c>
      <c r="O39" s="206" t="n">
        <f t="shared" si="9"/>
        <v>7.2983192326654178E-2</v>
      </c>
      <c r="P39" s="206" t="n">
        <f t="shared" si="9"/>
        <v>9.2871760771986445E-2</v>
      </c>
      <c r="Q39" s="206" t="n">
        <f t="shared" si="9"/>
        <v>0.13826855618806144</v>
      </c>
      <c r="R39" s="206" t="n">
        <f t="shared" si="9"/>
        <v>1.8616650926342571E-2</v>
      </c>
      <c r="S39" s="206" t="n">
        <f t="shared" si="9"/>
        <v>8.4202927885562273E-2</v>
      </c>
      <c r="T39" s="206" t="n">
        <f t="shared" si="9"/>
        <v>0.13505054386395821</v>
      </c>
      <c r="U39" s="206" t="n">
        <f t="shared" si="9"/>
        <v>-1.9888782007158046E-3</v>
      </c>
      <c r="V39" s="206" t="n">
        <f t="shared" si="9"/>
        <v>1.8775735947116345E-2</v>
      </c>
      <c r="W39" s="206" t="n">
        <f t="shared" si="9"/>
        <v>3.6067570244965097E-2</v>
      </c>
      <c r="X39" s="206" t="n">
        <f t="shared" si="9"/>
        <v>5.5056660956936287E-2</v>
      </c>
      <c r="Y39" s="206" t="n">
        <f t="shared" si="9"/>
        <v>1.0858253476733193E-3</v>
      </c>
      <c r="Z39" s="206" t="n">
        <f t="shared" si="9"/>
        <v>1.0407926311754023E-2</v>
      </c>
      <c r="AA39" s="63"/>
      <c r="AB39" s="63"/>
      <c r="AC39" s="63"/>
      <c r="AD39" s="63"/>
    </row>
    <row r="40">
      <c r="B40" t="s">
        <v>1865</v>
      </c>
      <c r="D40" s="206" t="n">
        <f t="shared" ref="D40:Z40" si="10">(D18/C18)^(12)-1</f>
        <v>2.6306911733675387E-2</v>
      </c>
      <c r="E40" s="206" t="n">
        <f t="shared" si="10"/>
        <v>4.7075720782800756E-2</v>
      </c>
      <c r="F40" s="206" t="n">
        <f t="shared" si="10"/>
        <v>6.4735241863618675E-2</v>
      </c>
      <c r="G40" s="206" t="n">
        <f t="shared" si="10"/>
        <v>5.3863730770375762E-2</v>
      </c>
      <c r="H40" s="206" t="n">
        <f t="shared" si="10"/>
        <v>4.9415026420108532E-2</v>
      </c>
      <c r="I40" s="206" t="n">
        <f t="shared" si="10"/>
        <v>4.8442163355395973E-2</v>
      </c>
      <c r="J40" s="206" t="n">
        <f t="shared" si="10"/>
        <v>3.3445689362926245E-2</v>
      </c>
      <c r="K40" s="206" t="n">
        <f t="shared" si="10"/>
        <v>1.9209551763710087E-2</v>
      </c>
      <c r="L40" s="206" t="n">
        <f t="shared" si="10"/>
        <v>5.8661895401922237E-2</v>
      </c>
      <c r="M40" s="206" t="n">
        <f t="shared" si="10"/>
        <v>4.9648293347485994E-2</v>
      </c>
      <c r="N40" s="206" t="n">
        <f t="shared" si="10"/>
        <v>6.4148804110846225E-2</v>
      </c>
      <c r="O40" s="206" t="n">
        <f t="shared" si="10"/>
        <v>6.5881113028707583E-2</v>
      </c>
      <c r="P40" s="206" t="n">
        <f t="shared" si="10"/>
        <v>6.1834779954741403E-2</v>
      </c>
      <c r="Q40" s="206" t="n">
        <f t="shared" si="10"/>
        <v>5.1972875017657572E-2</v>
      </c>
      <c r="R40" s="206" t="n">
        <f t="shared" si="10"/>
        <v>3.3709236066195469E-2</v>
      </c>
      <c r="S40" s="206" t="n">
        <f t="shared" si="10"/>
        <v>5.1178679027768181E-2</v>
      </c>
      <c r="T40" s="206" t="n">
        <f t="shared" si="10"/>
        <v>8.0351418460051338E-2</v>
      </c>
      <c r="U40" s="206" t="n">
        <f t="shared" si="10"/>
        <v>2.3593165612588507E-2</v>
      </c>
      <c r="V40" s="206" t="n">
        <f t="shared" si="10"/>
        <v>5.7661583960296747E-2</v>
      </c>
      <c r="W40" s="206" t="n">
        <f t="shared" si="10"/>
        <v>5.2682145345352538E-2</v>
      </c>
      <c r="X40" s="206" t="n">
        <f t="shared" si="10"/>
        <v>3.9749380170971849E-2</v>
      </c>
      <c r="Y40" s="206" t="n">
        <f t="shared" si="10"/>
        <v>7.9305005594894062E-3</v>
      </c>
      <c r="Z40" s="206" t="n">
        <f t="shared" si="10"/>
        <v>4.6465414991049503E-2</v>
      </c>
      <c r="AA40" s="63"/>
      <c r="AB40" s="63"/>
      <c r="AC40" s="63"/>
      <c r="AD40" s="63"/>
    </row>
    <row r="43">
      <c r="B43" s="207"/>
      <c r="C43" s="207"/>
      <c r="D43" s="207"/>
      <c r="E43" s="207"/>
      <c r="F43" s="207"/>
      <c r="G43" s="207"/>
      <c r="H43" s="207"/>
      <c r="I43" s="207"/>
      <c r="J43" s="207"/>
      <c r="K43" s="207"/>
      <c r="L43" s="207"/>
      <c r="M43" s="207"/>
      <c r="N43" s="207"/>
      <c r="O43" s="207"/>
      <c r="P43" s="207"/>
      <c r="Q43" s="207" t="s">
        <v>1871</v>
      </c>
      <c r="R43" s="207"/>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row>
    <row r="44">
      <c r="C44" s="63"/>
      <c r="D44" s="63"/>
      <c r="E44" s="63"/>
      <c r="F44" s="63"/>
      <c r="G44" s="63"/>
      <c r="H44" s="63"/>
      <c r="I44" s="63"/>
      <c r="J44" s="63"/>
      <c r="K44" s="63"/>
      <c r="L44" s="63"/>
      <c r="M44" s="63"/>
      <c r="N44" s="63"/>
      <c r="O44" s="63"/>
      <c r="P44" s="63"/>
      <c r="Q44" s="63"/>
      <c r="R44" s="63"/>
      <c r="S44" s="198" t="n">
        <v>2021</v>
      </c>
      <c r="T44" s="199"/>
      <c r="U44" s="199"/>
      <c r="V44" s="199"/>
      <c r="W44" s="199" t="n">
        <v>2022</v>
      </c>
      <c r="X44" s="199"/>
      <c r="Y44" s="199"/>
      <c r="Z44" s="199"/>
      <c r="AA44" s="213" t="n">
        <v>2023</v>
      </c>
      <c r="AB44" s="63"/>
      <c r="AC44" s="63"/>
      <c r="AD44" s="63"/>
      <c r="AE44" s="63"/>
      <c r="AF44" s="63"/>
      <c r="AG44" s="63"/>
      <c r="AH44" s="63"/>
      <c r="AI44" s="63"/>
      <c r="AJ44" s="63"/>
      <c r="AK44" s="63"/>
      <c r="AL44" s="63"/>
      <c r="AM44" s="63"/>
      <c r="AN44" s="63"/>
      <c r="AO44" s="63"/>
      <c r="AP44" s="63"/>
      <c r="AQ44" s="63"/>
      <c r="AR44" s="63"/>
    </row>
    <row r="45">
      <c r="C45" s="63"/>
      <c r="D45" s="63"/>
      <c r="E45" s="63"/>
      <c r="F45" s="63"/>
      <c r="G45" s="63"/>
      <c r="H45" s="63"/>
      <c r="I45" s="63"/>
      <c r="J45" s="63"/>
      <c r="K45" s="63"/>
      <c r="L45" s="63"/>
      <c r="M45" s="63"/>
      <c r="N45" s="63"/>
      <c r="O45" s="63"/>
      <c r="P45" s="63"/>
      <c r="Q45" s="63"/>
      <c r="R45" s="63"/>
      <c r="S45" s="204" t="s">
        <v>328</v>
      </c>
      <c r="T45" s="217" t="s">
        <v>329</v>
      </c>
      <c r="U45" s="217" t="s">
        <v>238</v>
      </c>
      <c r="V45" s="217" t="s">
        <v>327</v>
      </c>
      <c r="W45" s="217" t="s">
        <v>328</v>
      </c>
      <c r="X45" s="217" t="s">
        <v>329</v>
      </c>
      <c r="Y45" s="217" t="s">
        <v>238</v>
      </c>
      <c r="Z45" s="200" t="s">
        <v>327</v>
      </c>
      <c r="AA45" s="203" t="s">
        <v>328</v>
      </c>
      <c r="AB45" s="63"/>
      <c r="AC45" s="63"/>
      <c r="AD45" s="63"/>
      <c r="AE45" s="63"/>
      <c r="AF45" s="63"/>
      <c r="AG45" s="63"/>
      <c r="AH45" s="63"/>
      <c r="AI45" s="63"/>
      <c r="AJ45" s="63"/>
      <c r="AK45" s="63"/>
      <c r="AL45" s="63"/>
      <c r="AM45" s="63"/>
      <c r="AN45" s="63"/>
      <c r="AO45" s="63"/>
      <c r="AP45" s="63"/>
      <c r="AQ45" s="63"/>
      <c r="AR45" s="63"/>
    </row>
    <row r="46">
      <c r="C46" s="63"/>
      <c r="D46" s="63"/>
      <c r="E46" s="63"/>
      <c r="F46" s="63"/>
      <c r="G46" s="63"/>
      <c r="H46" s="63"/>
      <c r="I46" s="63"/>
      <c r="J46" s="63"/>
      <c r="K46" s="63"/>
      <c r="L46" s="63"/>
      <c r="M46" s="63"/>
      <c r="N46" s="63"/>
      <c r="O46" s="63"/>
      <c r="P46" s="63"/>
      <c r="Q46" s="63"/>
      <c r="R46" s="63"/>
      <c r="S46" s="210" t="n">
        <f>SUM(C8:E8)/3</f>
        <v>113.05866666666667</v>
      </c>
      <c r="T46" s="64" t="n">
        <f>SUM(F8:H8)/3</f>
        <v>114.83833333333332</v>
      </c>
      <c r="U46" s="64" t="n">
        <f>SUM(I8:K8)/3</f>
        <v>116.41266666666667</v>
      </c>
      <c r="V46" s="64" t="n">
        <f>AVERAGE(L8:N8)</f>
        <v>118.17333333333333</v>
      </c>
      <c r="W46" s="64" t="n">
        <f>AVERAGE(O8:Q8)</f>
        <v>120.32266666666665</v>
      </c>
      <c r="X46" s="64" t="n">
        <f>AVERAGE(R8:T8)</f>
        <v>122.45833333333333</v>
      </c>
      <c r="Y46" s="64" t="n">
        <f>AVERAGE(U8:W8)</f>
        <v>123.75966666666666</v>
      </c>
      <c r="Z46" s="211" t="n">
        <f>AVERAGE(X8:Z8)</f>
        <v>124.72533333333335</v>
      </c>
      <c r="AA46" s="211" t="n">
        <f>AVERAGE(AA8:AC8)</f>
        <v>125.27284888847669</v>
      </c>
      <c r="AB46" s="63"/>
      <c r="AC46" s="63"/>
      <c r="AD46" s="63"/>
      <c r="AE46" s="63"/>
      <c r="AF46" s="63"/>
      <c r="AG46" s="63"/>
      <c r="AH46" s="63"/>
      <c r="AI46" s="63"/>
      <c r="AJ46" s="63"/>
      <c r="AK46" s="63"/>
      <c r="AL46" s="63"/>
      <c r="AM46" s="63"/>
      <c r="AN46" s="63"/>
      <c r="AO46" s="63"/>
      <c r="AP46" s="63"/>
      <c r="AQ46" s="63"/>
      <c r="AR46" s="63"/>
    </row>
    <row r="47">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row>
    <row r="48">
      <c r="B48" s="63"/>
      <c r="C48" s="63"/>
      <c r="D48" s="63"/>
      <c r="E48" s="63"/>
      <c r="F48" s="63"/>
      <c r="G48" s="63"/>
      <c r="H48" s="63"/>
      <c r="I48" s="63"/>
      <c r="J48" s="63"/>
      <c r="K48" s="63"/>
      <c r="L48" s="63"/>
      <c r="M48" s="63"/>
      <c r="N48" s="63"/>
      <c r="O48" s="63"/>
      <c r="P48" s="63"/>
      <c r="Q48" s="207" t="s">
        <v>1872</v>
      </c>
    </row>
    <row r="49" ht="43.5" customHeight="1">
      <c r="B49" s="63"/>
      <c r="C49" s="123"/>
      <c r="D49" s="123"/>
      <c r="E49" s="123"/>
      <c r="F49" s="123"/>
      <c r="G49" s="123"/>
      <c r="H49" s="123"/>
      <c r="S49" s="198" t="n">
        <v>2021</v>
      </c>
      <c r="T49" s="199"/>
      <c r="U49" s="199"/>
      <c r="V49" s="199"/>
      <c r="W49" s="199" t="n">
        <v>2022</v>
      </c>
      <c r="X49" s="199"/>
      <c r="Y49" s="199"/>
      <c r="Z49" s="199"/>
      <c r="AA49" s="213" t="n">
        <v>2023</v>
      </c>
      <c r="AB49" s="90" t="s">
        <v>1881</v>
      </c>
      <c r="AC49" s="34"/>
    </row>
    <row r="50">
      <c r="B50" s="63"/>
      <c r="C50" s="63"/>
      <c r="D50" s="63"/>
      <c r="E50" s="63"/>
      <c r="F50" s="63"/>
      <c r="G50" s="63"/>
      <c r="H50" s="63"/>
      <c r="S50" s="204" t="s">
        <v>328</v>
      </c>
      <c r="T50" s="217" t="s">
        <v>329</v>
      </c>
      <c r="U50" s="217" t="s">
        <v>238</v>
      </c>
      <c r="V50" s="217" t="s">
        <v>327</v>
      </c>
      <c r="W50" s="217" t="s">
        <v>328</v>
      </c>
      <c r="X50" s="217" t="s">
        <v>329</v>
      </c>
      <c r="Y50" s="217" t="s">
        <v>238</v>
      </c>
      <c r="Z50" s="200" t="s">
        <v>327</v>
      </c>
      <c r="AA50" s="203" t="s">
        <v>328</v>
      </c>
      <c r="AB50" s="34"/>
    </row>
    <row r="51">
      <c r="B51" s="63"/>
      <c r="C51" s="63"/>
      <c r="D51" s="63"/>
      <c r="E51" s="63"/>
      <c r="F51" s="63"/>
      <c r="G51" s="63"/>
      <c r="H51" s="63"/>
      <c r="S51" s="41"/>
      <c r="T51" s="218" t="n">
        <f t="shared" ref="T51:Y51" si="11">(T46/S46)^4-1</f>
        <v>6.4466715030665034E-2</v>
      </c>
      <c r="U51" s="218" t="n">
        <f t="shared" si="11"/>
        <v>5.5974491632073686E-2</v>
      </c>
      <c r="V51" s="218" t="n">
        <f t="shared" si="11"/>
        <v>6.1883793652025565E-2</v>
      </c>
      <c r="W51" s="218" t="n">
        <f t="shared" si="11"/>
        <v>7.4760879860437557E-2</v>
      </c>
      <c r="X51" s="218" t="n">
        <f t="shared" si="11"/>
        <v>7.2910717592092666E-2</v>
      </c>
      <c r="Y51" s="218" t="n">
        <f t="shared" si="11"/>
        <v>4.3189354230043886E-2</v>
      </c>
      <c r="Z51" s="219" t="n">
        <f>(Z46/Y46)^4-1</f>
        <v>3.1578232055955224E-2</v>
      </c>
      <c r="AA51" s="219" t="n">
        <f>(AA46/Z46)^4-1</f>
        <v>1.7675040150680443E-2</v>
      </c>
      <c r="AB51" s="214" t="n">
        <f>Deflators!U12</f>
        <v>3.5724460314211282E-2</v>
      </c>
    </row>
    <row r="52">
      <c r="B52" s="63"/>
      <c r="C52" s="63"/>
      <c r="D52" s="63"/>
      <c r="E52" s="63"/>
      <c r="F52" s="63"/>
      <c r="G52" s="63"/>
      <c r="H52" s="63"/>
      <c r="I52" s="63"/>
      <c r="J52" s="63"/>
      <c r="K52" s="63"/>
      <c r="L52" s="63"/>
      <c r="M52" s="63"/>
      <c r="N52" s="63"/>
      <c r="O52" s="63"/>
      <c r="P52" s="63"/>
      <c r="Q52" s="63"/>
    </row>
    <row r="53">
      <c r="B53" s="63"/>
      <c r="C53" s="63"/>
      <c r="D53" s="63"/>
      <c r="E53" s="63"/>
      <c r="F53" s="63"/>
      <c r="G53" s="63"/>
      <c r="H53" s="63"/>
      <c r="I53" s="63"/>
      <c r="J53" s="63"/>
      <c r="K53" s="63"/>
      <c r="L53" s="63"/>
      <c r="M53" s="63"/>
      <c r="N53" s="63"/>
      <c r="O53" s="63"/>
      <c r="P53" s="63"/>
      <c r="Q53" s="63"/>
    </row>
    <row r="54">
      <c r="B54" s="63"/>
      <c r="E54" s="63"/>
      <c r="F54" s="63"/>
      <c r="G54" s="63"/>
      <c r="H54" s="63"/>
      <c r="I54" s="63"/>
      <c r="J54" s="63"/>
      <c r="K54" s="63"/>
      <c r="L54" s="63"/>
      <c r="M54" s="63"/>
      <c r="N54" s="63"/>
      <c r="O54" s="63"/>
      <c r="P54" s="63"/>
      <c r="Q54" s="63"/>
    </row>
    <row r="55">
      <c r="B55" s="63"/>
      <c r="E55" s="63"/>
      <c r="F55" s="63"/>
      <c r="G55" s="63"/>
      <c r="H55" s="63"/>
      <c r="I55" s="63"/>
      <c r="J55" s="63"/>
      <c r="K55" s="63"/>
      <c r="L55" s="63"/>
      <c r="M55" s="63"/>
      <c r="N55" s="63"/>
      <c r="O55" s="63"/>
      <c r="P55" s="63"/>
      <c r="Q55" s="63"/>
    </row>
    <row r="56">
      <c r="B56" s="63"/>
      <c r="C56" s="63"/>
      <c r="D56" s="63"/>
      <c r="E56" s="63"/>
      <c r="F56" s="63"/>
      <c r="G56" s="63"/>
      <c r="H56" s="63"/>
      <c r="I56" s="63"/>
      <c r="J56" s="63"/>
      <c r="K56" s="63"/>
      <c r="L56" s="63"/>
      <c r="M56" s="63"/>
      <c r="N56" s="63"/>
      <c r="O56" s="63"/>
      <c r="P56" s="63"/>
      <c r="Q56" s="63"/>
    </row>
    <row r="57">
      <c r="B57" s="63"/>
      <c r="C57" s="63"/>
      <c r="D57" s="63"/>
      <c r="E57" s="63"/>
      <c r="F57" s="63"/>
      <c r="G57" s="63"/>
      <c r="H57" s="63"/>
      <c r="I57" s="63"/>
      <c r="J57" s="63"/>
      <c r="K57" s="63"/>
      <c r="L57" s="63"/>
      <c r="M57" s="63"/>
      <c r="N57" s="63"/>
      <c r="O57" s="63"/>
      <c r="P57" s="63"/>
      <c r="Q57" s="63"/>
    </row>
  </sheetData>
  <mergeCells count="20">
    <mergeCell ref="S49:V49"/>
    <mergeCell ref="S44:V44"/>
    <mergeCell ref="C28:N28"/>
    <mergeCell ref="C27:Y27"/>
    <mergeCell ref="W44:Z44"/>
    <mergeCell ref="W49:Z49"/>
    <mergeCell ref="A1:Z1"/>
    <mergeCell ref="A2:Z2"/>
    <mergeCell ref="A3:Z3"/>
    <mergeCell ref="A4:Z4"/>
    <mergeCell ref="O28:Y28"/>
    <mergeCell ref="A19:AA19"/>
    <mergeCell ref="A20:AA20"/>
    <mergeCell ref="A21:AA21"/>
    <mergeCell ref="A22:AA22"/>
    <mergeCell ref="AA6:AC6"/>
    <mergeCell ref="A6:A7"/>
    <mergeCell ref="B6:B7"/>
    <mergeCell ref="C6:N6"/>
    <mergeCell ref="O6:Z6"/>
  </mergeCell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M8" sqref="M8"/>
    </sheetView>
  </sheetViews>
  <sheetFormatPr defaultRowHeight="15.0" baseColWidth="10"/>
  <cols>
    <col min="1" max="1" width="33" hidden="0" customWidth="1"/>
    <col min="2" max="2" width="27.140625" hidden="0" customWidth="1"/>
  </cols>
  <sheetData>
    <row r="1">
      <c r="A1" s="103" t="s">
        <v>178</v>
      </c>
      <c r="B1" s="103" t="s">
        <v>179</v>
      </c>
      <c r="C1" s="221" t="s">
        <v>292</v>
      </c>
      <c r="D1" s="221" t="s">
        <v>293</v>
      </c>
      <c r="E1" s="221" t="s">
        <v>294</v>
      </c>
      <c r="F1" s="221" t="s">
        <v>295</v>
      </c>
      <c r="G1" s="103" t="s">
        <v>296</v>
      </c>
      <c r="H1" s="103" t="s">
        <v>180</v>
      </c>
      <c r="I1" s="103" t="s">
        <v>181</v>
      </c>
      <c r="J1" s="103" t="s">
        <v>182</v>
      </c>
      <c r="K1" s="103" t="s">
        <v>183</v>
      </c>
      <c r="L1" s="127" t="s">
        <v>184</v>
      </c>
      <c r="M1" s="127" t="s">
        <v>185</v>
      </c>
      <c r="N1" s="127"/>
      <c r="O1" s="127"/>
      <c r="P1" s="127"/>
      <c r="Q1" s="127"/>
      <c r="R1" s="127"/>
      <c r="S1" s="127"/>
      <c r="T1" s="127"/>
      <c r="U1" s="127"/>
      <c r="V1" s="127"/>
    </row>
    <row r="2" ht="29.1" customHeight="1">
      <c r="A2" s="34" t="s">
        <v>297</v>
      </c>
      <c r="B2" t="s">
        <v>298</v>
      </c>
      <c r="C2" t="n">
        <f>Grants!J79</f>
        <v>325.28399999999999</v>
      </c>
      <c r="D2" t="n">
        <f>Grants!K79</f>
        <v>297.32000000000005</v>
      </c>
      <c r="E2" t="n">
        <f>Grants!L79</f>
        <v>289.54199999999997</v>
      </c>
      <c r="F2" t="n">
        <f>Grants!M79</f>
        <v>315.67900000000003</v>
      </c>
      <c r="G2" t="n">
        <f>Grants!N79</f>
        <v>361.52700000000004</v>
      </c>
      <c r="H2" t="n">
        <f>Grants!O79</f>
        <v>374.99100000000004</v>
      </c>
      <c r="I2" s="63" t="n">
        <f>Grants!P79</f>
        <v>401.58485200000007</v>
      </c>
      <c r="J2" s="63" t="n">
        <f>Grants!Q79</f>
        <v>438.45827479999997</v>
      </c>
      <c r="K2" s="63" t="n">
        <f>Grants!R79</f>
        <v>505.04903199999995</v>
      </c>
      <c r="L2" s="63" t="n">
        <f>Grants!S79</f>
        <v>492.38786800000003</v>
      </c>
      <c r="M2" s="63" t="n">
        <f>Grants!T79</f>
        <v>418.716928</v>
      </c>
    </row>
    <row r="3" ht="29.1" customHeight="1">
      <c r="A3" s="34" t="s">
        <v>845</v>
      </c>
      <c r="B3" t="s">
        <v>842</v>
      </c>
      <c r="C3" t="n">
        <f>'Social Benefits'!J27</f>
        <v>1644.1999999999998</v>
      </c>
      <c r="D3" t="n">
        <f>'Social Benefits'!K27</f>
        <v>1803.4</v>
      </c>
      <c r="E3" t="n">
        <f>'Social Benefits'!L27</f>
        <v>1696.0999999999997</v>
      </c>
      <c r="F3" t="n">
        <f>'Social Benefits'!M27</f>
        <v>1725.9</v>
      </c>
      <c r="G3" t="n">
        <f>'Social Benefits'!N27</f>
        <v>1734.2781600000001</v>
      </c>
      <c r="H3" t="n">
        <f>'Social Benefits'!O27</f>
        <v>1906.0298400000004</v>
      </c>
      <c r="I3" s="63" t="n">
        <f>'Social Benefits'!P27</f>
        <v>1884.7240000000002</v>
      </c>
      <c r="J3" s="63" t="n">
        <f>'Social Benefits'!Q27</f>
        <v>1832.0239999999999</v>
      </c>
      <c r="K3" s="63" t="n">
        <f>'Social Benefits'!R27</f>
        <v>1823.624</v>
      </c>
      <c r="L3" s="63" t="n">
        <f>'Social Benefits'!S27</f>
        <v>1820.1019999999999</v>
      </c>
      <c r="M3" s="63" t="n">
        <f>'Social Benefits'!T27</f>
        <v>1906.4740000000004</v>
      </c>
    </row>
    <row r="4" ht="29.1" customHeight="1">
      <c r="A4" s="34" t="s">
        <v>847</v>
      </c>
      <c r="B4" t="s">
        <v>843</v>
      </c>
      <c r="C4" t="n">
        <f>'Social Benefits'!J17</f>
        <v>0</v>
      </c>
      <c r="D4" t="n">
        <f>'Social Benefits'!K17</f>
        <v>0</v>
      </c>
      <c r="E4" t="n">
        <f>'Social Benefits'!L17</f>
        <v>0</v>
      </c>
      <c r="F4" t="n">
        <f>'Social Benefits'!M17</f>
        <v>0</v>
      </c>
      <c r="G4" t="n">
        <f>'Social Benefits'!N17</f>
        <v>33.921840000000024</v>
      </c>
      <c r="H4" t="n">
        <f>'Social Benefits'!O17</f>
        <v>44.966160000000031</v>
      </c>
      <c r="I4" s="63" t="n">
        <f>'Social Benefits'!P17</f>
        <v>52.756999999999998</v>
      </c>
      <c r="J4" s="63" t="n">
        <f>'Social Benefits'!Q17</f>
        <v>52.756999999999998</v>
      </c>
      <c r="K4" s="63" t="n">
        <f>'Social Benefits'!R17</f>
        <v>52.756999999999998</v>
      </c>
      <c r="L4" s="63" t="n">
        <f>'Social Benefits'!S17</f>
        <v>52.756999999999998</v>
      </c>
      <c r="M4" s="63" t="n">
        <f>'Social Benefits'!T17</f>
        <v>30</v>
      </c>
    </row>
    <row r="5">
      <c r="A5" s="34" t="s">
        <v>846</v>
      </c>
      <c r="B5" t="s">
        <v>844</v>
      </c>
      <c r="C5" t="n">
        <f>'Social Benefits'!J24</f>
        <v>160.9</v>
      </c>
      <c r="D5" t="n">
        <f>'Social Benefits'!K24</f>
        <v>58.4</v>
      </c>
      <c r="E5" t="n">
        <f>'Social Benefits'!L24</f>
        <v>34.5</v>
      </c>
      <c r="F5" t="n">
        <f>'Social Benefits'!M24</f>
        <v>21.4</v>
      </c>
      <c r="G5" t="n">
        <f>'Social Benefits'!N24</f>
        <v>13.3</v>
      </c>
      <c r="H5" t="n">
        <f>'Social Benefits'!O24</f>
        <v>21.804000000000041</v>
      </c>
      <c r="I5" s="63" t="n">
        <f>'Social Benefits'!P24</f>
        <v>51.919000000000011</v>
      </c>
      <c r="J5" s="63" t="n">
        <f>'Social Benefits'!Q24</f>
        <v>46.619</v>
      </c>
      <c r="K5" s="63" t="n">
        <f>'Social Benefits'!R24</f>
        <v>39.719000000000008</v>
      </c>
      <c r="L5" s="63" t="n">
        <f>'Social Benefits'!S24</f>
        <v>27.819000000000003</v>
      </c>
      <c r="M5" s="63" t="n">
        <f>'Social Benefits'!T24</f>
        <v>6.3160000000000007</v>
      </c>
    </row>
    <row r="6">
      <c r="A6" s="63" t="s">
        <v>201</v>
      </c>
      <c r="B6" s="63" t="s">
        <v>884</v>
      </c>
      <c r="C6" s="222" t="n">
        <f>Subsidies!J45</f>
        <v>0</v>
      </c>
      <c r="D6" s="222" t="n">
        <f>Subsidies!K45</f>
        <v>0</v>
      </c>
      <c r="E6" s="222" t="n">
        <f>Subsidies!L45</f>
        <v>0</v>
      </c>
      <c r="F6" s="222" t="n">
        <f>Subsidies!M45</f>
        <v>0</v>
      </c>
      <c r="G6" s="222" t="n">
        <f>Subsidies!N45</f>
        <v>58.782959999999989</v>
      </c>
      <c r="H6" s="222" t="n">
        <f>Subsidies!O45</f>
        <v>267.78904</v>
      </c>
      <c r="I6" s="222" t="n">
        <f>Subsidies!P45</f>
        <v>110.24799999999999</v>
      </c>
      <c r="J6" s="222" t="n">
        <f>Subsidies!Q45</f>
        <v>110.24799999999999</v>
      </c>
      <c r="K6" s="222" t="n">
        <f>Subsidies!R45</f>
        <v>110.24799999999999</v>
      </c>
      <c r="L6" s="222" t="n">
        <f>Subsidies!S45</f>
        <v>110.24799999999999</v>
      </c>
      <c r="M6" s="222" t="n">
        <f>Subsidies!T45</f>
        <v>12.726000000000001</v>
      </c>
    </row>
    <row r="7" ht="29.1" customHeight="1">
      <c r="A7" s="34" t="s">
        <v>925</v>
      </c>
      <c r="B7" t="s">
        <v>923</v>
      </c>
      <c r="C7" s="63"/>
      <c r="D7" s="63"/>
      <c r="E7" s="63"/>
      <c r="F7" s="63"/>
      <c r="G7" s="63"/>
      <c r="H7" s="63"/>
      <c r="J7" s="220"/>
      <c r="K7" s="220"/>
      <c r="L7" s="220"/>
      <c r="M7" s="220" t="n">
        <f>forecast!C21</f>
        <v>350.30119606059549</v>
      </c>
    </row>
    <row r="8">
      <c r="A8" t="s">
        <v>926</v>
      </c>
      <c r="B8" t="s">
        <v>924</v>
      </c>
      <c r="C8" s="63"/>
      <c r="D8" s="63"/>
      <c r="E8" s="63"/>
      <c r="F8" s="63"/>
      <c r="G8" s="63"/>
      <c r="H8" s="63"/>
      <c r="J8" s="220"/>
      <c r="K8" s="220"/>
      <c r="L8" s="220"/>
      <c r="M8" s="220" t="n">
        <f>forecast!C22</f>
        <v>95.360546952748706</v>
      </c>
    </row>
    <row r="9">
      <c r="A9" s="34" t="s">
        <v>997</v>
      </c>
      <c r="B9" t="s">
        <v>998</v>
      </c>
      <c r="C9" t="n">
        <f>Grants!J99</f>
        <v>76.015000000000001</v>
      </c>
      <c r="D9" t="n">
        <f>Grants!K99</f>
        <v>78.872</v>
      </c>
      <c r="E9" t="n">
        <f>Grants!L99</f>
        <v>75.819000000000003</v>
      </c>
      <c r="F9" t="n">
        <f>Grants!M99</f>
        <v>73.662000000000006</v>
      </c>
      <c r="G9" t="n">
        <f>Grants!N99</f>
        <v>75.066000000000003</v>
      </c>
      <c r="H9" t="n">
        <f>Grants!O99</f>
        <v>69.344999999999999</v>
      </c>
      <c r="I9" t="n">
        <f>Grants!P99</f>
        <v>72.477000000000004</v>
      </c>
      <c r="J9" t="n">
        <f>Grants!Q99</f>
        <v>72.528999999999996</v>
      </c>
      <c r="K9" t="n">
        <f>Grants!R99</f>
        <v>75.340000000000018</v>
      </c>
      <c r="L9" t="n">
        <f>Grants!S99</f>
        <v>75.340000000000018</v>
      </c>
      <c r="M9" s="63" t="n">
        <f>Grants!T99</f>
        <v>76.15900000000002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8" sqref="C8"/>
    </sheetView>
  </sheetViews>
  <sheetFormatPr defaultRowHeight="15.0" baseColWidth="10"/>
  <cols>
    <col min="1" max="1" width="32.85546875" hidden="0" customWidth="1"/>
    <col min="2" max="2" width="28.5703125" hidden="0" customWidth="1"/>
  </cols>
  <sheetData>
    <row r="1">
      <c r="A1" s="103" t="s">
        <v>178</v>
      </c>
      <c r="B1" s="103" t="s">
        <v>179</v>
      </c>
      <c r="C1" s="104" t="s">
        <v>186</v>
      </c>
      <c r="D1" s="104" t="s">
        <v>187</v>
      </c>
      <c r="E1" s="104" t="s">
        <v>188</v>
      </c>
      <c r="F1" s="104" t="s">
        <v>189</v>
      </c>
      <c r="G1" s="104" t="s">
        <v>190</v>
      </c>
      <c r="H1" s="104" t="s">
        <v>191</v>
      </c>
      <c r="I1" s="104" t="s">
        <v>175</v>
      </c>
      <c r="J1" s="104" t="s">
        <v>176</v>
      </c>
      <c r="K1" s="104" t="s">
        <v>177</v>
      </c>
    </row>
    <row r="2">
      <c r="A2" s="101" t="s">
        <v>1794</v>
      </c>
      <c r="B2" t="s">
        <v>1816</v>
      </c>
      <c r="C2" s="102" t="n">
        <f>Deflators!U23</f>
        <v>8.8139015717265679E-3</v>
      </c>
      <c r="D2" s="102" t="n">
        <f>Deflators!V23</f>
        <v>8.3188189000429347E-3</v>
      </c>
      <c r="E2" s="102" t="n">
        <f>Deflators!W23</f>
        <v>8.1907640097225176E-3</v>
      </c>
      <c r="F2" s="102" t="n">
        <f>Deflators!X23</f>
        <v>7.3454744803962413E-3</v>
      </c>
      <c r="G2" s="102" t="n">
        <f>Deflators!Y23</f>
        <v>6.5490951570947864E-3</v>
      </c>
      <c r="H2" s="102" t="n">
        <f>Deflators!Z23</f>
        <v>5.9906111616996327E-3</v>
      </c>
      <c r="I2" s="102" t="n">
        <f>Deflators!AA23</f>
        <v>5.71393990210467E-3</v>
      </c>
      <c r="J2" s="102" t="n">
        <f>Deflators!AB23</f>
        <v>5.5553568504056461E-3</v>
      </c>
      <c r="K2" s="102" t="n">
        <f>Deflators!AC23</f>
        <v>5.5715712180339771E-3</v>
      </c>
    </row>
    <row r="3">
      <c r="A3" s="75" t="s">
        <v>1812</v>
      </c>
      <c r="B3" t="s">
        <v>1817</v>
      </c>
      <c r="C3" s="102" t="n">
        <f>Deflators!U24</f>
        <v>6.420346547156619E-3</v>
      </c>
      <c r="D3" s="102" t="n">
        <f>Deflators!V24</f>
        <v>5.8253876907148339E-3</v>
      </c>
      <c r="E3" s="102" t="n">
        <f>Deflators!W24</f>
        <v>6.2764579641267915E-3</v>
      </c>
      <c r="F3" s="102" t="n">
        <f>Deflators!X24</f>
        <v>6.3178989208103609E-3</v>
      </c>
      <c r="G3" s="102" t="n">
        <f>Deflators!Y24</f>
        <v>7.2725232743062751E-3</v>
      </c>
      <c r="H3" s="102" t="n">
        <f>Deflators!Z24</f>
        <v>6.9843961411393263E-3</v>
      </c>
      <c r="I3" s="102" t="n">
        <f>Deflators!AA24</f>
        <v>6.8014963862881306E-3</v>
      </c>
      <c r="J3" s="102" t="n">
        <f>Deflators!AB24</f>
        <v>6.6185723821980957E-3</v>
      </c>
      <c r="K3" s="102" t="n">
        <f>Deflators!AC24</f>
        <v>5.9560502446180941E-3</v>
      </c>
    </row>
    <row r="4">
      <c r="A4" s="75" t="s">
        <v>1813</v>
      </c>
      <c r="B4" t="s">
        <v>1818</v>
      </c>
      <c r="C4" s="102" t="n">
        <f>Deflators!U25</f>
        <v>8.5814151419392193E-3</v>
      </c>
      <c r="D4" s="102" t="n">
        <f>Deflators!V25</f>
        <v>8.0131585685250251E-3</v>
      </c>
      <c r="E4" s="102" t="n">
        <f>Deflators!W25</f>
        <v>8.630577055315225E-3</v>
      </c>
      <c r="F4" s="102" t="n">
        <f>Deflators!X25</f>
        <v>8.4934420030498003E-3</v>
      </c>
      <c r="G4" s="102" t="n">
        <f>Deflators!Y25</f>
        <v>7.7301491027170766E-3</v>
      </c>
      <c r="H4" s="102" t="n">
        <f>Deflators!Z25</f>
        <v>6.9446663109324902E-3</v>
      </c>
      <c r="I4" s="102" t="n">
        <f>Deflators!AA25</f>
        <v>6.7023012839417806E-3</v>
      </c>
      <c r="J4" s="102" t="n">
        <f>Deflators!AB25</f>
        <v>6.5949786314196679E-3</v>
      </c>
      <c r="K4" s="102" t="n">
        <f>Deflators!AC25</f>
        <v>6.8419370723198369E-3</v>
      </c>
    </row>
    <row r="5">
      <c r="A5" s="75" t="s">
        <v>1814</v>
      </c>
      <c r="B5" t="s">
        <v>1819</v>
      </c>
      <c r="C5" s="102" t="n">
        <f>Deflators!U26</f>
        <v>8.5814151419392193E-3</v>
      </c>
      <c r="D5" s="102" t="n">
        <f>Deflators!V26</f>
        <v>8.0131585685250251E-3</v>
      </c>
      <c r="E5" s="102" t="n">
        <f>Deflators!W26</f>
        <v>8.630577055315225E-3</v>
      </c>
      <c r="F5" s="102" t="n">
        <f>Deflators!X26</f>
        <v>8.4934420030498003E-3</v>
      </c>
      <c r="G5" s="102" t="n">
        <f>Deflators!Y26</f>
        <v>7.7301491027170766E-3</v>
      </c>
      <c r="H5" s="102" t="n">
        <f>Deflators!Z26</f>
        <v>6.9446663109324902E-3</v>
      </c>
      <c r="I5" s="102" t="n">
        <f>Deflators!AA26</f>
        <v>6.7023012839417806E-3</v>
      </c>
      <c r="J5" s="102" t="n">
        <f>Deflators!AB26</f>
        <v>6.5949786314196679E-3</v>
      </c>
      <c r="K5" s="102" t="n">
        <f>Deflators!AC26</f>
        <v>6.8419370723198369E-3</v>
      </c>
    </row>
    <row r="6">
      <c r="A6" s="63" t="s">
        <v>1815</v>
      </c>
      <c r="B6" t="s">
        <v>1820</v>
      </c>
      <c r="C6" s="102" t="n">
        <f>Deflators!U27</f>
        <v>8.5814151419392193E-3</v>
      </c>
      <c r="D6" s="102" t="n">
        <f>Deflators!V27</f>
        <v>8.0131585685250251E-3</v>
      </c>
      <c r="E6" s="102" t="n">
        <f>Deflators!W27</f>
        <v>8.630577055315225E-3</v>
      </c>
      <c r="F6" s="102" t="n">
        <f>Deflators!X27</f>
        <v>8.4934420030498003E-3</v>
      </c>
      <c r="G6" s="102" t="n">
        <f>Deflators!Y27</f>
        <v>7.7301491027170766E-3</v>
      </c>
      <c r="H6" s="102" t="n">
        <f>Deflators!Z27</f>
        <v>6.9446663109324902E-3</v>
      </c>
      <c r="I6" s="102" t="n">
        <f>Deflators!AA27</f>
        <v>6.7023012839417806E-3</v>
      </c>
      <c r="J6" s="102" t="n">
        <f>Deflators!AB27</f>
        <v>6.5949786314196679E-3</v>
      </c>
      <c r="K6" s="102" t="n">
        <f>Deflators!AC27</f>
        <v>6.8419370723198369E-3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B8" sqref="B8"/>
    </sheetView>
  </sheetViews>
  <sheetFormatPr defaultRowHeight="15.0" baseColWidth="10"/>
  <cols>
    <col min="1" max="1" width="70.85546875" hidden="0" customWidth="1"/>
    <col min="2" max="2" width="70.85546875" hidden="0" customWidth="1"/>
  </cols>
  <sheetData>
    <row r="1" ht="15.6" customHeight="1">
      <c r="A1" s="223" t="s">
        <v>299</v>
      </c>
      <c r="B1" s="223"/>
      <c r="C1" s="223"/>
      <c r="D1" s="223"/>
      <c r="E1" s="223"/>
      <c r="F1" s="223"/>
      <c r="G1" s="223"/>
      <c r="H1" s="223"/>
      <c r="I1" s="223"/>
      <c r="J1" s="223"/>
      <c r="K1" s="223"/>
      <c r="L1" s="223"/>
      <c r="M1" s="223"/>
      <c r="N1" s="223"/>
      <c r="O1" s="223"/>
    </row>
    <row r="2" ht="31.35" customHeight="1">
      <c r="A2" s="224"/>
      <c r="B2" s="224" t="s">
        <v>179</v>
      </c>
      <c r="C2" s="231" t="n">
        <v>1</v>
      </c>
      <c r="D2" s="231" t="n">
        <f>C2+1</f>
        <v>2</v>
      </c>
      <c r="E2" s="231" t="n">
        <f t="shared" ref="E2:N2" si="0">D2+1</f>
        <v>3</v>
      </c>
      <c r="F2" s="231" t="n">
        <f t="shared" si="0"/>
        <v>4</v>
      </c>
      <c r="G2" s="231" t="n">
        <f t="shared" si="0"/>
        <v>5</v>
      </c>
      <c r="H2" s="231" t="n">
        <f t="shared" si="0"/>
        <v>6</v>
      </c>
      <c r="I2" s="231" t="n">
        <f t="shared" si="0"/>
        <v>7</v>
      </c>
      <c r="J2" s="231" t="n">
        <f t="shared" si="0"/>
        <v>8</v>
      </c>
      <c r="K2" s="231" t="n">
        <f t="shared" si="0"/>
        <v>9</v>
      </c>
      <c r="L2" s="231" t="n">
        <f t="shared" si="0"/>
        <v>10</v>
      </c>
      <c r="M2" s="231" t="n">
        <f t="shared" si="0"/>
        <v>11</v>
      </c>
      <c r="N2" s="231" t="n">
        <f t="shared" si="0"/>
        <v>12</v>
      </c>
      <c r="O2" s="229" t="s">
        <v>300</v>
      </c>
    </row>
    <row r="3" ht="15.6" customHeight="1">
      <c r="A3" s="226" t="s">
        <v>301</v>
      </c>
      <c r="B3" s="226" t="s">
        <v>302</v>
      </c>
      <c r="C3" s="102" t="n">
        <v>0.22500000000000001</v>
      </c>
      <c r="D3" s="102" t="n">
        <v>0.22500000000000001</v>
      </c>
      <c r="E3" s="102" t="n">
        <v>0.22500000000000001</v>
      </c>
      <c r="F3" s="102" t="n">
        <v>0.22500000000000001</v>
      </c>
      <c r="G3" s="232" t="n">
        <v>0</v>
      </c>
      <c r="H3" s="232" t="n">
        <v>0</v>
      </c>
      <c r="I3" s="232" t="n">
        <v>0</v>
      </c>
      <c r="J3" s="232" t="n">
        <v>0</v>
      </c>
      <c r="K3" s="232" t="n">
        <v>0</v>
      </c>
      <c r="L3" s="232" t="n">
        <v>0</v>
      </c>
      <c r="M3" s="232" t="n">
        <v>0</v>
      </c>
      <c r="N3" s="232" t="n">
        <v>0</v>
      </c>
      <c r="O3" s="225"/>
      <c r="P3" s="102"/>
      <c r="Q3" s="102"/>
      <c r="R3" s="102"/>
      <c r="S3" s="102"/>
      <c r="T3" s="232"/>
      <c r="U3" s="232"/>
      <c r="V3" s="232"/>
      <c r="W3" s="232"/>
      <c r="X3" s="232"/>
      <c r="Y3" s="232"/>
      <c r="Z3" s="232"/>
      <c r="AA3" s="232"/>
      <c r="AC3" s="99"/>
      <c r="AD3" s="99"/>
      <c r="AE3" s="99"/>
      <c r="AF3" s="99"/>
      <c r="AG3" s="99"/>
      <c r="AH3" s="99"/>
      <c r="AI3" s="99"/>
      <c r="AJ3" s="99"/>
      <c r="AK3" s="99"/>
      <c r="AL3" s="99"/>
      <c r="AM3" s="99"/>
      <c r="AN3" s="99"/>
      <c r="AO3" s="99"/>
      <c r="AP3" s="99"/>
      <c r="AQ3" s="99"/>
      <c r="AR3" s="99"/>
      <c r="AS3" s="99"/>
    </row>
    <row r="4" ht="15.6" customHeight="1">
      <c r="A4" s="228" t="s">
        <v>303</v>
      </c>
      <c r="B4" s="228" t="s">
        <v>304</v>
      </c>
      <c r="C4" s="102" t="n">
        <v>-3.3333333333333333E-2</v>
      </c>
      <c r="D4" s="102" t="n">
        <v>-3.3333333333333333E-2</v>
      </c>
      <c r="E4" s="102" t="n">
        <v>-3.3333333333333333E-2</v>
      </c>
      <c r="F4" s="102" t="n">
        <v>-3.3333333333333333E-2</v>
      </c>
      <c r="G4" s="102" t="n">
        <v>-3.3333333333333333E-2</v>
      </c>
      <c r="H4" s="102" t="n">
        <v>-3.3333333333333333E-2</v>
      </c>
      <c r="I4" s="102" t="n">
        <v>-3.3333333333333333E-2</v>
      </c>
      <c r="J4" s="102" t="n">
        <v>-3.3333333333333333E-2</v>
      </c>
      <c r="K4" s="102" t="n">
        <v>-3.3333333333333333E-2</v>
      </c>
      <c r="L4" s="102" t="n">
        <v>-3.3333333333333333E-2</v>
      </c>
      <c r="M4" s="102" t="n">
        <v>-3.3333333333333333E-2</v>
      </c>
      <c r="N4" s="102" t="n">
        <v>-3.3333333333333333E-2</v>
      </c>
      <c r="O4" s="230" t="n">
        <f>SUM(C4:N4)</f>
        <v>-0.39999999999999997</v>
      </c>
      <c r="P4" s="102"/>
      <c r="Q4" s="102"/>
      <c r="R4" s="102"/>
      <c r="S4" s="102"/>
      <c r="T4" s="102"/>
      <c r="U4" s="102"/>
      <c r="V4" s="102"/>
      <c r="W4" s="102"/>
      <c r="X4" s="102"/>
      <c r="Y4" s="102"/>
      <c r="Z4" s="102"/>
      <c r="AA4" s="102"/>
      <c r="AC4" s="99"/>
      <c r="AD4" s="99"/>
      <c r="AE4" s="99"/>
      <c r="AF4" s="99"/>
      <c r="AG4" s="99"/>
      <c r="AH4" s="99"/>
      <c r="AI4" s="99"/>
      <c r="AJ4" s="99"/>
      <c r="AK4" s="99"/>
      <c r="AL4" s="99"/>
      <c r="AM4" s="99"/>
      <c r="AN4" s="99"/>
    </row>
    <row r="5" ht="15.6" customHeight="1">
      <c r="A5" s="228" t="s">
        <v>305</v>
      </c>
      <c r="B5" s="228" t="s">
        <v>306</v>
      </c>
      <c r="C5" s="102" t="n">
        <v>-0.12</v>
      </c>
      <c r="D5" s="102" t="n">
        <v>-0.12</v>
      </c>
      <c r="E5" s="102" t="n">
        <v>-0.06</v>
      </c>
      <c r="F5" s="102" t="n">
        <v>-0.06</v>
      </c>
      <c r="G5" s="102" t="n">
        <v>-0.06</v>
      </c>
      <c r="H5" s="102" t="n">
        <v>-0.06</v>
      </c>
      <c r="I5" s="102" t="n">
        <v>-0.06</v>
      </c>
      <c r="J5" s="102" t="n">
        <v>-0.06</v>
      </c>
      <c r="K5" s="102" t="n">
        <v>0</v>
      </c>
      <c r="L5" s="102" t="n">
        <v>0</v>
      </c>
      <c r="M5" s="102" t="n">
        <v>0</v>
      </c>
      <c r="N5" s="102" t="n">
        <v>0</v>
      </c>
      <c r="O5" s="230" t="n">
        <f t="shared" ref="O5:O13" si="1">SUM(C5:N5)</f>
        <v>-0.60000000000000009</v>
      </c>
      <c r="P5" s="102"/>
      <c r="Q5" s="102"/>
      <c r="R5" s="102"/>
      <c r="S5" s="102"/>
      <c r="T5" s="102"/>
      <c r="U5" s="102"/>
      <c r="V5" s="102"/>
      <c r="W5" s="102"/>
      <c r="X5" s="102"/>
      <c r="Y5" s="102"/>
      <c r="Z5" s="102"/>
      <c r="AA5" s="102"/>
      <c r="AC5" s="99"/>
      <c r="AD5" s="99"/>
      <c r="AE5" s="99"/>
      <c r="AF5" s="99"/>
      <c r="AG5" s="99"/>
      <c r="AH5" s="99"/>
      <c r="AI5" s="99"/>
      <c r="AJ5" s="99"/>
      <c r="AK5" s="99"/>
      <c r="AL5" s="99"/>
      <c r="AM5" s="99"/>
      <c r="AN5" s="99"/>
    </row>
    <row r="6" ht="15.6" customHeight="1">
      <c r="A6" s="226" t="s">
        <v>307</v>
      </c>
      <c r="B6" s="226" t="s">
        <v>213</v>
      </c>
      <c r="C6" s="102" t="n">
        <v>0.24499999999999997</v>
      </c>
      <c r="D6" s="102" t="n">
        <v>0.105</v>
      </c>
      <c r="E6" s="102" t="n">
        <v>5.5999999999999994E-2</v>
      </c>
      <c r="F6" s="102" t="n">
        <v>5.5999999999999994E-2</v>
      </c>
      <c r="G6" s="102" t="n">
        <v>5.5999999999999994E-2</v>
      </c>
      <c r="H6" s="102" t="n">
        <v>5.5999999999999994E-2</v>
      </c>
      <c r="I6" s="102" t="n">
        <v>5.5999999999999994E-2</v>
      </c>
      <c r="J6" s="102" t="n">
        <v>5.5999999999999994E-2</v>
      </c>
      <c r="K6" s="102" t="n">
        <v>0</v>
      </c>
      <c r="L6" s="102" t="n">
        <v>0</v>
      </c>
      <c r="M6" s="102" t="n">
        <v>0</v>
      </c>
      <c r="N6" s="102" t="n">
        <v>0</v>
      </c>
      <c r="O6" s="230" t="n">
        <f t="shared" si="1"/>
        <v>0.68600000000000017</v>
      </c>
      <c r="P6" s="102"/>
      <c r="Q6" s="102"/>
      <c r="R6" s="102"/>
      <c r="S6" s="102"/>
      <c r="T6" s="102"/>
      <c r="U6" s="102"/>
      <c r="V6" s="102"/>
      <c r="W6" s="102"/>
      <c r="X6" s="102"/>
      <c r="Y6" s="102"/>
      <c r="Z6" s="102"/>
      <c r="AA6" s="102"/>
      <c r="AC6" s="99"/>
      <c r="AD6" s="99"/>
      <c r="AE6" s="99"/>
      <c r="AF6" s="99"/>
      <c r="AG6" s="99"/>
      <c r="AH6" s="99"/>
      <c r="AI6" s="99"/>
      <c r="AJ6" s="99"/>
      <c r="AK6" s="99"/>
      <c r="AL6" s="99"/>
      <c r="AM6" s="99"/>
      <c r="AN6" s="99"/>
    </row>
    <row r="7" ht="15.6" customHeight="1">
      <c r="A7" s="226" t="s">
        <v>308</v>
      </c>
      <c r="B7" s="226" t="s">
        <v>309</v>
      </c>
      <c r="C7" s="102" t="n">
        <v>0.315</v>
      </c>
      <c r="D7" s="102" t="n">
        <v>0.315</v>
      </c>
      <c r="E7" s="102" t="n">
        <v>9.0000000000000011E-2</v>
      </c>
      <c r="F7" s="102" t="n">
        <v>9.0000000000000011E-2</v>
      </c>
      <c r="G7" s="102" t="n">
        <v>4.5000000000000005E-2</v>
      </c>
      <c r="H7" s="102" t="n">
        <v>4.5000000000000005E-2</v>
      </c>
      <c r="I7" s="102" t="n">
        <v>0</v>
      </c>
      <c r="J7" s="102" t="n">
        <v>0</v>
      </c>
      <c r="K7" s="102" t="n">
        <v>0</v>
      </c>
      <c r="L7" s="102" t="n">
        <v>0</v>
      </c>
      <c r="M7" s="102" t="n">
        <v>0</v>
      </c>
      <c r="N7" s="102" t="n">
        <v>0</v>
      </c>
      <c r="O7" s="230" t="n">
        <f t="shared" si="1"/>
        <v>0.9</v>
      </c>
      <c r="P7" s="102"/>
      <c r="Q7" s="102"/>
      <c r="R7" s="102"/>
      <c r="S7" s="102"/>
      <c r="T7" s="102"/>
      <c r="U7" s="102"/>
      <c r="V7" s="102"/>
      <c r="W7" s="102"/>
      <c r="X7" s="102"/>
      <c r="Y7" s="102"/>
      <c r="Z7" s="102"/>
      <c r="AA7" s="102"/>
      <c r="AC7" s="99"/>
      <c r="AD7" s="99"/>
      <c r="AE7" s="99"/>
      <c r="AF7" s="99"/>
      <c r="AG7" s="99"/>
      <c r="AH7" s="99"/>
      <c r="AI7" s="99"/>
      <c r="AJ7" s="99"/>
      <c r="AK7" s="99"/>
      <c r="AL7" s="99"/>
      <c r="AM7" s="99"/>
      <c r="AN7" s="99"/>
    </row>
    <row r="8" ht="15.6" customHeight="1">
      <c r="A8" s="226" t="s">
        <v>310</v>
      </c>
      <c r="B8" s="226" t="s">
        <v>311</v>
      </c>
      <c r="C8" s="102" t="n">
        <v>0.22500000000000001</v>
      </c>
      <c r="D8" s="102" t="n">
        <v>0.22500000000000001</v>
      </c>
      <c r="E8" s="102" t="n">
        <v>0.22500000000000001</v>
      </c>
      <c r="F8" s="102" t="n">
        <v>0.22500000000000001</v>
      </c>
      <c r="G8" s="102" t="n">
        <v>0</v>
      </c>
      <c r="H8" s="102" t="n">
        <v>0</v>
      </c>
      <c r="I8" s="102" t="n">
        <v>0</v>
      </c>
      <c r="J8" s="102" t="n">
        <v>0</v>
      </c>
      <c r="K8" s="102" t="n">
        <v>0</v>
      </c>
      <c r="L8" s="102" t="n">
        <v>0</v>
      </c>
      <c r="M8" s="102" t="n">
        <v>0</v>
      </c>
      <c r="N8" s="102" t="n">
        <v>0</v>
      </c>
      <c r="O8" s="230" t="n">
        <f t="shared" si="1"/>
        <v>0.9</v>
      </c>
      <c r="P8" s="102"/>
      <c r="Q8" s="102"/>
      <c r="R8" s="102"/>
      <c r="S8" s="102"/>
      <c r="T8" s="102"/>
      <c r="U8" s="102"/>
      <c r="V8" s="102"/>
      <c r="W8" s="102"/>
      <c r="X8" s="102"/>
      <c r="Y8" s="102"/>
      <c r="Z8" s="102"/>
      <c r="AA8" s="102"/>
      <c r="AC8" s="99"/>
      <c r="AD8" s="99"/>
      <c r="AE8" s="99"/>
      <c r="AF8" s="99"/>
      <c r="AG8" s="99"/>
      <c r="AH8" s="99"/>
      <c r="AI8" s="99"/>
      <c r="AJ8" s="99"/>
      <c r="AK8" s="99"/>
      <c r="AL8" s="99"/>
      <c r="AM8" s="99"/>
      <c r="AN8" s="99"/>
    </row>
    <row r="9" ht="15.6" customHeight="1">
      <c r="A9" s="226" t="s">
        <v>312</v>
      </c>
      <c r="B9" s="226" t="s">
        <v>313</v>
      </c>
      <c r="C9" s="102" t="n">
        <v>4.9500000000000002E-2</v>
      </c>
      <c r="D9" s="102" t="n">
        <v>4.2750000000000003E-2</v>
      </c>
      <c r="E9" s="102" t="n">
        <v>4.0500000000000001E-2</v>
      </c>
      <c r="F9" s="102" t="n">
        <v>3.8250000000000006E-2</v>
      </c>
      <c r="G9" s="102" t="n">
        <v>3.6000000000000004E-2</v>
      </c>
      <c r="H9" s="102" t="n">
        <v>3.6000000000000004E-2</v>
      </c>
      <c r="I9" s="102" t="n">
        <v>3.6000000000000004E-2</v>
      </c>
      <c r="J9" s="102" t="n">
        <v>3.6000000000000004E-2</v>
      </c>
      <c r="K9" s="102" t="n">
        <v>3.3750000000000002E-2</v>
      </c>
      <c r="L9" s="102" t="n">
        <v>3.3750000000000002E-2</v>
      </c>
      <c r="M9" s="102" t="n">
        <v>3.3750000000000002E-2</v>
      </c>
      <c r="N9" s="102" t="n">
        <v>3.3750000000000002E-2</v>
      </c>
      <c r="O9" s="230" t="n">
        <f t="shared" si="1"/>
        <v>0.45000000000000007</v>
      </c>
      <c r="P9" s="102"/>
      <c r="Q9" s="102"/>
      <c r="R9" s="102"/>
      <c r="S9" s="102"/>
      <c r="T9" s="102"/>
      <c r="U9" s="102"/>
      <c r="V9" s="102"/>
      <c r="W9" s="102"/>
      <c r="X9" s="102"/>
      <c r="Y9" s="102"/>
      <c r="Z9" s="102"/>
      <c r="AA9" s="102"/>
      <c r="AC9" s="99"/>
      <c r="AD9" s="99"/>
      <c r="AE9" s="99"/>
      <c r="AF9" s="99"/>
      <c r="AG9" s="99"/>
      <c r="AH9" s="99"/>
      <c r="AI9" s="99"/>
      <c r="AJ9" s="99"/>
      <c r="AK9" s="99"/>
      <c r="AL9" s="99"/>
      <c r="AM9" s="99"/>
      <c r="AN9" s="99"/>
    </row>
    <row r="10" ht="15.6" customHeight="1">
      <c r="A10" s="226" t="s">
        <v>314</v>
      </c>
      <c r="B10" s="226" t="s">
        <v>215</v>
      </c>
      <c r="C10" s="102" t="n">
        <v>0.14000000000000001</v>
      </c>
      <c r="D10" s="102" t="n">
        <v>0.1</v>
      </c>
      <c r="E10" s="102" t="n">
        <v>0.1</v>
      </c>
      <c r="F10" s="102" t="n">
        <v>0.05</v>
      </c>
      <c r="G10" s="102" t="n">
        <v>0.05</v>
      </c>
      <c r="H10" s="102" t="n">
        <v>0.05</v>
      </c>
      <c r="I10" s="102" t="n">
        <v>0.05</v>
      </c>
      <c r="J10" s="102" t="n">
        <v>0.05</v>
      </c>
      <c r="K10" s="102" t="n">
        <v>0.05</v>
      </c>
      <c r="L10" s="102" t="n">
        <v>0.03</v>
      </c>
      <c r="M10" s="102" t="n">
        <v>0.03</v>
      </c>
      <c r="N10" s="102" t="n">
        <v>0.03</v>
      </c>
      <c r="O10" s="230" t="n">
        <f>SUM(C10:N10)</f>
        <v>0.7300000000000002</v>
      </c>
      <c r="P10" s="102"/>
      <c r="Q10" s="102"/>
      <c r="R10" s="102"/>
      <c r="S10" s="102"/>
      <c r="T10" s="102"/>
      <c r="U10" s="102"/>
      <c r="V10" s="102"/>
      <c r="W10" s="102"/>
      <c r="X10" s="102"/>
      <c r="Y10" s="102"/>
      <c r="Z10" s="102"/>
      <c r="AA10" s="102"/>
      <c r="AC10" s="99"/>
      <c r="AD10" s="99"/>
      <c r="AE10" s="99"/>
      <c r="AF10" s="99"/>
      <c r="AG10" s="99"/>
      <c r="AH10" s="99"/>
      <c r="AI10" s="99"/>
      <c r="AJ10" s="99"/>
      <c r="AK10" s="99"/>
      <c r="AL10" s="99"/>
      <c r="AM10" s="99"/>
      <c r="AN10" s="99"/>
    </row>
    <row r="11" ht="15.6" customHeight="1">
      <c r="A11" s="226" t="s">
        <v>315</v>
      </c>
      <c r="B11" s="226" t="s">
        <v>316</v>
      </c>
      <c r="C11" s="102" t="n">
        <v>0.2</v>
      </c>
      <c r="D11" s="102" t="n">
        <v>0.17</v>
      </c>
      <c r="E11" s="102" t="n">
        <v>0.16</v>
      </c>
      <c r="F11" s="102" t="n">
        <v>0.15</v>
      </c>
      <c r="G11" s="102" t="n">
        <v>0.09</v>
      </c>
      <c r="H11" s="102" t="n">
        <v>0.05</v>
      </c>
      <c r="I11" s="102" t="n">
        <v>0.05</v>
      </c>
      <c r="J11" s="102" t="n">
        <v>0.04</v>
      </c>
      <c r="K11" s="102" t="n">
        <v>0</v>
      </c>
      <c r="L11" s="102" t="n">
        <v>0</v>
      </c>
      <c r="M11" s="102" t="n">
        <v>0</v>
      </c>
      <c r="N11" s="102" t="n">
        <v>0</v>
      </c>
      <c r="O11" s="230" t="n">
        <f>SUM(C11:N11)</f>
        <v>0.91000000000000014</v>
      </c>
      <c r="P11" s="102"/>
      <c r="Q11" s="102"/>
      <c r="R11" s="102"/>
      <c r="S11" s="102"/>
      <c r="T11" s="102"/>
      <c r="U11" s="102"/>
      <c r="V11" s="102"/>
      <c r="W11" s="102"/>
      <c r="X11" s="102"/>
      <c r="Y11" s="102"/>
      <c r="Z11" s="102"/>
      <c r="AA11" s="102"/>
      <c r="AC11" s="99"/>
      <c r="AD11" s="99"/>
      <c r="AE11" s="99"/>
      <c r="AF11" s="99"/>
      <c r="AG11" s="99"/>
      <c r="AH11" s="99"/>
      <c r="AI11" s="99"/>
      <c r="AJ11" s="99"/>
      <c r="AK11" s="99"/>
      <c r="AL11" s="99"/>
      <c r="AM11" s="99"/>
      <c r="AN11" s="99"/>
    </row>
    <row r="12" ht="47.1" customHeight="1">
      <c r="A12" s="227" t="s">
        <v>317</v>
      </c>
      <c r="B12" s="227" t="s">
        <v>318</v>
      </c>
      <c r="C12" s="102" t="n">
        <v>0.2</v>
      </c>
      <c r="D12" s="102" t="n">
        <v>0.17</v>
      </c>
      <c r="E12" s="102" t="n">
        <v>0.16</v>
      </c>
      <c r="F12" s="102" t="n">
        <v>0.15</v>
      </c>
      <c r="G12" s="102" t="n">
        <v>0.09</v>
      </c>
      <c r="H12" s="102" t="n">
        <v>0.05</v>
      </c>
      <c r="I12" s="102" t="n">
        <v>0.05</v>
      </c>
      <c r="J12" s="102" t="n">
        <v>0.04</v>
      </c>
      <c r="K12" s="102" t="n">
        <v>0</v>
      </c>
      <c r="L12" s="102" t="n">
        <v>0</v>
      </c>
      <c r="M12" s="102" t="n">
        <v>0</v>
      </c>
      <c r="N12" s="102" t="n">
        <v>0</v>
      </c>
      <c r="O12" s="230" t="n">
        <f t="shared" si="1"/>
        <v>0.91000000000000014</v>
      </c>
      <c r="P12" s="102"/>
      <c r="Q12" s="102"/>
      <c r="R12" s="102"/>
      <c r="S12" s="102"/>
      <c r="T12" s="102"/>
      <c r="U12" s="102"/>
      <c r="V12" s="102"/>
      <c r="W12" s="102"/>
      <c r="X12" s="102"/>
      <c r="Y12" s="102"/>
      <c r="Z12" s="102"/>
      <c r="AA12" s="102"/>
      <c r="AC12" s="99"/>
      <c r="AD12" s="99"/>
      <c r="AE12" s="99"/>
      <c r="AF12" s="99"/>
      <c r="AG12" s="99"/>
      <c r="AH12" s="99"/>
      <c r="AI12" s="99"/>
      <c r="AJ12" s="99"/>
      <c r="AK12" s="99"/>
      <c r="AL12" s="99"/>
      <c r="AM12" s="99"/>
      <c r="AN12" s="99"/>
    </row>
    <row r="13" ht="31.35" customHeight="1">
      <c r="A13" s="227" t="s">
        <v>319</v>
      </c>
      <c r="B13" s="227" t="s">
        <v>320</v>
      </c>
      <c r="C13" s="102" t="n">
        <v>0.14000000000000001</v>
      </c>
      <c r="D13" s="102" t="n">
        <v>0.1</v>
      </c>
      <c r="E13" s="102" t="n">
        <v>0.1</v>
      </c>
      <c r="F13" s="102" t="n">
        <v>0.05</v>
      </c>
      <c r="G13" s="102" t="n">
        <v>0.05</v>
      </c>
      <c r="H13" s="102" t="n">
        <v>0.05</v>
      </c>
      <c r="I13" s="102" t="n">
        <v>0.05</v>
      </c>
      <c r="J13" s="102" t="n">
        <v>0.05</v>
      </c>
      <c r="K13" s="102" t="n">
        <v>0.05</v>
      </c>
      <c r="L13" s="102" t="n">
        <v>0</v>
      </c>
      <c r="M13" s="102" t="n">
        <v>0</v>
      </c>
      <c r="N13" s="102" t="n">
        <v>0</v>
      </c>
      <c r="O13" s="230" t="n">
        <f t="shared" si="1"/>
        <v>0.64000000000000012</v>
      </c>
      <c r="P13" s="102"/>
      <c r="Q13" s="102"/>
      <c r="R13" s="102"/>
      <c r="S13" s="102"/>
      <c r="T13" s="102"/>
      <c r="U13" s="102"/>
      <c r="V13" s="102"/>
      <c r="W13" s="102"/>
      <c r="X13" s="102"/>
      <c r="Y13" s="102"/>
      <c r="Z13" s="102"/>
      <c r="AA13" s="102"/>
      <c r="AC13" s="99"/>
      <c r="AD13" s="99"/>
      <c r="AE13" s="99"/>
      <c r="AF13" s="99"/>
      <c r="AG13" s="99"/>
      <c r="AH13" s="99"/>
      <c r="AI13" s="99"/>
      <c r="AJ13" s="99"/>
      <c r="AK13" s="99"/>
      <c r="AL13" s="99"/>
      <c r="AM13" s="99"/>
      <c r="AN13" s="99"/>
    </row>
    <row r="14" ht="47.1" customHeight="1">
      <c r="A14" s="227" t="s">
        <v>321</v>
      </c>
      <c r="B14" s="227" t="s">
        <v>322</v>
      </c>
      <c r="C14" s="102" t="n">
        <v>0.04</v>
      </c>
      <c r="D14" s="102" t="n">
        <v>0.04</v>
      </c>
      <c r="E14" s="102" t="n">
        <v>1.7000000000000001E-2</v>
      </c>
      <c r="F14" s="102" t="n">
        <v>1.7000000000000001E-2</v>
      </c>
      <c r="G14" s="102" t="n">
        <v>1.7000000000000001E-2</v>
      </c>
      <c r="H14" s="102" t="n">
        <v>1.7000000000000001E-2</v>
      </c>
      <c r="I14" s="102" t="n">
        <v>1.7000000000000001E-2</v>
      </c>
      <c r="J14" s="102" t="n">
        <v>1.7000000000000001E-2</v>
      </c>
      <c r="K14" s="102" t="n">
        <v>1.7000000000000001E-2</v>
      </c>
      <c r="L14" s="102" t="n">
        <v>1.7000000000000001E-2</v>
      </c>
      <c r="M14" s="102" t="n">
        <v>1.7000000000000001E-2</v>
      </c>
      <c r="N14" s="102" t="n">
        <v>1.7000000000000001E-2</v>
      </c>
      <c r="O14" s="230" t="n">
        <f>SUM(C14:N14)</f>
        <v>0.25000000000000011</v>
      </c>
      <c r="P14" s="102"/>
      <c r="Q14" s="102"/>
      <c r="R14" s="102"/>
      <c r="S14" s="102"/>
      <c r="T14" s="102"/>
      <c r="U14" s="102"/>
      <c r="V14" s="102"/>
      <c r="W14" s="102"/>
      <c r="X14" s="102"/>
      <c r="Y14" s="102"/>
      <c r="Z14" s="102"/>
      <c r="AA14" s="102"/>
      <c r="AC14" s="99"/>
      <c r="AD14" s="99"/>
      <c r="AE14" s="99"/>
      <c r="AF14" s="99"/>
      <c r="AG14" s="99"/>
      <c r="AH14" s="99"/>
      <c r="AI14" s="99"/>
      <c r="AJ14" s="99"/>
      <c r="AK14" s="99"/>
      <c r="AL14" s="99"/>
      <c r="AM14" s="99"/>
      <c r="AN14" s="99"/>
    </row>
    <row r="15" ht="15.75" customHeight="1">
      <c r="B15" s="227"/>
    </row>
  </sheetData>
  <mergeCells count="1">
    <mergeCell ref="A1:O1"/>
  </mergeCells>
  <pageMargins left="0.7" right="0.7" top="0.75" bottom="0.75" header="0.3" footer="0.3"/>
  <pageSetup paperSize="9" orientation="portrait" horizontalDpi="300" verticalDpi="300"/>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5" zoomScale="90" zoomScaleNormal="90" workbookViewId="0">
      <selection activeCell="N28" sqref="N28"/>
    </sheetView>
  </sheetViews>
  <sheetFormatPr defaultRowHeight="15.0" baseColWidth="10"/>
  <cols>
    <col min="2" max="2" width="52.42578125" hidden="0" customWidth="1"/>
    <col min="3" max="3" width="11.42578125" hidden="0" customWidth="1"/>
    <col min="4" max="4" width="11.42578125" hidden="0" customWidth="1"/>
    <col min="5" max="5" width="11.42578125" hidden="0" customWidth="1"/>
    <col min="6" max="6" width="11.42578125" hidden="0" customWidth="1"/>
    <col min="7" max="7" width="11.42578125" hidden="0" customWidth="1"/>
    <col min="8" max="8" width="12.140625" hidden="0" customWidth="1"/>
    <col min="9" max="9" width="8.42578125" hidden="0" customWidth="1"/>
    <col min="10" max="10" width="10.42578125" hidden="0" customWidth="1"/>
    <col min="11" max="11" width="8.42578125" hidden="0" customWidth="1"/>
    <col min="12" max="12" width="11.42578125" hidden="0" customWidth="1"/>
    <col min="13" max="13" width="9.42578125" hidden="0" customWidth="1"/>
    <col min="14" max="14" width="9.42578125" hidden="0" customWidth="1"/>
    <col min="15" max="15" width="9.42578125" hidden="0" customWidth="1"/>
    <col min="16" max="16" width="9.42578125" hidden="0" customWidth="1"/>
    <col min="17" max="17" width="9.42578125" hidden="0" customWidth="1"/>
    <col min="18" max="18" width="9.42578125" hidden="0" customWidth="1"/>
    <col min="19" max="19" width="9.42578125" hidden="0" customWidth="1"/>
    <col min="20" max="20" width="9.42578125" hidden="0" customWidth="1"/>
    <col min="21" max="21" width="10.85546875" hidden="0" customWidth="1"/>
    <col min="22" max="22" width="10.85546875" hidden="0" customWidth="1"/>
    <col min="23" max="23" width="10.85546875" hidden="0" customWidth="1"/>
    <col min="24" max="24" width="10.85546875" hidden="0" customWidth="1"/>
    <col min="25" max="25" width="10.85546875" hidden="0" customWidth="1"/>
    <col min="26" max="26" width="11.140625" hidden="0" customWidth="1"/>
    <col min="27" max="27" width="9.42578125" hidden="0" customWidth="1"/>
    <col min="28" max="28" width="9.42578125" hidden="0" customWidth="1"/>
    <col min="29" max="29" width="9.42578125" hidden="0" customWidth="1"/>
    <col min="30" max="30" width="9.42578125" hidden="0" customWidth="1"/>
    <col min="31" max="31" width="9.42578125" hidden="0" customWidth="1"/>
    <col min="32" max="32" width="9.42578125" hidden="0" customWidth="1"/>
    <col min="33" max="33" width="8.42578125" hidden="0" customWidth="1"/>
    <col min="34" max="34" width="8.42578125" hidden="0" customWidth="1"/>
    <col min="35" max="35" width="8.42578125" hidden="0" customWidth="1"/>
    <col min="36" max="36" width="8.42578125" hidden="0" customWidth="1"/>
  </cols>
  <sheetData>
    <row r="1">
      <c r="B1" s="233" t="s">
        <v>53</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25" customHeight="1">
      <c r="B2" s="234" t="s">
        <v>323</v>
      </c>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row>
    <row r="3">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row>
    <row r="4">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row>
    <row r="5">
      <c r="B5" s="234"/>
      <c r="C5" s="234"/>
      <c r="D5" s="234"/>
      <c r="E5" s="234"/>
      <c r="F5" s="234"/>
      <c r="G5" s="234"/>
      <c r="H5" s="234"/>
      <c r="I5" s="234"/>
      <c r="J5" s="234"/>
      <c r="K5" s="234"/>
      <c r="L5" s="234"/>
      <c r="M5" s="234"/>
      <c r="N5" s="234"/>
      <c r="O5" s="234"/>
      <c r="P5" s="234"/>
      <c r="Q5" s="234"/>
      <c r="R5" s="234"/>
      <c r="S5" s="234"/>
      <c r="T5" s="234"/>
      <c r="U5" s="234"/>
      <c r="V5" s="234"/>
      <c r="W5" s="234"/>
      <c r="X5" s="234"/>
      <c r="Y5" s="234"/>
      <c r="Z5" s="234"/>
      <c r="AA5" s="234"/>
      <c r="AB5" s="234"/>
      <c r="AC5" s="234"/>
    </row>
    <row r="6" ht="38.85" customHeight="1">
      <c r="B6" s="234"/>
      <c r="C6" s="234"/>
      <c r="D6" s="234"/>
      <c r="E6" s="234"/>
      <c r="F6" s="234"/>
      <c r="G6" s="234"/>
      <c r="H6" s="234"/>
      <c r="I6" s="234"/>
      <c r="J6" s="234"/>
      <c r="K6" s="234"/>
      <c r="L6" s="234"/>
      <c r="M6" s="234"/>
      <c r="N6" s="234"/>
      <c r="O6" s="234"/>
      <c r="P6" s="234"/>
      <c r="Q6" s="234"/>
      <c r="R6" s="234"/>
      <c r="S6" s="234"/>
      <c r="T6" s="234"/>
      <c r="U6" s="234"/>
      <c r="V6" s="234"/>
      <c r="W6" s="234"/>
      <c r="X6" s="234"/>
      <c r="Y6" s="234"/>
      <c r="Z6" s="234"/>
      <c r="AA6" s="234"/>
      <c r="AB6" s="234"/>
      <c r="AC6" s="234"/>
    </row>
    <row r="7">
      <c r="B7" s="297"/>
      <c r="C7" s="297"/>
      <c r="D7" s="297"/>
      <c r="E7" s="297"/>
      <c r="F7" s="297"/>
      <c r="G7" s="297"/>
      <c r="H7" s="298"/>
      <c r="I7" s="298"/>
      <c r="J7" s="298"/>
      <c r="K7" s="298"/>
      <c r="L7" s="298"/>
      <c r="M7" s="298"/>
      <c r="N7" s="298"/>
      <c r="O7" s="298"/>
      <c r="P7" s="298"/>
      <c r="Q7" s="298"/>
      <c r="R7" s="298"/>
      <c r="S7" s="298"/>
      <c r="T7" s="298"/>
      <c r="U7" s="298"/>
      <c r="V7" s="298"/>
      <c r="W7" s="298"/>
      <c r="X7" s="298"/>
      <c r="Y7" s="298"/>
    </row>
    <row r="8" ht="14.85" customHeight="1">
      <c r="B8" s="237" t="s">
        <v>324</v>
      </c>
      <c r="C8" s="238"/>
      <c r="D8" s="247" t="s">
        <v>325</v>
      </c>
      <c r="E8" s="248"/>
      <c r="F8" s="248"/>
      <c r="G8" s="248"/>
      <c r="H8" s="248"/>
      <c r="I8" s="248"/>
      <c r="J8" s="248"/>
      <c r="K8" s="248"/>
      <c r="L8" s="248"/>
      <c r="M8" s="248"/>
      <c r="N8" s="248"/>
      <c r="O8" s="248"/>
      <c r="P8" s="248"/>
      <c r="Q8" s="248"/>
      <c r="R8" s="248"/>
      <c r="S8" s="248"/>
      <c r="T8" s="249"/>
      <c r="U8" s="250" t="s">
        <v>326</v>
      </c>
      <c r="V8" s="251"/>
      <c r="W8" s="251"/>
      <c r="X8" s="251"/>
      <c r="Y8" s="251"/>
      <c r="Z8" s="251"/>
      <c r="AA8" s="251"/>
      <c r="AB8" s="251"/>
      <c r="AC8" s="252"/>
    </row>
    <row r="9" ht="12.75" customHeight="1">
      <c r="B9" s="239"/>
      <c r="C9" s="240"/>
      <c r="D9" s="198" t="n">
        <v>2018</v>
      </c>
      <c r="E9" s="198" t="n">
        <v>2019</v>
      </c>
      <c r="F9" s="235"/>
      <c r="G9" s="235"/>
      <c r="H9" s="236"/>
      <c r="I9" s="235" t="n">
        <v>2020</v>
      </c>
      <c r="J9" s="235"/>
      <c r="K9" s="235"/>
      <c r="L9" s="235"/>
      <c r="M9" s="198" t="n">
        <v>2021</v>
      </c>
      <c r="N9" s="235"/>
      <c r="O9" s="235"/>
      <c r="P9" s="235"/>
      <c r="Q9" s="245" t="n">
        <v>2022</v>
      </c>
      <c r="R9" s="246"/>
      <c r="S9" s="263"/>
      <c r="T9" s="276"/>
      <c r="U9" s="241" t="n">
        <v>2023</v>
      </c>
      <c r="V9" s="242"/>
      <c r="W9" s="242"/>
      <c r="X9" s="243"/>
      <c r="Y9" s="244" t="n">
        <v>2024</v>
      </c>
      <c r="Z9" s="242"/>
      <c r="AA9" s="242"/>
      <c r="AB9" s="242"/>
      <c r="AC9" s="290" t="n">
        <v>2025</v>
      </c>
    </row>
    <row r="10" ht="14.85" customHeight="1">
      <c r="B10" s="239"/>
      <c r="C10" s="240"/>
      <c r="D10" s="204" t="s">
        <v>327</v>
      </c>
      <c r="E10" s="204" t="s">
        <v>328</v>
      </c>
      <c r="F10" s="217" t="s">
        <v>329</v>
      </c>
      <c r="G10" s="217" t="s">
        <v>238</v>
      </c>
      <c r="H10" s="200" t="s">
        <v>327</v>
      </c>
      <c r="I10" s="217" t="s">
        <v>328</v>
      </c>
      <c r="J10" s="217" t="s">
        <v>329</v>
      </c>
      <c r="K10" s="217" t="s">
        <v>238</v>
      </c>
      <c r="L10" s="217" t="s">
        <v>327</v>
      </c>
      <c r="M10" s="204" t="s">
        <v>328</v>
      </c>
      <c r="N10" s="217" t="s">
        <v>329</v>
      </c>
      <c r="O10" s="217" t="s">
        <v>238</v>
      </c>
      <c r="P10" s="217" t="s">
        <v>327</v>
      </c>
      <c r="Q10" s="204" t="s">
        <v>328</v>
      </c>
      <c r="R10" s="217" t="s">
        <v>329</v>
      </c>
      <c r="S10" s="217" t="s">
        <v>238</v>
      </c>
      <c r="T10" s="200" t="s">
        <v>327</v>
      </c>
      <c r="U10" s="304" t="s">
        <v>328</v>
      </c>
      <c r="V10" s="304" t="s">
        <v>329</v>
      </c>
      <c r="W10" s="304" t="s">
        <v>238</v>
      </c>
      <c r="X10" s="305" t="s">
        <v>327</v>
      </c>
      <c r="Y10" s="303" t="s">
        <v>328</v>
      </c>
      <c r="Z10" s="299" t="s">
        <v>329</v>
      </c>
      <c r="AA10" s="304" t="s">
        <v>238</v>
      </c>
      <c r="AB10" s="304" t="s">
        <v>327</v>
      </c>
      <c r="AC10" s="306" t="s">
        <v>328</v>
      </c>
    </row>
    <row r="11">
      <c r="B11" s="294" t="s">
        <v>102</v>
      </c>
      <c r="C11" s="308" t="s">
        <v>330</v>
      </c>
      <c r="D11" s="279" t="n">
        <f>'Haver Pivoted'!GO14</f>
        <v>27.8</v>
      </c>
      <c r="E11" s="280" t="n">
        <f>'Haver Pivoted'!GP14</f>
        <v>29.4</v>
      </c>
      <c r="F11" s="280" t="n">
        <f>'Haver Pivoted'!GQ14</f>
        <v>26.9</v>
      </c>
      <c r="G11" s="280" t="n">
        <f>'Haver Pivoted'!GR14</f>
        <v>26.4</v>
      </c>
      <c r="H11" s="280" t="n">
        <f>'Haver Pivoted'!GS14</f>
        <v>27.7</v>
      </c>
      <c r="I11" s="280" t="n">
        <f>'Haver Pivoted'!GT14</f>
        <v>40.700000000000003</v>
      </c>
      <c r="J11" s="280" t="n">
        <f>'Haver Pivoted'!GU14</f>
        <v>1007.5</v>
      </c>
      <c r="K11" s="280" t="n">
        <f>'Haver Pivoted'!GV14</f>
        <v>792.9</v>
      </c>
      <c r="L11" s="280" t="n">
        <f>'Haver Pivoted'!GW14</f>
        <v>308.5</v>
      </c>
      <c r="M11" s="280" t="n">
        <f>'Haver Pivoted'!GX14</f>
        <v>556.20000000000005</v>
      </c>
      <c r="N11" s="280" t="n">
        <f>'Haver Pivoted'!GY14</f>
        <v>448.6</v>
      </c>
      <c r="O11" s="280" t="n">
        <f>'Haver Pivoted'!GZ14</f>
        <v>245.1</v>
      </c>
      <c r="P11" s="280" t="n">
        <f>'Haver Pivoted'!HA14</f>
        <v>33.799999999999997</v>
      </c>
      <c r="Q11" s="280" t="n">
        <f>'Haver Pivoted'!HB14</f>
        <v>23.6</v>
      </c>
      <c r="R11" s="280" t="n">
        <f>'Haver Pivoted'!HC14</f>
        <v>18.600000000000001</v>
      </c>
      <c r="S11" s="199" t="n">
        <f>'Haver Pivoted'!HD14</f>
        <v>18.5</v>
      </c>
      <c r="T11" s="236" t="n">
        <f>'Haver Pivoted'!HE14</f>
        <v>20.399999999999999</v>
      </c>
      <c r="U11" s="272" t="n">
        <f t="shared" ref="U11:AC11" si="0">U12+U13+U20</f>
        <v>23.227666666666664</v>
      </c>
      <c r="V11" s="309" t="n">
        <f t="shared" si="0"/>
        <v>26.060999999999996</v>
      </c>
      <c r="W11" s="309" t="n">
        <f t="shared" si="0"/>
        <v>27.760999999999992</v>
      </c>
      <c r="X11" s="309" t="n">
        <f t="shared" si="0"/>
        <v>28.979333333333326</v>
      </c>
      <c r="Y11" s="309" t="n">
        <f t="shared" si="0"/>
        <v>28.894333333333329</v>
      </c>
      <c r="Z11" s="309" t="n">
        <f t="shared" si="0"/>
        <v>28.010333333333325</v>
      </c>
      <c r="AA11" s="309" t="n">
        <f t="shared" si="0"/>
        <v>27.534333333333322</v>
      </c>
      <c r="AB11" s="309" t="n">
        <f t="shared" si="0"/>
        <v>27.194333333333322</v>
      </c>
      <c r="AC11" s="288" t="n">
        <f t="shared" si="0"/>
        <v>27.063999999999986</v>
      </c>
      <c r="AD11" s="268" t="s">
        <v>331</v>
      </c>
    </row>
    <row r="12">
      <c r="B12" s="291" t="s">
        <v>332</v>
      </c>
      <c r="C12" s="292" t="s">
        <v>333</v>
      </c>
      <c r="D12" s="311" t="n">
        <f>'Haver Pivoted'!GO63</f>
        <v>0</v>
      </c>
      <c r="E12" s="264" t="n">
        <f>'Haver Pivoted'!GP63</f>
        <v>0</v>
      </c>
      <c r="F12" s="264" t="n">
        <f>'Haver Pivoted'!GQ63</f>
        <v>0</v>
      </c>
      <c r="G12" s="264" t="n">
        <f>'Haver Pivoted'!GR63</f>
        <v>0</v>
      </c>
      <c r="H12" s="264" t="n">
        <f>'Haver Pivoted'!GS63</f>
        <v>0</v>
      </c>
      <c r="I12" s="264" t="n">
        <f>'Haver Pivoted'!GT63</f>
        <v>0</v>
      </c>
      <c r="J12" s="264" t="n">
        <f>'Haver Pivoted'!GU63</f>
        <v>0.1</v>
      </c>
      <c r="K12" s="264" t="n">
        <f>'Haver Pivoted'!GV63</f>
        <v>3.7</v>
      </c>
      <c r="L12" s="264" t="n">
        <f>'Haver Pivoted'!GW63</f>
        <v>12.9</v>
      </c>
      <c r="M12" s="264" t="n">
        <f>'Haver Pivoted'!GX63</f>
        <v>25.5</v>
      </c>
      <c r="N12" s="264" t="n">
        <f>'Haver Pivoted'!GY63</f>
        <v>3.8</v>
      </c>
      <c r="O12" s="264" t="n">
        <f>'Haver Pivoted'!GZ63</f>
        <v>1.8</v>
      </c>
      <c r="P12" s="264" t="n">
        <f>'Haver Pivoted'!HA63</f>
        <v>0.6</v>
      </c>
      <c r="Q12" s="264" t="n">
        <f>'Haver Pivoted'!HB63</f>
        <v>0.2</v>
      </c>
      <c r="R12" s="264" t="n">
        <f>'Haver Pivoted'!HC63</f>
        <v>0.1</v>
      </c>
      <c r="S12" s="217" t="n">
        <f>'Haver Pivoted'!HD63</f>
        <v>0</v>
      </c>
      <c r="T12" s="200" t="n">
        <f>'Haver Pivoted'!HE63</f>
        <v>0</v>
      </c>
      <c r="U12" s="283" t="n">
        <f t="shared" ref="U12:AB12" si="1">T12*U22/T22</f>
        <v>0</v>
      </c>
      <c r="V12" s="283" t="n">
        <f t="shared" si="1"/>
        <v>0</v>
      </c>
      <c r="W12" s="283" t="n">
        <f t="shared" si="1"/>
        <v>0</v>
      </c>
      <c r="X12" s="283" t="n">
        <f t="shared" si="1"/>
        <v>0</v>
      </c>
      <c r="Y12" s="283" t="n">
        <f t="shared" si="1"/>
        <v>0</v>
      </c>
      <c r="Z12" s="283" t="n">
        <f t="shared" si="1"/>
        <v>0</v>
      </c>
      <c r="AA12" s="283" t="n">
        <f t="shared" si="1"/>
        <v>0</v>
      </c>
      <c r="AB12" s="283" t="n">
        <f t="shared" si="1"/>
        <v>0</v>
      </c>
      <c r="AC12" s="285" t="n">
        <f>AB12*AC22/AB22</f>
        <v>0</v>
      </c>
    </row>
    <row r="13">
      <c r="B13" s="291" t="s">
        <v>334</v>
      </c>
      <c r="C13" s="292"/>
      <c r="D13" s="311"/>
      <c r="E13" s="264"/>
      <c r="F13" s="264"/>
      <c r="G13" s="264"/>
      <c r="H13" s="266" t="n">
        <f>SUM(H14:H17)</f>
        <v>0</v>
      </c>
      <c r="I13" s="266" t="n">
        <f t="shared" ref="I13:M13" si="2">SUM(I14:I17)</f>
        <v>0</v>
      </c>
      <c r="J13" s="266" t="n">
        <f t="shared" si="2"/>
        <v>779.7</v>
      </c>
      <c r="K13" s="266" t="n">
        <f t="shared" si="2"/>
        <v>582.6</v>
      </c>
      <c r="L13" s="266" t="n">
        <f t="shared" si="2"/>
        <v>216.5</v>
      </c>
      <c r="M13" s="266" t="n">
        <f t="shared" si="2"/>
        <v>497.6</v>
      </c>
      <c r="N13" s="269" t="n">
        <f>SUM(N14:N17)</f>
        <v>401.5</v>
      </c>
      <c r="O13" s="269" t="n">
        <f t="shared" ref="O13:AC13" si="3">SUM(O14:O17)</f>
        <v>207.4</v>
      </c>
      <c r="P13" s="269" t="n">
        <f t="shared" si="3"/>
        <v>5.5</v>
      </c>
      <c r="Q13" s="269" t="n">
        <v>0</v>
      </c>
      <c r="R13" s="269" t="n">
        <f t="shared" si="3"/>
        <v>1</v>
      </c>
      <c r="S13" s="277" t="n">
        <f t="shared" si="3"/>
        <v>0.5</v>
      </c>
      <c r="T13" s="318" t="n">
        <f t="shared" si="3"/>
        <v>0.30000000000000004</v>
      </c>
      <c r="U13" s="283" t="n">
        <f t="shared" si="3"/>
        <v>0.34158333333333335</v>
      </c>
      <c r="V13" s="283" t="n">
        <f t="shared" si="3"/>
        <v>0.38325000000000009</v>
      </c>
      <c r="W13" s="283" t="n">
        <f t="shared" si="3"/>
        <v>0.40825000000000011</v>
      </c>
      <c r="X13" s="283" t="n">
        <f t="shared" si="3"/>
        <v>0.4261666666666668</v>
      </c>
      <c r="Y13" s="283" t="n">
        <f t="shared" si="3"/>
        <v>0.42491666666666678</v>
      </c>
      <c r="Z13" s="283" t="n">
        <f t="shared" si="3"/>
        <v>0.41191666666666671</v>
      </c>
      <c r="AA13" s="283" t="n">
        <f t="shared" si="3"/>
        <v>0.4049166666666667</v>
      </c>
      <c r="AB13" s="283" t="n">
        <f t="shared" si="3"/>
        <v>0.39991666666666681</v>
      </c>
      <c r="AC13" s="285" t="n">
        <f t="shared" si="3"/>
        <v>0.39800000000000002</v>
      </c>
    </row>
    <row r="14" ht="18" customHeight="1">
      <c r="B14" s="293" t="s">
        <v>335</v>
      </c>
      <c r="C14" s="265" t="s">
        <v>333</v>
      </c>
      <c r="D14" s="310" t="n">
        <f>'Haver Pivoted'!GO63</f>
        <v>0</v>
      </c>
      <c r="E14" s="267" t="n">
        <f>'Haver Pivoted'!GP63</f>
        <v>0</v>
      </c>
      <c r="F14" s="267" t="n">
        <f>'Haver Pivoted'!GQ63</f>
        <v>0</v>
      </c>
      <c r="G14" s="267" t="n">
        <f>'Haver Pivoted'!GR63</f>
        <v>0</v>
      </c>
      <c r="H14" s="267" t="n">
        <f>'Haver Pivoted'!GS63</f>
        <v>0</v>
      </c>
      <c r="I14" s="267" t="n">
        <f>'Haver Pivoted'!GT63</f>
        <v>0</v>
      </c>
      <c r="J14" s="267" t="n">
        <f>'Haver Pivoted'!GU63</f>
        <v>0.1</v>
      </c>
      <c r="K14" s="267" t="n">
        <f>'Haver Pivoted'!GV63</f>
        <v>3.7</v>
      </c>
      <c r="L14" s="267" t="n">
        <f>'Haver Pivoted'!GW63</f>
        <v>12.9</v>
      </c>
      <c r="M14" s="267" t="n">
        <f>'Haver Pivoted'!GX63</f>
        <v>25.5</v>
      </c>
      <c r="N14" s="267" t="n">
        <f>'Haver Pivoted'!GY63</f>
        <v>3.8</v>
      </c>
      <c r="O14" s="267" t="n">
        <f>'Haver Pivoted'!GZ63</f>
        <v>1.8</v>
      </c>
      <c r="P14" s="267" t="n">
        <f>'Haver Pivoted'!HA63</f>
        <v>0.6</v>
      </c>
      <c r="Q14" s="267" t="n">
        <f>'Haver Pivoted'!HB63</f>
        <v>0.2</v>
      </c>
      <c r="R14" s="267" t="n">
        <f>'Haver Pivoted'!HC63</f>
        <v>0.1</v>
      </c>
      <c r="S14" s="273" t="n">
        <f>'Haver Pivoted'!HD63</f>
        <v>0</v>
      </c>
      <c r="T14" s="282" t="n">
        <f>'Haver Pivoted'!HE63</f>
        <v>0</v>
      </c>
      <c r="U14" s="283" t="n">
        <f t="shared" ref="U14:X14" si="4">U12</f>
        <v>0</v>
      </c>
      <c r="V14" s="283" t="n">
        <f t="shared" si="4"/>
        <v>0</v>
      </c>
      <c r="W14" s="283" t="n">
        <f t="shared" si="4"/>
        <v>0</v>
      </c>
      <c r="X14" s="283" t="n">
        <f t="shared" si="4"/>
        <v>0</v>
      </c>
      <c r="Y14" s="283" t="n">
        <f>Y12</f>
        <v>0</v>
      </c>
      <c r="Z14" s="283" t="n">
        <f t="shared" ref="Z14:AC14" si="5">Z12</f>
        <v>0</v>
      </c>
      <c r="AA14" s="283" t="n">
        <f t="shared" si="5"/>
        <v>0</v>
      </c>
      <c r="AB14" s="283" t="n">
        <f t="shared" si="5"/>
        <v>0</v>
      </c>
      <c r="AC14" s="285" t="n">
        <f t="shared" si="5"/>
        <v>0</v>
      </c>
    </row>
    <row r="15" ht="18" customHeight="1">
      <c r="B15" s="293" t="s">
        <v>336</v>
      </c>
      <c r="C15" s="265" t="s">
        <v>337</v>
      </c>
      <c r="D15" s="310" t="n">
        <f>'Haver Pivoted'!GO59</f>
        <v>0</v>
      </c>
      <c r="E15" s="267" t="n">
        <f>'Haver Pivoted'!GP59</f>
        <v>0</v>
      </c>
      <c r="F15" s="267" t="n">
        <f>'Haver Pivoted'!GQ59</f>
        <v>0</v>
      </c>
      <c r="G15" s="267" t="n">
        <f>'Haver Pivoted'!GR59</f>
        <v>0</v>
      </c>
      <c r="H15" s="267" t="n">
        <f>'Haver Pivoted'!GS59</f>
        <v>0</v>
      </c>
      <c r="I15" s="267" t="n">
        <f>'Haver Pivoted'!GT59</f>
        <v>0</v>
      </c>
      <c r="J15" s="267" t="n">
        <f>'Haver Pivoted'!GU59</f>
        <v>6.3</v>
      </c>
      <c r="K15" s="267" t="n">
        <f>'Haver Pivoted'!GV59</f>
        <v>26.7</v>
      </c>
      <c r="L15" s="267" t="n">
        <f>'Haver Pivoted'!GW59</f>
        <v>82.1</v>
      </c>
      <c r="M15" s="267" t="n">
        <f>'Haver Pivoted'!GX59</f>
        <v>94.7</v>
      </c>
      <c r="N15" s="267" t="n">
        <f>'Haver Pivoted'!GY59</f>
        <v>92.1</v>
      </c>
      <c r="O15" s="267" t="n">
        <f>'Haver Pivoted'!GZ59</f>
        <v>51.6</v>
      </c>
      <c r="P15" s="267" t="n">
        <f>'Haver Pivoted'!HA59</f>
        <v>2.8</v>
      </c>
      <c r="Q15" s="267" t="n">
        <f>'Haver Pivoted'!HB59</f>
        <v>0.8</v>
      </c>
      <c r="R15" s="267" t="n">
        <f>'Haver Pivoted'!HC59</f>
        <v>0.5</v>
      </c>
      <c r="S15" s="273" t="n">
        <f>'Haver Pivoted'!HD59</f>
        <v>0.3</v>
      </c>
      <c r="T15" s="282" t="n">
        <f>'Haver Pivoted'!HE59</f>
        <v>0.2</v>
      </c>
      <c r="U15" s="283" t="n">
        <f t="shared" ref="U15:AB15" si="6">T15*U$22/T$22</f>
        <v>0.22772222222222224</v>
      </c>
      <c r="V15" s="283" t="n">
        <f t="shared" si="6"/>
        <v>0.25550000000000006</v>
      </c>
      <c r="W15" s="283" t="n">
        <f t="shared" si="6"/>
        <v>0.27216666666666672</v>
      </c>
      <c r="X15" s="283" t="n">
        <f t="shared" si="6"/>
        <v>0.2841111111111112</v>
      </c>
      <c r="Y15" s="283" t="n">
        <f t="shared" si="6"/>
        <v>0.28327777777777785</v>
      </c>
      <c r="Z15" s="283" t="n">
        <f t="shared" si="6"/>
        <v>0.27461111111111114</v>
      </c>
      <c r="AA15" s="283" t="n">
        <f t="shared" si="6"/>
        <v>0.26994444444444449</v>
      </c>
      <c r="AB15" s="283" t="n">
        <f t="shared" si="6"/>
        <v>0.26661111111111119</v>
      </c>
      <c r="AC15" s="285" t="n">
        <f>AB15*AC$22/AB$22</f>
        <v>0.26533333333333337</v>
      </c>
    </row>
    <row r="16" ht="18" customHeight="1">
      <c r="B16" s="293" t="s">
        <v>338</v>
      </c>
      <c r="C16" s="265" t="s">
        <v>339</v>
      </c>
      <c r="D16" s="310" t="n">
        <f>'Haver Pivoted'!GO60</f>
        <v>0</v>
      </c>
      <c r="E16" s="267" t="n">
        <f>'Haver Pivoted'!GP60</f>
        <v>0</v>
      </c>
      <c r="F16" s="267" t="n">
        <f>'Haver Pivoted'!GQ60</f>
        <v>0</v>
      </c>
      <c r="G16" s="267" t="n">
        <f>'Haver Pivoted'!GR60</f>
        <v>0</v>
      </c>
      <c r="H16" s="267" t="n">
        <f>'Haver Pivoted'!GS60</f>
        <v>0</v>
      </c>
      <c r="I16" s="267" t="n">
        <f>'Haver Pivoted'!GT60</f>
        <v>0</v>
      </c>
      <c r="J16" s="267" t="n">
        <f>'Haver Pivoted'!GU60</f>
        <v>74.400000000000006</v>
      </c>
      <c r="K16" s="267" t="n">
        <f>'Haver Pivoted'!GV60</f>
        <v>138.30000000000001</v>
      </c>
      <c r="L16" s="267" t="n">
        <f>'Haver Pivoted'!GW60</f>
        <v>106.8</v>
      </c>
      <c r="M16" s="267" t="n">
        <f>'Haver Pivoted'!GX60</f>
        <v>89.2</v>
      </c>
      <c r="N16" s="267" t="n">
        <f>'Haver Pivoted'!GY60</f>
        <v>72.3</v>
      </c>
      <c r="O16" s="267" t="n">
        <f>'Haver Pivoted'!GZ60</f>
        <v>43.5</v>
      </c>
      <c r="P16" s="267" t="n">
        <f>'Haver Pivoted'!HA60</f>
        <v>2.1</v>
      </c>
      <c r="Q16" s="267" t="n">
        <f>'Haver Pivoted'!HB60</f>
        <v>0.8</v>
      </c>
      <c r="R16" s="267" t="n">
        <f>'Haver Pivoted'!HC60</f>
        <v>0.4</v>
      </c>
      <c r="S16" s="273" t="n">
        <f>'Haver Pivoted'!HD60</f>
        <v>0.2</v>
      </c>
      <c r="T16" s="282" t="n">
        <f>'Haver Pivoted'!HE60</f>
        <v>0.1</v>
      </c>
      <c r="U16" s="283" t="n">
        <f t="shared" ref="U16:AB16" si="7">T16*U$22/T$22</f>
        <v>0.11386111111111112</v>
      </c>
      <c r="V16" s="283" t="n">
        <f t="shared" si="7"/>
        <v>0.12775000000000003</v>
      </c>
      <c r="W16" s="283" t="n">
        <f t="shared" si="7"/>
        <v>0.13608333333333336</v>
      </c>
      <c r="X16" s="283" t="n">
        <f t="shared" si="7"/>
        <v>0.1420555555555556</v>
      </c>
      <c r="Y16" s="283" t="n">
        <f t="shared" si="7"/>
        <v>0.14163888888888893</v>
      </c>
      <c r="Z16" s="283" t="n">
        <f t="shared" si="7"/>
        <v>0.13730555555555557</v>
      </c>
      <c r="AA16" s="283" t="n">
        <f t="shared" si="7"/>
        <v>0.13497222222222224</v>
      </c>
      <c r="AB16" s="283" t="n">
        <f t="shared" si="7"/>
        <v>0.13330555555555559</v>
      </c>
      <c r="AC16" s="285" t="n">
        <f>AB16*AC$22/AB$22</f>
        <v>0.13266666666666668</v>
      </c>
    </row>
    <row r="17" ht="18" customHeight="1">
      <c r="B17" s="293" t="s">
        <v>340</v>
      </c>
      <c r="C17" s="265" t="s">
        <v>341</v>
      </c>
      <c r="D17" s="310" t="n">
        <f>'Haver Pivoted'!GO61</f>
        <v>0</v>
      </c>
      <c r="E17" s="267" t="n">
        <f>'Haver Pivoted'!GP61</f>
        <v>0</v>
      </c>
      <c r="F17" s="267" t="n">
        <f>'Haver Pivoted'!GQ61</f>
        <v>0</v>
      </c>
      <c r="G17" s="267" t="n">
        <f>'Haver Pivoted'!GR61</f>
        <v>0</v>
      </c>
      <c r="H17" s="267" t="n">
        <f>'Haver Pivoted'!GS61</f>
        <v>0</v>
      </c>
      <c r="I17" s="267" t="n">
        <f>'Haver Pivoted'!GT61</f>
        <v>0</v>
      </c>
      <c r="J17" s="267" t="n">
        <f>'Haver Pivoted'!GU61</f>
        <v>698.9</v>
      </c>
      <c r="K17" s="267" t="n">
        <f>'Haver Pivoted'!GV61</f>
        <v>413.9</v>
      </c>
      <c r="L17" s="267" t="n">
        <f>'Haver Pivoted'!GW61</f>
        <v>14.7</v>
      </c>
      <c r="M17" s="267" t="n">
        <f>'Haver Pivoted'!GX61</f>
        <v>288.2</v>
      </c>
      <c r="N17" s="267" t="n">
        <f>'Haver Pivoted'!GY61</f>
        <v>233.3</v>
      </c>
      <c r="O17" s="267" t="n">
        <f>'Haver Pivoted'!GZ61</f>
        <v>110.5</v>
      </c>
      <c r="P17" s="267" t="n">
        <f>'Haver Pivoted'!HA61</f>
        <v>0</v>
      </c>
      <c r="Q17" s="267" t="n">
        <f>'Haver Pivoted'!HB61</f>
        <v>0</v>
      </c>
      <c r="R17" s="267" t="n">
        <f>'Haver Pivoted'!HC61</f>
        <v>0</v>
      </c>
      <c r="S17" s="273" t="n">
        <f>'Haver Pivoted'!HD61</f>
        <v>0</v>
      </c>
      <c r="T17" s="282" t="n">
        <f>'Haver Pivoted'!HE61</f>
        <v>0</v>
      </c>
      <c r="U17" s="283" t="n">
        <f t="shared" ref="U17:AB17" si="8">T17*U$22/T$22</f>
        <v>0</v>
      </c>
      <c r="V17" s="283" t="n">
        <f t="shared" si="8"/>
        <v>0</v>
      </c>
      <c r="W17" s="283" t="n">
        <f t="shared" si="8"/>
        <v>0</v>
      </c>
      <c r="X17" s="283" t="n">
        <f t="shared" si="8"/>
        <v>0</v>
      </c>
      <c r="Y17" s="283" t="n">
        <f t="shared" si="8"/>
        <v>0</v>
      </c>
      <c r="Z17" s="283" t="n">
        <f t="shared" si="8"/>
        <v>0</v>
      </c>
      <c r="AA17" s="283" t="n">
        <f t="shared" si="8"/>
        <v>0</v>
      </c>
      <c r="AB17" s="283" t="n">
        <f t="shared" si="8"/>
        <v>0</v>
      </c>
      <c r="AC17" s="285" t="n">
        <f>AB17*AC$22/AB$22</f>
        <v>0</v>
      </c>
    </row>
    <row r="18">
      <c r="B18" s="300" t="s">
        <v>158</v>
      </c>
      <c r="C18" s="268" t="s">
        <v>342</v>
      </c>
      <c r="D18" s="311" t="n">
        <f>'Haver Pivoted'!GO64</f>
        <v>0</v>
      </c>
      <c r="E18" s="264" t="n">
        <f>'Haver Pivoted'!GP64</f>
        <v>0</v>
      </c>
      <c r="F18" s="264" t="n">
        <f>'Haver Pivoted'!GQ64</f>
        <v>0</v>
      </c>
      <c r="G18" s="264" t="n">
        <f>'Haver Pivoted'!GR64</f>
        <v>0</v>
      </c>
      <c r="H18" s="264" t="n">
        <f>'Haver Pivoted'!GS64</f>
        <v>0</v>
      </c>
      <c r="I18" s="264" t="n">
        <f>'Haver Pivoted'!GT64</f>
        <v>0</v>
      </c>
      <c r="J18" s="264" t="n">
        <f>'Haver Pivoted'!GU64</f>
        <v>0</v>
      </c>
      <c r="K18" s="264" t="n">
        <f>'Haver Pivoted'!GV64</f>
        <v>106.2</v>
      </c>
      <c r="L18" s="264" t="n">
        <f>'Haver Pivoted'!GW64</f>
        <v>35.9</v>
      </c>
      <c r="M18" s="264" t="n">
        <f>'Haver Pivoted'!GX64</f>
        <v>1.6</v>
      </c>
      <c r="N18" s="264" t="n">
        <f>'Haver Pivoted'!GY64</f>
        <v>0.6</v>
      </c>
      <c r="O18" s="264" t="n">
        <f>'Haver Pivoted'!GZ64</f>
        <v>0.1</v>
      </c>
      <c r="P18" s="264" t="n">
        <f>'Haver Pivoted'!HA64</f>
        <v>0</v>
      </c>
      <c r="Q18" s="267" t="n">
        <f>'Haver Pivoted'!HB64</f>
        <v>0</v>
      </c>
      <c r="R18" s="267" t="n">
        <f>'Haver Pivoted'!HC64</f>
        <v>0</v>
      </c>
      <c r="S18" s="273" t="n">
        <f>'Haver Pivoted'!HD64</f>
        <v>0</v>
      </c>
      <c r="T18" s="282" t="n">
        <f>'Haver Pivoted'!HE64</f>
        <v>0</v>
      </c>
      <c r="U18" s="283"/>
      <c r="V18" s="283"/>
      <c r="W18" s="283"/>
      <c r="X18" s="283"/>
      <c r="Y18" s="283"/>
      <c r="Z18" s="283"/>
      <c r="AA18" s="283"/>
      <c r="AB18" s="283"/>
      <c r="AC18" s="285"/>
    </row>
    <row r="19" ht="14.85" customHeight="1">
      <c r="B19" s="301" t="s">
        <v>343</v>
      </c>
      <c r="C19" s="307"/>
      <c r="D19" s="286" t="n">
        <f t="shared" ref="D19:N19" si="9">D11-D20</f>
        <v>0</v>
      </c>
      <c r="E19" s="278" t="n">
        <f t="shared" si="9"/>
        <v>0</v>
      </c>
      <c r="F19" s="278" t="n">
        <f t="shared" si="9"/>
        <v>0</v>
      </c>
      <c r="G19" s="278" t="n">
        <f t="shared" si="9"/>
        <v>0</v>
      </c>
      <c r="H19" s="278" t="n">
        <f t="shared" si="9"/>
        <v>0</v>
      </c>
      <c r="I19" s="278" t="n">
        <f t="shared" si="9"/>
        <v>0</v>
      </c>
      <c r="J19" s="278" t="n">
        <f t="shared" si="9"/>
        <v>779.80000000000007</v>
      </c>
      <c r="K19" s="278" t="n">
        <f t="shared" si="9"/>
        <v>586.29999999999995</v>
      </c>
      <c r="L19" s="278" t="n">
        <f t="shared" si="9"/>
        <v>229.4</v>
      </c>
      <c r="M19" s="278" t="n">
        <f t="shared" si="9"/>
        <v>523.1</v>
      </c>
      <c r="N19" s="274" t="n">
        <f t="shared" si="9"/>
        <v>405.3</v>
      </c>
      <c r="O19" s="274" t="n">
        <f>O11-O20</f>
        <v>209.20000000000002</v>
      </c>
      <c r="P19" s="274" t="n">
        <f t="shared" ref="P19" si="10">P11-P20</f>
        <v>6.1000000000000014</v>
      </c>
      <c r="Q19" s="274" t="n">
        <f>Q11-Q20</f>
        <v>0.19999999999999929</v>
      </c>
      <c r="R19" s="274" t="n">
        <f>R11-R20</f>
        <v>1.1000000000000014</v>
      </c>
      <c r="S19" s="270" t="n">
        <f>S11-S20</f>
        <v>0.5</v>
      </c>
      <c r="T19" s="281" t="n">
        <f>T11-T20</f>
        <v>0.30000000000000071</v>
      </c>
      <c r="U19" s="271" t="n">
        <f t="shared" ref="U19:AC19" si="11">U11-U20</f>
        <v>0.34158333333333246</v>
      </c>
      <c r="V19" s="271" t="n">
        <f t="shared" si="11"/>
        <v>0.38325000000000031</v>
      </c>
      <c r="W19" s="271" t="n">
        <f t="shared" si="11"/>
        <v>0.40824999999999889</v>
      </c>
      <c r="X19" s="271" t="n">
        <f t="shared" si="11"/>
        <v>0.42616666666666703</v>
      </c>
      <c r="Y19" s="271" t="n">
        <f t="shared" si="11"/>
        <v>0.42491666666666816</v>
      </c>
      <c r="Z19" s="271" t="n">
        <f t="shared" si="11"/>
        <v>0.41191666666666649</v>
      </c>
      <c r="AA19" s="271" t="n">
        <f t="shared" si="11"/>
        <v>0.40491666666666504</v>
      </c>
      <c r="AB19" s="271" t="n">
        <f t="shared" si="11"/>
        <v>0.39991666666666603</v>
      </c>
      <c r="AC19" s="271" t="n">
        <f t="shared" si="11"/>
        <v>0.39799999999999969</v>
      </c>
    </row>
    <row r="20" ht="14.85" customHeight="1">
      <c r="B20" s="301" t="s">
        <v>344</v>
      </c>
      <c r="C20" s="307"/>
      <c r="D20" s="286" t="n">
        <f t="shared" ref="D20:H20" si="12">D11</f>
        <v>27.8</v>
      </c>
      <c r="E20" s="278" t="n">
        <f t="shared" si="12"/>
        <v>29.4</v>
      </c>
      <c r="F20" s="278" t="n">
        <f t="shared" si="12"/>
        <v>26.9</v>
      </c>
      <c r="G20" s="278" t="n">
        <f t="shared" si="12"/>
        <v>26.4</v>
      </c>
      <c r="H20" s="278" t="n">
        <f t="shared" si="12"/>
        <v>27.7</v>
      </c>
      <c r="I20" s="278" t="n">
        <f>I11</f>
        <v>40.700000000000003</v>
      </c>
      <c r="J20" s="278" t="n">
        <f>J11-J13-J12</f>
        <v>227.69999999999996</v>
      </c>
      <c r="K20" s="278" t="n">
        <f>K11-K13-K12</f>
        <v>206.59999999999997</v>
      </c>
      <c r="L20" s="278" t="n">
        <f>L11-L13-L12</f>
        <v>79.099999999999994</v>
      </c>
      <c r="M20" s="278" t="n">
        <f>M11-M13-M12</f>
        <v>33.100000000000023</v>
      </c>
      <c r="N20" s="274" t="n">
        <f t="shared" ref="N20:T20" si="13">N11-N12-N13</f>
        <v>43.300000000000011</v>
      </c>
      <c r="O20" s="274" t="n">
        <f t="shared" si="13"/>
        <v>35.899999999999977</v>
      </c>
      <c r="P20" s="274" t="n">
        <f t="shared" si="13"/>
        <v>27.699999999999996</v>
      </c>
      <c r="Q20" s="267" t="n">
        <f t="shared" si="13"/>
        <v>23.400000000000002</v>
      </c>
      <c r="R20" s="267" t="n">
        <f t="shared" si="13"/>
        <v>17.5</v>
      </c>
      <c r="S20" s="273" t="n">
        <f t="shared" si="13"/>
        <v>18</v>
      </c>
      <c r="T20" s="282" t="n">
        <f t="shared" si="13"/>
        <v>20.099999999999998</v>
      </c>
      <c r="U20" s="271" t="n">
        <f t="shared" ref="U20:AB20" si="14">T20*U22/T22</f>
        <v>22.886083333333332</v>
      </c>
      <c r="V20" s="271" t="n">
        <f t="shared" si="14"/>
        <v>25.677749999999996</v>
      </c>
      <c r="W20" s="271" t="n">
        <f t="shared" si="14"/>
        <v>27.352749999999993</v>
      </c>
      <c r="X20" s="271" t="n">
        <f t="shared" si="14"/>
        <v>28.553166666666659</v>
      </c>
      <c r="Y20" s="271" t="n">
        <f t="shared" si="14"/>
        <v>28.46941666666666</v>
      </c>
      <c r="Z20" s="271" t="n">
        <f t="shared" si="14"/>
        <v>27.598416666666658</v>
      </c>
      <c r="AA20" s="271" t="n">
        <f t="shared" si="14"/>
        <v>27.129416666666657</v>
      </c>
      <c r="AB20" s="271" t="n">
        <f t="shared" si="14"/>
        <v>26.794416666666656</v>
      </c>
      <c r="AC20" s="287" t="n">
        <f>AB20*AC22/AB22</f>
        <v>26.665999999999986</v>
      </c>
      <c r="AD20" s="289" t="s">
        <v>345</v>
      </c>
    </row>
    <row r="21">
      <c r="B21" s="300"/>
      <c r="C21" s="295"/>
      <c r="D21" s="310"/>
      <c r="E21" s="267"/>
      <c r="F21" s="267"/>
      <c r="G21" s="267"/>
      <c r="H21" s="266"/>
      <c r="I21" s="266"/>
      <c r="J21" s="266"/>
      <c r="K21" s="266"/>
      <c r="L21" s="266"/>
      <c r="M21" s="266"/>
      <c r="N21" s="266"/>
      <c r="O21" s="266"/>
      <c r="P21" s="266"/>
      <c r="Q21" s="266"/>
      <c r="R21" s="266"/>
      <c r="S21" s="266"/>
      <c r="T21" s="275"/>
      <c r="U21" s="284"/>
      <c r="V21" s="284"/>
      <c r="W21" s="284"/>
      <c r="X21" s="284"/>
      <c r="Y21" s="284"/>
      <c r="Z21" s="284"/>
      <c r="AA21" s="284"/>
      <c r="AB21" s="284"/>
      <c r="AC21" s="296"/>
    </row>
    <row r="22">
      <c r="B22" s="253" t="s">
        <v>1893</v>
      </c>
      <c r="C22" s="254"/>
      <c r="D22" s="255"/>
      <c r="E22" s="256"/>
      <c r="F22" s="256"/>
      <c r="G22" s="256"/>
      <c r="H22" s="257"/>
      <c r="I22" s="257"/>
      <c r="J22" s="257"/>
      <c r="K22" s="257"/>
      <c r="L22" s="257"/>
      <c r="M22" s="257" t="n">
        <f>D32</f>
        <v>6.166666666666667</v>
      </c>
      <c r="N22" s="257" t="n">
        <f>D35</f>
        <v>5.7666666666666657</v>
      </c>
      <c r="O22" s="257" t="n">
        <f>D38</f>
        <v>5.1333333333333337</v>
      </c>
      <c r="P22" s="257" t="n">
        <f>D41</f>
        <v>4.2333333333333334</v>
      </c>
      <c r="Q22" s="257" t="n">
        <f>D44</f>
        <v>3.8000000000000003</v>
      </c>
      <c r="R22" s="258" t="n">
        <f>D47</f>
        <v>3.6</v>
      </c>
      <c r="S22" s="261" t="n">
        <f>D50</f>
        <v>3.5666666666666664</v>
      </c>
      <c r="T22" s="262" t="n">
        <f>D53</f>
        <v>3.6</v>
      </c>
      <c r="U22" s="259" t="n">
        <v>4.0990000000000002</v>
      </c>
      <c r="V22" s="259" t="n">
        <v>4.5990000000000002</v>
      </c>
      <c r="W22" s="259" t="n">
        <v>4.899</v>
      </c>
      <c r="X22" s="259" t="n">
        <v>5.1139999999999999</v>
      </c>
      <c r="Y22" s="259" t="n">
        <v>5.0990000000000002</v>
      </c>
      <c r="Z22" s="259" t="n">
        <v>4.9429999999999996</v>
      </c>
      <c r="AA22" s="259" t="n">
        <v>4.859</v>
      </c>
      <c r="AB22" s="259" t="n">
        <v>4.7990000000000004</v>
      </c>
      <c r="AC22" s="260" t="n">
        <v>4.7759999999999998</v>
      </c>
      <c r="AD22" s="302" t="s">
        <v>346</v>
      </c>
    </row>
    <row r="23" ht="15.75" customHeight="1">
      <c r="C23" s="268"/>
      <c r="D23" s="264"/>
      <c r="E23" s="264"/>
      <c r="F23" s="264"/>
      <c r="G23" s="264"/>
      <c r="H23" s="266"/>
      <c r="I23" s="266"/>
      <c r="J23" s="266"/>
      <c r="K23" s="266"/>
      <c r="L23" s="266"/>
      <c r="M23" s="266"/>
      <c r="N23" s="266"/>
      <c r="O23" s="266"/>
      <c r="P23" s="266"/>
      <c r="AD23" s="302"/>
    </row>
    <row r="24">
      <c r="C24" s="268"/>
      <c r="D24" s="264"/>
      <c r="E24" s="264"/>
      <c r="F24" s="264"/>
      <c r="G24" s="264"/>
      <c r="H24" s="266"/>
      <c r="I24" s="266"/>
      <c r="J24" s="266"/>
      <c r="K24" s="266"/>
      <c r="L24" s="266"/>
      <c r="M24" s="266"/>
      <c r="N24" s="266"/>
      <c r="O24" s="266"/>
      <c r="P24" s="266"/>
      <c r="AD24" s="302"/>
    </row>
    <row r="25">
      <c r="C25" s="268"/>
      <c r="D25" s="264"/>
      <c r="E25" s="264"/>
      <c r="F25" s="264"/>
      <c r="G25" s="264"/>
      <c r="H25" s="266"/>
      <c r="I25" s="266"/>
      <c r="J25" s="266"/>
      <c r="K25" s="266"/>
      <c r="L25" s="266"/>
      <c r="M25" s="266"/>
      <c r="N25" s="266"/>
      <c r="O25" s="266"/>
      <c r="P25" s="266"/>
      <c r="AD25" s="302"/>
    </row>
    <row r="26">
      <c r="C26" s="268"/>
      <c r="D26" s="264"/>
      <c r="E26" s="264"/>
      <c r="F26" s="264"/>
      <c r="G26" s="264"/>
      <c r="H26" s="266"/>
      <c r="I26" s="266"/>
      <c r="J26" s="266"/>
      <c r="K26" s="266"/>
      <c r="L26" s="266"/>
      <c r="M26" s="266"/>
      <c r="N26" s="266"/>
      <c r="O26" s="266"/>
      <c r="P26" s="266"/>
      <c r="AD26" s="302"/>
    </row>
    <row r="27">
      <c r="C27" s="268"/>
      <c r="D27" s="264"/>
      <c r="E27" s="264"/>
      <c r="F27" s="264"/>
      <c r="G27" s="264"/>
      <c r="H27" s="266"/>
      <c r="I27" s="266"/>
      <c r="J27" s="266"/>
      <c r="K27" s="266"/>
      <c r="L27" s="266"/>
      <c r="M27" s="266"/>
      <c r="N27" s="266"/>
      <c r="O27" s="266"/>
      <c r="P27" s="266"/>
      <c r="AD27" s="302"/>
    </row>
    <row r="28">
      <c r="M28" s="302"/>
      <c r="N28" s="302"/>
      <c r="O28" s="302"/>
    </row>
    <row r="29">
      <c r="M29" s="268"/>
      <c r="N29" s="268"/>
      <c r="O29" s="268"/>
    </row>
    <row r="30">
      <c r="M30" s="268"/>
      <c r="N30" s="268"/>
      <c r="O30" s="268"/>
    </row>
    <row r="31" ht="30.75" customHeight="1">
      <c r="B31" s="312" t="s">
        <v>347</v>
      </c>
      <c r="C31" s="317" t="s">
        <v>348</v>
      </c>
      <c r="D31" s="313" t="s">
        <v>349</v>
      </c>
      <c r="M31" s="268"/>
      <c r="N31" s="268"/>
      <c r="O31" s="268"/>
    </row>
    <row r="32">
      <c r="A32" s="63"/>
      <c r="B32" s="314" t="n">
        <v>44197</v>
      </c>
      <c r="C32" s="209" t="n">
        <v>6.3</v>
      </c>
      <c r="D32" s="315" t="n">
        <f>AVERAGE(C32:C34)</f>
        <v>6.166666666666667</v>
      </c>
      <c r="E32" s="63"/>
      <c r="M32" s="268"/>
      <c r="N32" s="268"/>
      <c r="O32" s="268"/>
    </row>
    <row r="33">
      <c r="A33" s="63"/>
      <c r="B33" s="314" t="n">
        <v>44228</v>
      </c>
      <c r="C33" s="209" t="n">
        <v>6.2</v>
      </c>
      <c r="D33" s="315"/>
      <c r="E33" s="63"/>
      <c r="M33" s="268"/>
      <c r="N33" s="268"/>
      <c r="O33" s="268"/>
    </row>
    <row r="34">
      <c r="A34" s="63"/>
      <c r="B34" s="314" t="n">
        <v>44256</v>
      </c>
      <c r="C34" s="209" t="n">
        <v>6</v>
      </c>
      <c r="D34" s="315"/>
      <c r="E34" s="63"/>
      <c r="M34" s="268"/>
      <c r="N34" s="268"/>
      <c r="O34" s="268"/>
    </row>
    <row r="35">
      <c r="A35" s="63"/>
      <c r="B35" s="314" t="n">
        <v>44287</v>
      </c>
      <c r="C35" s="209" t="n">
        <v>6.1</v>
      </c>
      <c r="D35" s="315" t="n">
        <f>AVERAGE(C35:C37)</f>
        <v>5.7666666666666657</v>
      </c>
      <c r="E35" s="63"/>
      <c r="M35" s="268"/>
      <c r="N35" s="268"/>
      <c r="O35" s="268"/>
    </row>
    <row r="36">
      <c r="A36" s="63"/>
      <c r="B36" s="314" t="n">
        <v>44317</v>
      </c>
      <c r="C36" s="209" t="n">
        <v>5.8</v>
      </c>
      <c r="D36" s="315"/>
      <c r="E36" s="63"/>
      <c r="M36" s="268"/>
      <c r="N36" s="268"/>
      <c r="O36" s="268"/>
    </row>
    <row r="37">
      <c r="A37" s="63"/>
      <c r="B37" s="314" t="n">
        <v>44348</v>
      </c>
      <c r="C37" s="209" t="n">
        <v>5.4</v>
      </c>
      <c r="D37" s="315"/>
      <c r="E37" s="63"/>
      <c r="M37" s="268"/>
      <c r="N37" s="268"/>
      <c r="O37" s="268"/>
    </row>
    <row r="38">
      <c r="A38" s="63"/>
      <c r="B38" s="314" t="n">
        <v>44378</v>
      </c>
      <c r="C38" s="209" t="n">
        <v>5.4</v>
      </c>
      <c r="D38" s="315" t="n">
        <f>AVERAGE(C38:C40)</f>
        <v>5.1333333333333337</v>
      </c>
      <c r="E38" s="268" t="s">
        <v>350</v>
      </c>
      <c r="M38" s="268"/>
      <c r="N38" s="268"/>
      <c r="O38" s="268"/>
    </row>
    <row r="39">
      <c r="A39" s="63"/>
      <c r="B39" s="314" t="n">
        <v>44409</v>
      </c>
      <c r="C39" s="209" t="n">
        <v>5.2</v>
      </c>
      <c r="D39" s="315"/>
      <c r="E39" s="63" t="s">
        <v>1889</v>
      </c>
      <c r="M39" s="268"/>
      <c r="N39" s="268"/>
      <c r="O39" s="268"/>
    </row>
    <row r="40">
      <c r="A40" s="63"/>
      <c r="B40" s="314" t="n">
        <v>44440</v>
      </c>
      <c r="C40" s="209" t="n">
        <v>4.8</v>
      </c>
      <c r="D40" s="315"/>
      <c r="E40" s="63"/>
      <c r="M40" s="268"/>
      <c r="N40" s="268"/>
      <c r="O40" s="268"/>
    </row>
    <row r="41">
      <c r="A41" s="63"/>
      <c r="B41" s="314" t="n">
        <v>44470</v>
      </c>
      <c r="C41" s="209" t="n">
        <v>4.5999999999999996</v>
      </c>
      <c r="D41" s="315" t="n">
        <f>AVERAGE(C41:C43)</f>
        <v>4.2333333333333334</v>
      </c>
      <c r="E41" s="63"/>
      <c r="M41" s="268"/>
      <c r="N41" s="268"/>
      <c r="O41" s="268"/>
    </row>
    <row r="42">
      <c r="A42" s="63"/>
      <c r="B42" s="314" t="n">
        <v>44501</v>
      </c>
      <c r="C42" s="209" t="n">
        <v>4.2</v>
      </c>
      <c r="D42" s="315"/>
      <c r="E42" s="63"/>
      <c r="M42" s="268"/>
      <c r="N42" s="268"/>
      <c r="O42" s="268"/>
      <c r="AD42" s="268"/>
      <c r="AE42" s="268"/>
      <c r="AF42" s="268"/>
      <c r="AG42" s="268"/>
      <c r="AH42" s="268"/>
      <c r="AI42" s="268"/>
      <c r="AJ42" s="268"/>
      <c r="AK42" s="268"/>
      <c r="AL42" s="268"/>
    </row>
    <row r="43">
      <c r="A43" s="63"/>
      <c r="B43" s="314" t="n">
        <v>44531</v>
      </c>
      <c r="C43" s="209" t="n">
        <v>3.9</v>
      </c>
      <c r="D43" s="315"/>
      <c r="E43" s="63"/>
      <c r="M43" s="268"/>
      <c r="N43" s="268"/>
      <c r="O43" s="268"/>
      <c r="AD43" s="268"/>
      <c r="AE43" s="268"/>
      <c r="AF43" s="268"/>
      <c r="AG43" s="268"/>
      <c r="AH43" s="268"/>
      <c r="AI43" s="268"/>
      <c r="AJ43" s="268"/>
      <c r="AK43" s="268"/>
      <c r="AL43" s="268"/>
    </row>
    <row r="44">
      <c r="A44" s="63"/>
      <c r="B44" s="314" t="n">
        <v>44562</v>
      </c>
      <c r="C44" s="209" t="n">
        <v>4</v>
      </c>
      <c r="D44" s="209" t="n">
        <f>AVERAGE(C44:C46)</f>
        <v>3.8000000000000003</v>
      </c>
      <c r="E44" s="63"/>
      <c r="M44" s="268"/>
      <c r="N44" s="268"/>
      <c r="O44" s="268"/>
    </row>
    <row r="45">
      <c r="A45" s="63"/>
      <c r="B45" s="314" t="n">
        <v>44593</v>
      </c>
      <c r="C45" s="209" t="n">
        <v>3.8</v>
      </c>
      <c r="D45" s="209"/>
      <c r="E45" s="63"/>
    </row>
    <row r="46">
      <c r="A46" s="63"/>
      <c r="B46" s="314" t="n">
        <v>44621</v>
      </c>
      <c r="C46" s="209" t="n">
        <v>3.6</v>
      </c>
      <c r="D46" s="209"/>
      <c r="E46" s="63"/>
    </row>
    <row r="47">
      <c r="A47" s="63"/>
      <c r="B47" s="314" t="n">
        <v>44652</v>
      </c>
      <c r="C47" s="209" t="n">
        <v>3.6</v>
      </c>
      <c r="D47" s="209" t="n">
        <f>AVERAGE(C47:C49)</f>
        <v>3.6</v>
      </c>
      <c r="E47" s="63"/>
    </row>
    <row r="48">
      <c r="A48" s="63"/>
      <c r="B48" s="314" t="n">
        <v>44682</v>
      </c>
      <c r="C48" s="209" t="n">
        <v>3.6</v>
      </c>
      <c r="D48" s="209"/>
      <c r="E48" s="63"/>
    </row>
    <row r="49">
      <c r="A49" s="63"/>
      <c r="B49" s="314" t="n">
        <v>44713</v>
      </c>
      <c r="C49" s="209" t="n">
        <v>3.6</v>
      </c>
      <c r="D49" s="209"/>
      <c r="E49" s="63"/>
    </row>
    <row r="50">
      <c r="A50" s="63"/>
      <c r="B50" s="314" t="n">
        <v>44743</v>
      </c>
      <c r="C50" s="209" t="n">
        <v>3.5</v>
      </c>
      <c r="D50" s="209" t="n">
        <f>AVERAGE(C50:C52)</f>
        <v>3.5666666666666664</v>
      </c>
      <c r="E50" s="63"/>
    </row>
    <row r="51">
      <c r="A51" s="63"/>
      <c r="B51" s="314" t="n">
        <v>44774</v>
      </c>
      <c r="C51" s="209" t="n">
        <v>3.7</v>
      </c>
      <c r="D51" s="209"/>
      <c r="E51" s="63"/>
    </row>
    <row r="52">
      <c r="B52" s="314" t="n">
        <v>44805</v>
      </c>
      <c r="C52" s="209" t="n">
        <v>3.5</v>
      </c>
      <c r="D52" s="209"/>
    </row>
    <row r="53">
      <c r="B53" s="314" t="n">
        <v>44835</v>
      </c>
      <c r="C53" s="209" t="n">
        <v>3.7</v>
      </c>
      <c r="D53" s="209" t="n">
        <f>AVERAGE(C53:C55)</f>
        <v>3.6</v>
      </c>
    </row>
    <row r="54">
      <c r="B54" s="314" t="n">
        <v>44866</v>
      </c>
      <c r="C54" s="209" t="n">
        <v>3.6</v>
      </c>
      <c r="D54" s="209"/>
    </row>
    <row r="55">
      <c r="B55" s="316" t="n">
        <v>44896</v>
      </c>
      <c r="C55" s="211" t="n">
        <v>3.5</v>
      </c>
      <c r="D55" s="211"/>
    </row>
  </sheetData>
  <mergeCells count="11">
    <mergeCell ref="B1:AC1"/>
    <mergeCell ref="B2:AC6"/>
    <mergeCell ref="E9:H9"/>
    <mergeCell ref="B8:C10"/>
    <mergeCell ref="I9:L9"/>
    <mergeCell ref="U9:X9"/>
    <mergeCell ref="Y9:AB9"/>
    <mergeCell ref="M9:P9"/>
    <mergeCell ref="Q9:R9"/>
    <mergeCell ref="D8:T8"/>
    <mergeCell ref="U8:AC8"/>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89" workbookViewId="0">
      <selection activeCell="E86" sqref="E86"/>
    </sheetView>
  </sheetViews>
  <sheetFormatPr defaultRowHeight="15.0" baseColWidth="10"/>
  <cols>
    <col min="1" max="1" width="8.42578125" hidden="0" customWidth="1"/>
    <col min="2" max="2" width="40.42578125" hidden="0" customWidth="1"/>
    <col min="3" max="3" width="7.140625" hidden="0" customWidth="1"/>
    <col min="4" max="4" width="11.140625" hidden="0" customWidth="1"/>
    <col min="5" max="5" width="12.42578125" hidden="0" customWidth="1"/>
    <col min="6" max="6" width="7.140625" hidden="0" customWidth="1"/>
    <col min="7" max="7" width="7.140625" hidden="0" customWidth="1"/>
    <col min="8" max="8" width="10.42578125" hidden="0" customWidth="1"/>
    <col min="9" max="9" width="11.42578125" hidden="0" customWidth="1"/>
    <col min="10" max="10" width="7.42578125" hidden="0" customWidth="1"/>
    <col min="11" max="11" width="7.42578125" hidden="0" customWidth="1"/>
    <col min="12" max="12" width="7.42578125" hidden="0" customWidth="1"/>
    <col min="13" max="13" width="7.42578125" hidden="0" customWidth="1"/>
    <col min="14" max="14" width="8.140625" hidden="0" customWidth="1"/>
    <col min="15" max="15" width="8.140625" hidden="0" customWidth="1"/>
    <col min="16" max="16" width="8.140625" hidden="0" customWidth="1"/>
    <col min="17" max="17" width="8.140625" hidden="0" customWidth="1"/>
    <col min="18" max="18" width="8.140625" hidden="0" customWidth="1"/>
    <col min="19" max="19" width="8.85546875" hidden="0" customWidth="1"/>
    <col min="20" max="20" width="8.140625" hidden="0" customWidth="1"/>
    <col min="21" max="21" width="8.140625" hidden="0" customWidth="1"/>
    <col min="22" max="22" width="8.140625" hidden="0" customWidth="1"/>
    <col min="23" max="23" width="8.140625" hidden="0" customWidth="1"/>
    <col min="24" max="24" width="8.140625" hidden="0" customWidth="1"/>
    <col min="25" max="25" width="8.140625" hidden="0" customWidth="1"/>
    <col min="26" max="26" width="8.140625" hidden="0" customWidth="1"/>
    <col min="27" max="27" width="8.140625" hidden="0" customWidth="1"/>
    <col min="28" max="28" width="8.140625" hidden="0" customWidth="1"/>
    <col min="29" max="29" width="8.140625" hidden="0" customWidth="1"/>
    <col min="30" max="30" width="29.42578125" hidden="0" customWidth="1"/>
    <col min="31" max="31" width="31.140625" hidden="0" customWidth="1"/>
    <col min="32" max="32" width="114.85546875" hidden="0" customWidth="1"/>
  </cols>
  <sheetData>
    <row r="1">
      <c r="B1" s="233" t="s">
        <v>192</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21"/>
      <c r="AE1" s="221"/>
    </row>
    <row r="2" ht="14.25" customHeight="1">
      <c r="B2" s="234" t="s">
        <v>379</v>
      </c>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row>
    <row r="3" ht="50.85" customHeight="1">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c r="AD3" s="234"/>
      <c r="AE3" s="234"/>
    </row>
    <row r="4" ht="5.25" customHeight="1">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row>
    <row r="5">
      <c r="B5" s="416" t="s">
        <v>380</v>
      </c>
    </row>
    <row r="6" ht="14.85" customHeight="1">
      <c r="B6" s="237" t="s">
        <v>381</v>
      </c>
      <c r="C6" s="238"/>
      <c r="D6" s="247" t="s">
        <v>325</v>
      </c>
      <c r="E6" s="248"/>
      <c r="F6" s="248"/>
      <c r="G6" s="248"/>
      <c r="H6" s="248"/>
      <c r="I6" s="248"/>
      <c r="J6" s="248"/>
      <c r="K6" s="248"/>
      <c r="L6" s="248"/>
      <c r="M6" s="248"/>
      <c r="N6" s="248"/>
      <c r="O6" s="248"/>
      <c r="P6" s="248"/>
      <c r="Q6" s="248"/>
      <c r="R6" s="248"/>
      <c r="S6" s="248"/>
      <c r="T6" s="249"/>
      <c r="U6" s="250" t="s">
        <v>326</v>
      </c>
      <c r="V6" s="251"/>
      <c r="W6" s="251"/>
      <c r="X6" s="251"/>
      <c r="Y6" s="251"/>
      <c r="Z6" s="251"/>
      <c r="AA6" s="251"/>
      <c r="AB6" s="251"/>
      <c r="AC6" s="252"/>
      <c r="AD6" s="321" t="s">
        <v>382</v>
      </c>
      <c r="AE6" s="324" t="s">
        <v>383</v>
      </c>
    </row>
    <row r="7" ht="24" customHeight="1">
      <c r="B7" s="239"/>
      <c r="C7" s="240"/>
      <c r="D7" s="204" t="n">
        <v>2018</v>
      </c>
      <c r="E7" s="204" t="n">
        <v>2019</v>
      </c>
      <c r="F7" s="217"/>
      <c r="G7" s="217"/>
      <c r="H7" s="200"/>
      <c r="I7" s="204" t="n">
        <v>2020</v>
      </c>
      <c r="J7" s="217"/>
      <c r="K7" s="217"/>
      <c r="L7" s="217"/>
      <c r="M7" s="204" t="n">
        <v>2021</v>
      </c>
      <c r="N7" s="217"/>
      <c r="O7" s="217"/>
      <c r="P7" s="217"/>
      <c r="Q7" s="198" t="n">
        <v>2022</v>
      </c>
      <c r="R7" s="199"/>
      <c r="S7" s="199"/>
      <c r="T7" s="236"/>
      <c r="U7" s="241" t="n">
        <v>2023</v>
      </c>
      <c r="V7" s="242"/>
      <c r="W7" s="242"/>
      <c r="X7" s="242"/>
      <c r="Y7" s="244" t="n">
        <v>2024</v>
      </c>
      <c r="Z7" s="242"/>
      <c r="AA7" s="242"/>
      <c r="AB7" s="243"/>
      <c r="AC7" s="290" t="n">
        <v>2025</v>
      </c>
      <c r="AD7" s="322"/>
      <c r="AE7" s="325"/>
    </row>
    <row r="8" ht="14.25" customHeight="1">
      <c r="B8" s="319"/>
      <c r="C8" s="320"/>
      <c r="D8" s="204" t="s">
        <v>327</v>
      </c>
      <c r="E8" s="204" t="s">
        <v>328</v>
      </c>
      <c r="F8" s="217" t="s">
        <v>329</v>
      </c>
      <c r="G8" s="217" t="s">
        <v>238</v>
      </c>
      <c r="H8" s="200" t="s">
        <v>327</v>
      </c>
      <c r="I8" s="217" t="s">
        <v>328</v>
      </c>
      <c r="J8" s="217" t="s">
        <v>329</v>
      </c>
      <c r="K8" s="217" t="s">
        <v>238</v>
      </c>
      <c r="L8" s="217" t="s">
        <v>327</v>
      </c>
      <c r="M8" s="204" t="s">
        <v>328</v>
      </c>
      <c r="N8" s="217" t="s">
        <v>329</v>
      </c>
      <c r="O8" s="217" t="s">
        <v>238</v>
      </c>
      <c r="P8" s="217" t="s">
        <v>327</v>
      </c>
      <c r="Q8" s="204" t="s">
        <v>328</v>
      </c>
      <c r="R8" s="217" t="s">
        <v>329</v>
      </c>
      <c r="S8" s="217" t="s">
        <v>238</v>
      </c>
      <c r="T8" s="200" t="s">
        <v>327</v>
      </c>
      <c r="U8" s="350" t="s">
        <v>328</v>
      </c>
      <c r="V8" s="350" t="s">
        <v>329</v>
      </c>
      <c r="W8" s="350" t="s">
        <v>238</v>
      </c>
      <c r="X8" s="350" t="s">
        <v>327</v>
      </c>
      <c r="Y8" s="418" t="s">
        <v>328</v>
      </c>
      <c r="Z8" s="283" t="s">
        <v>329</v>
      </c>
      <c r="AA8" s="350" t="s">
        <v>238</v>
      </c>
      <c r="AB8" s="348" t="s">
        <v>327</v>
      </c>
      <c r="AC8" s="443" t="s">
        <v>328</v>
      </c>
      <c r="AD8" s="323"/>
      <c r="AE8" s="326"/>
    </row>
    <row r="9" ht="23.85" customHeight="1">
      <c r="B9" s="423" t="s">
        <v>384</v>
      </c>
      <c r="C9" s="448" t="s">
        <v>385</v>
      </c>
      <c r="D9" s="354" t="n">
        <f>'Haver Pivoted'!GO32</f>
        <v>587.79999999999995</v>
      </c>
      <c r="E9" s="355" t="n">
        <f>'Haver Pivoted'!GP32</f>
        <v>592.4</v>
      </c>
      <c r="F9" s="355" t="n">
        <f>'Haver Pivoted'!GQ32</f>
        <v>615.5</v>
      </c>
      <c r="G9" s="355" t="n">
        <f>'Haver Pivoted'!GR32</f>
        <v>610.4</v>
      </c>
      <c r="H9" s="355" t="n">
        <f>'Haver Pivoted'!GS32</f>
        <v>617.5</v>
      </c>
      <c r="I9" s="355" t="n">
        <f>'Haver Pivoted'!GT32</f>
        <v>638.6</v>
      </c>
      <c r="J9" s="355" t="n">
        <f>'Haver Pivoted'!GU32</f>
        <v>1395</v>
      </c>
      <c r="K9" s="355" t="n">
        <f>'Haver Pivoted'!GV32</f>
        <v>737.1</v>
      </c>
      <c r="L9" s="355" t="n">
        <f>'Haver Pivoted'!GW32</f>
        <v>744.8</v>
      </c>
      <c r="M9" s="355" t="n">
        <f>'Haver Pivoted'!GX32</f>
        <v>785.1</v>
      </c>
      <c r="N9" s="355" t="n">
        <f>'Haver Pivoted'!GY32</f>
        <v>1653.7</v>
      </c>
      <c r="O9" s="355" t="n">
        <f>'Haver Pivoted'!GZ32</f>
        <v>1085</v>
      </c>
      <c r="P9" s="355" t="n">
        <f>'Haver Pivoted'!HA32</f>
        <v>924.7</v>
      </c>
      <c r="Q9" s="355" t="n">
        <f>'Haver Pivoted'!HB32</f>
        <v>940</v>
      </c>
      <c r="R9" s="355" t="n">
        <f>'Haver Pivoted'!HC32</f>
        <v>960.5</v>
      </c>
      <c r="S9" s="356" t="n">
        <f>'Haver Pivoted'!HD32</f>
        <v>953.4</v>
      </c>
      <c r="T9" s="357" t="n">
        <f>'Haver Pivoted'!HE32</f>
        <v>917.2</v>
      </c>
      <c r="U9" s="272" t="n">
        <f t="shared" ref="U9:AC9" si="0">U10+U11</f>
        <v>912.39130535947254</v>
      </c>
      <c r="V9" s="309" t="n">
        <f t="shared" si="0"/>
        <v>896.50167845752514</v>
      </c>
      <c r="W9" s="309" t="n">
        <f t="shared" si="0"/>
        <v>881.23987712081646</v>
      </c>
      <c r="X9" s="309" t="n">
        <f t="shared" si="0"/>
        <v>850.99863485198387</v>
      </c>
      <c r="Y9" s="309" t="n">
        <f t="shared" si="0"/>
        <v>821.54652431709428</v>
      </c>
      <c r="Z9" s="309" t="n">
        <f t="shared" si="0"/>
        <v>798.18811578410998</v>
      </c>
      <c r="AA9" s="309" t="n">
        <f t="shared" si="0"/>
        <v>793.92275982579963</v>
      </c>
      <c r="AB9" s="309" t="n">
        <f t="shared" si="0"/>
        <v>772.18297085243853</v>
      </c>
      <c r="AC9" s="288" t="n">
        <f t="shared" si="0"/>
        <v>768.14401191520483</v>
      </c>
      <c r="AD9" s="402"/>
      <c r="AE9" s="452"/>
    </row>
    <row r="10" ht="27.6" customHeight="1">
      <c r="B10" s="458" t="s">
        <v>133</v>
      </c>
      <c r="C10" s="267" t="s">
        <v>386</v>
      </c>
      <c r="D10" s="378" t="n">
        <f>'Haver Pivoted'!GO40</f>
        <v>390.53500000000003</v>
      </c>
      <c r="E10" s="96" t="n">
        <f>'Haver Pivoted'!GP40</f>
        <v>407.62099999999998</v>
      </c>
      <c r="F10" s="96" t="n">
        <f>'Haver Pivoted'!GQ40</f>
        <v>416.459</v>
      </c>
      <c r="G10" s="96" t="n">
        <f>'Haver Pivoted'!GR40</f>
        <v>418.661</v>
      </c>
      <c r="H10" s="96" t="n">
        <f>'Haver Pivoted'!GS40</f>
        <v>411.69499999999999</v>
      </c>
      <c r="I10" s="96" t="n">
        <f>'Haver Pivoted'!GT40</f>
        <v>428.30799999999999</v>
      </c>
      <c r="J10" s="96" t="n">
        <f>'Haver Pivoted'!GU40</f>
        <v>506.81599999999997</v>
      </c>
      <c r="K10" s="96" t="n">
        <f>'Haver Pivoted'!GV40</f>
        <v>484.78</v>
      </c>
      <c r="L10" s="96" t="n">
        <f>'Haver Pivoted'!GW40</f>
        <v>500.25799999999998</v>
      </c>
      <c r="M10" s="96" t="n">
        <f>'Haver Pivoted'!GX40</f>
        <v>509.42099999999999</v>
      </c>
      <c r="N10" s="96" t="n">
        <f>'Haver Pivoted'!GY40</f>
        <v>527.01700000000005</v>
      </c>
      <c r="O10" s="96" t="n">
        <f>'Haver Pivoted'!GZ40</f>
        <v>542.85299999999995</v>
      </c>
      <c r="P10" s="96" t="n">
        <f>'Haver Pivoted'!HA40</f>
        <v>553.86500000000001</v>
      </c>
      <c r="Q10" s="96" t="n">
        <f>'Haver Pivoted'!HB40</f>
        <v>592.26700000000005</v>
      </c>
      <c r="R10" s="96" t="n">
        <f>'Haver Pivoted'!HC40</f>
        <v>590.13</v>
      </c>
      <c r="S10" s="351" t="n">
        <f>'Haver Pivoted'!HD40</f>
        <v>605.63699999999994</v>
      </c>
      <c r="T10" s="376" t="n">
        <f>'Haver Pivoted'!HE40</f>
        <v>604.87400000000002</v>
      </c>
      <c r="U10" s="381" t="n">
        <f>Medicaid!U28</f>
        <v>607.40230668028107</v>
      </c>
      <c r="V10" s="381" t="n">
        <f>Medicaid!V28</f>
        <v>589.55996124169314</v>
      </c>
      <c r="W10" s="381" t="n">
        <f>Medicaid!W28</f>
        <v>572.32620043872669</v>
      </c>
      <c r="X10" s="381" t="n">
        <f>Medicaid!X28</f>
        <v>565.35156818531721</v>
      </c>
      <c r="Y10" s="381" t="n">
        <f>Medicaid!Y28</f>
        <v>558.88844569073513</v>
      </c>
      <c r="Z10" s="381" t="n">
        <f>Medicaid!Z28</f>
        <v>552.4992098796447</v>
      </c>
      <c r="AA10" s="381" t="n">
        <f>Medicaid!AA28</f>
        <v>546.18301607642627</v>
      </c>
      <c r="AB10" s="381" t="n">
        <f>Medicaid!AB28</f>
        <v>536.24818151910517</v>
      </c>
      <c r="AC10" s="446" t="n">
        <f>Medicaid!AC28</f>
        <v>530.11777014379129</v>
      </c>
      <c r="AD10" s="353"/>
      <c r="AE10" s="431"/>
    </row>
    <row r="11" ht="17.25" customHeight="1">
      <c r="B11" s="300" t="s">
        <v>387</v>
      </c>
      <c r="C11" s="267"/>
      <c r="D11" s="378" t="n">
        <f t="shared" ref="D11:G11" si="1">D9-D10</f>
        <v>197.26499999999993</v>
      </c>
      <c r="E11" s="96" t="n">
        <f t="shared" si="1"/>
        <v>184.779</v>
      </c>
      <c r="F11" s="96" t="n">
        <f t="shared" si="1"/>
        <v>199.041</v>
      </c>
      <c r="G11" s="96" t="n">
        <f t="shared" si="1"/>
        <v>191.73899999999998</v>
      </c>
      <c r="H11" s="96" t="n">
        <f>H9-H10</f>
        <v>205.80500000000001</v>
      </c>
      <c r="I11" s="96" t="n">
        <f t="shared" ref="I11:N11" si="2">I9-I10</f>
        <v>210.29200000000003</v>
      </c>
      <c r="J11" s="96" t="n">
        <f t="shared" si="2"/>
        <v>888.18399999999997</v>
      </c>
      <c r="K11" s="96" t="n">
        <f t="shared" si="2"/>
        <v>252.32000000000005</v>
      </c>
      <c r="L11" s="96" t="n">
        <f t="shared" si="2"/>
        <v>244.54199999999997</v>
      </c>
      <c r="M11" s="96" t="n">
        <f t="shared" si="2"/>
        <v>275.67900000000003</v>
      </c>
      <c r="N11" s="96" t="n">
        <f t="shared" si="2"/>
        <v>1126.683</v>
      </c>
      <c r="O11" s="96" t="n">
        <f t="shared" ref="O11:T11" si="3">O9-O10</f>
        <v>542.14700000000005</v>
      </c>
      <c r="P11" s="96" t="n">
        <f t="shared" si="3"/>
        <v>370.83500000000004</v>
      </c>
      <c r="Q11" s="96" t="n">
        <f t="shared" si="3"/>
        <v>347.73299999999995</v>
      </c>
      <c r="R11" s="96" t="n">
        <f t="shared" si="3"/>
        <v>370.37</v>
      </c>
      <c r="S11" s="351" t="n">
        <f t="shared" si="3"/>
        <v>347.76300000000003</v>
      </c>
      <c r="T11" s="376" t="n">
        <f t="shared" si="3"/>
        <v>312.32600000000002</v>
      </c>
      <c r="U11" s="381" t="n">
        <f t="shared" ref="U11:AC11" si="4">SUM(U12:U20)</f>
        <v>304.98899867919147</v>
      </c>
      <c r="V11" s="381" t="n">
        <f t="shared" si="4"/>
        <v>306.941717215832</v>
      </c>
      <c r="W11" s="381" t="n">
        <f t="shared" si="4"/>
        <v>308.91367668208977</v>
      </c>
      <c r="X11" s="381" t="n">
        <f t="shared" si="4"/>
        <v>285.64706666666666</v>
      </c>
      <c r="Y11" s="381" t="n">
        <f t="shared" si="4"/>
        <v>262.65807862635916</v>
      </c>
      <c r="Z11" s="381" t="n">
        <f t="shared" si="4"/>
        <v>245.68890590446529</v>
      </c>
      <c r="AA11" s="381" t="n">
        <f t="shared" si="4"/>
        <v>247.73974374937336</v>
      </c>
      <c r="AB11" s="381" t="n">
        <f t="shared" si="4"/>
        <v>235.93478933333333</v>
      </c>
      <c r="AC11" s="446" t="n">
        <f t="shared" si="4"/>
        <v>238.02624177141348</v>
      </c>
      <c r="AD11" s="353"/>
      <c r="AE11" s="431"/>
    </row>
    <row r="12" ht="16.350000000000001" customHeight="1">
      <c r="B12" s="347" t="s">
        <v>149</v>
      </c>
      <c r="C12" s="80" t="s">
        <v>388</v>
      </c>
      <c r="D12" s="467"/>
      <c r="E12" s="80"/>
      <c r="F12" s="80"/>
      <c r="G12" s="80"/>
      <c r="H12" s="96"/>
      <c r="I12" s="96"/>
      <c r="J12" s="96" t="n">
        <f>'Haver Pivoted'!GU56</f>
        <v>597.9</v>
      </c>
      <c r="K12" s="96"/>
      <c r="L12" s="96"/>
      <c r="M12" s="96"/>
      <c r="N12" s="96"/>
      <c r="O12" s="78" t="n">
        <v>0</v>
      </c>
      <c r="P12" s="78" t="n">
        <v>0</v>
      </c>
      <c r="Q12" s="78" t="n">
        <v>0</v>
      </c>
      <c r="R12" s="78" t="n">
        <v>0</v>
      </c>
      <c r="S12" s="78" t="n">
        <v>0</v>
      </c>
      <c r="T12" s="353" t="n">
        <v>0</v>
      </c>
      <c r="U12" s="381" t="n">
        <v>0</v>
      </c>
      <c r="V12" s="381" t="n">
        <v>0</v>
      </c>
      <c r="W12" s="381" t="n">
        <v>0</v>
      </c>
      <c r="X12" s="381" t="n">
        <v>0</v>
      </c>
      <c r="Y12" s="381" t="n">
        <v>0</v>
      </c>
      <c r="Z12" s="381" t="n">
        <v>0</v>
      </c>
      <c r="AA12" s="381" t="n">
        <v>0</v>
      </c>
      <c r="AB12" s="381" t="n">
        <v>0</v>
      </c>
      <c r="AC12" s="446" t="n">
        <v>0</v>
      </c>
      <c r="AD12" s="353" t="n">
        <f>SUM(I12:Y12)/4</f>
        <v>149.47499999999999</v>
      </c>
      <c r="AE12" s="431" t="n">
        <f>AD30</f>
        <v>150</v>
      </c>
    </row>
    <row r="13">
      <c r="B13" s="347" t="s">
        <v>150</v>
      </c>
      <c r="C13" s="80" t="s">
        <v>389</v>
      </c>
      <c r="D13" s="467"/>
      <c r="E13" s="80"/>
      <c r="F13" s="80"/>
      <c r="G13" s="80"/>
      <c r="H13" s="96"/>
      <c r="I13" s="96"/>
      <c r="J13" s="96" t="n">
        <f>'Haver Pivoted'!GU57</f>
        <v>28.4</v>
      </c>
      <c r="K13" s="96" t="n">
        <f>'Haver Pivoted'!GV57</f>
        <v>15.8</v>
      </c>
      <c r="L13" s="96" t="n">
        <f>'Haver Pivoted'!GW57</f>
        <v>15.2</v>
      </c>
      <c r="M13" s="96" t="n">
        <f>'Haver Pivoted'!GX57</f>
        <v>28.9</v>
      </c>
      <c r="N13" s="96" t="n">
        <f>'Haver Pivoted'!GY57</f>
        <v>67.599999999999994</v>
      </c>
      <c r="O13" s="96" t="n">
        <f>'Haver Pivoted'!GZ57</f>
        <v>80.7</v>
      </c>
      <c r="P13" s="96" t="n">
        <f>'Haver Pivoted'!HA57</f>
        <v>87.2</v>
      </c>
      <c r="Q13" s="96" t="n">
        <f>'Haver Pivoted'!HB57</f>
        <v>72.400000000000006</v>
      </c>
      <c r="R13" s="96" t="n">
        <f>'Haver Pivoted'!HC57</f>
        <v>85.9</v>
      </c>
      <c r="S13" s="351" t="n">
        <f>'Haver Pivoted'!HD57</f>
        <v>68.3</v>
      </c>
      <c r="T13" s="376" t="n">
        <f>'Haver Pivoted'!HE57</f>
        <v>64</v>
      </c>
      <c r="U13" s="381" t="n">
        <f t="shared" ref="U13:AC13" si="5">U31+U35+U41</f>
        <v>60.929333333333297</v>
      </c>
      <c r="V13" s="381" t="n">
        <f t="shared" si="5"/>
        <v>60.929333333333297</v>
      </c>
      <c r="W13" s="381" t="n">
        <f t="shared" si="5"/>
        <v>60.929333333333297</v>
      </c>
      <c r="X13" s="381" t="n">
        <f t="shared" si="5"/>
        <v>54.244333333333302</v>
      </c>
      <c r="Y13" s="381" t="n">
        <f t="shared" si="5"/>
        <v>50.911000000000001</v>
      </c>
      <c r="Z13" s="381" t="n">
        <f t="shared" si="5"/>
        <v>31.911000000000001</v>
      </c>
      <c r="AA13" s="381" t="n">
        <f t="shared" si="5"/>
        <v>31.911000000000001</v>
      </c>
      <c r="AB13" s="381" t="n">
        <f t="shared" si="5"/>
        <v>23.099</v>
      </c>
      <c r="AC13" s="446" t="n">
        <f t="shared" si="5"/>
        <v>23.099</v>
      </c>
      <c r="AD13" s="353" t="n">
        <f t="shared" ref="AD13:AD19" si="6">SUM(I13:Y13)/4</f>
        <v>225.58583333333326</v>
      </c>
      <c r="AE13" s="431" t="n">
        <f>AD31+AD35+AD41</f>
        <v>225.76349999999994</v>
      </c>
      <c r="AF13" s="84" t="n">
        <f>SUM(J13:R13)/4</f>
        <v>120.52500000000001</v>
      </c>
    </row>
    <row r="14">
      <c r="B14" s="347" t="s">
        <v>152</v>
      </c>
      <c r="C14" s="77" t="s">
        <v>354</v>
      </c>
      <c r="D14" s="335"/>
      <c r="E14" s="77"/>
      <c r="F14" s="77"/>
      <c r="G14" s="77"/>
      <c r="H14" s="96"/>
      <c r="I14" s="96"/>
      <c r="J14" s="96" t="n">
        <f>'Haver Pivoted'!GU58</f>
        <v>64.400000000000006</v>
      </c>
      <c r="K14" s="96" t="n">
        <f>'Haver Pivoted'!GV58</f>
        <v>23.4</v>
      </c>
      <c r="L14" s="96" t="n">
        <f>'Haver Pivoted'!GW58</f>
        <v>13.8</v>
      </c>
      <c r="M14" s="96" t="n">
        <f>'Haver Pivoted'!GX58</f>
        <v>12</v>
      </c>
      <c r="N14" s="96" t="n">
        <f>'Haver Pivoted'!GY58</f>
        <v>7.5</v>
      </c>
      <c r="O14" s="96" t="n">
        <f>'Haver Pivoted'!GZ58</f>
        <v>10.5</v>
      </c>
      <c r="P14" s="96" t="n">
        <f>'Haver Pivoted'!HA58</f>
        <v>18</v>
      </c>
      <c r="Q14" s="96" t="n">
        <f>'Haver Pivoted'!HB58</f>
        <v>15</v>
      </c>
      <c r="R14" s="96" t="n">
        <f>'Haver Pivoted'!HC58</f>
        <v>11.2</v>
      </c>
      <c r="S14" s="351" t="n">
        <f>'Haver Pivoted'!HD58</f>
        <v>7.5</v>
      </c>
      <c r="T14" s="376" t="n">
        <f>'Haver Pivoted'!HE58</f>
        <v>6.2</v>
      </c>
      <c r="U14" s="381" t="n">
        <f>'Provider Relief (expired)'!U12</f>
        <v>0</v>
      </c>
      <c r="V14" s="381" t="n">
        <f>'Provider Relief (expired)'!V12</f>
        <v>0</v>
      </c>
      <c r="W14" s="381" t="n">
        <f>'Provider Relief (expired)'!W12</f>
        <v>0</v>
      </c>
      <c r="X14" s="381" t="n">
        <f>'Provider Relief (expired)'!X12</f>
        <v>0</v>
      </c>
      <c r="Y14" s="381" t="n">
        <f>'Provider Relief (expired)'!Y12</f>
        <v>0</v>
      </c>
      <c r="Z14" s="381" t="n">
        <f>'Provider Relief (expired)'!Z12</f>
        <v>0</v>
      </c>
      <c r="AA14" s="381" t="n">
        <f>'Provider Relief (expired)'!AA12</f>
        <v>0</v>
      </c>
      <c r="AB14" s="381" t="n">
        <f>'Provider Relief (expired)'!AB12</f>
        <v>0</v>
      </c>
      <c r="AC14" s="446" t="n">
        <f>'Provider Relief (expired)'!AC12</f>
        <v>0</v>
      </c>
      <c r="AD14" s="353" t="n">
        <f>SUM(I14:Y14)/4</f>
        <v>47.375</v>
      </c>
      <c r="AE14" s="431" t="n">
        <f>AD32+AD36+AD42</f>
        <v>34.125000000000007</v>
      </c>
    </row>
    <row r="15" ht="15.75" customHeight="1">
      <c r="B15" s="347" t="s">
        <v>390</v>
      </c>
      <c r="C15" s="77"/>
      <c r="D15" s="335"/>
      <c r="E15" s="77"/>
      <c r="F15" s="77"/>
      <c r="G15" s="77"/>
      <c r="H15" s="96"/>
      <c r="I15" s="96"/>
      <c r="J15" s="96"/>
      <c r="K15" s="96"/>
      <c r="L15" s="96"/>
      <c r="M15" s="96" t="n">
        <f>M34</f>
        <v>9.6666666666666661</v>
      </c>
      <c r="N15" s="78" t="n">
        <f t="shared" ref="N15:AC15" si="7">N34</f>
        <v>9.6666666666666661</v>
      </c>
      <c r="O15" s="78" t="n">
        <f t="shared" si="7"/>
        <v>9.6666666666666661</v>
      </c>
      <c r="P15" s="78" t="n">
        <f>P34</f>
        <v>9.6666666666666661</v>
      </c>
      <c r="Q15" s="78" t="n">
        <f>Q34</f>
        <v>9.6666666666666661</v>
      </c>
      <c r="R15" s="78" t="n">
        <f t="shared" si="7"/>
        <v>9.6666666666666661</v>
      </c>
      <c r="S15" s="78" t="n">
        <f t="shared" si="7"/>
        <v>9.6666666666666661</v>
      </c>
      <c r="T15" s="353" t="n">
        <f t="shared" si="7"/>
        <v>9.6666666666666661</v>
      </c>
      <c r="U15" s="381" t="n">
        <f t="shared" si="7"/>
        <v>9.6666666666666661</v>
      </c>
      <c r="V15" s="381" t="n">
        <f t="shared" si="7"/>
        <v>9.6666666666666661</v>
      </c>
      <c r="W15" s="381" t="n">
        <f t="shared" si="7"/>
        <v>9.6666666666666661</v>
      </c>
      <c r="X15" s="381" t="n">
        <f t="shared" si="7"/>
        <v>9.6666666666666661</v>
      </c>
      <c r="Y15" s="381" t="n">
        <f t="shared" si="7"/>
        <v>0</v>
      </c>
      <c r="Z15" s="381" t="n">
        <f t="shared" si="7"/>
        <v>0</v>
      </c>
      <c r="AA15" s="381" t="n">
        <f t="shared" si="7"/>
        <v>0</v>
      </c>
      <c r="AB15" s="381" t="n">
        <f t="shared" si="7"/>
        <v>0</v>
      </c>
      <c r="AC15" s="446" t="n">
        <f t="shared" si="7"/>
        <v>0</v>
      </c>
      <c r="AD15" s="353" t="n">
        <f>SUM(I15:Y15)/4</f>
        <v>29.000000000000004</v>
      </c>
      <c r="AE15" s="432" t="n">
        <f>AD34</f>
        <v>29.000000000000004</v>
      </c>
      <c r="AF15" s="386" t="s">
        <v>391</v>
      </c>
      <c r="AG15" s="386"/>
      <c r="AH15" s="386"/>
    </row>
    <row r="16" ht="31.35" customHeight="1">
      <c r="B16" s="347" t="s">
        <v>392</v>
      </c>
      <c r="C16" s="77"/>
      <c r="D16" s="335"/>
      <c r="E16" s="77"/>
      <c r="F16" s="77"/>
      <c r="G16" s="77"/>
      <c r="H16" s="96"/>
      <c r="I16" s="96"/>
      <c r="J16" s="96"/>
      <c r="K16" s="96"/>
      <c r="L16" s="96"/>
      <c r="M16" s="96" t="n">
        <f>M38+M37</f>
        <v>12</v>
      </c>
      <c r="N16" s="78" t="n">
        <f>N38+N37</f>
        <v>12</v>
      </c>
      <c r="O16" s="78" t="n">
        <f>O38+O37</f>
        <v>12</v>
      </c>
      <c r="P16" s="78" t="n">
        <f t="shared" ref="P16:AC16" si="8">P38+P37</f>
        <v>12</v>
      </c>
      <c r="Q16" s="78" t="n">
        <f t="shared" si="8"/>
        <v>12</v>
      </c>
      <c r="R16" s="78" t="n">
        <f t="shared" si="8"/>
        <v>12</v>
      </c>
      <c r="S16" s="78" t="n">
        <f t="shared" si="8"/>
        <v>12</v>
      </c>
      <c r="T16" s="353" t="n">
        <f t="shared" si="8"/>
        <v>12</v>
      </c>
      <c r="U16" s="381" t="n">
        <f t="shared" si="8"/>
        <v>12</v>
      </c>
      <c r="V16" s="381" t="n">
        <f t="shared" si="8"/>
        <v>12</v>
      </c>
      <c r="W16" s="381" t="n">
        <f t="shared" si="8"/>
        <v>12</v>
      </c>
      <c r="X16" s="381" t="n">
        <f t="shared" si="8"/>
        <v>12</v>
      </c>
      <c r="Y16" s="381" t="n">
        <f t="shared" si="8"/>
        <v>0</v>
      </c>
      <c r="Z16" s="381" t="n">
        <f t="shared" si="8"/>
        <v>0</v>
      </c>
      <c r="AA16" s="381" t="n">
        <f t="shared" si="8"/>
        <v>0</v>
      </c>
      <c r="AB16" s="381" t="n">
        <f t="shared" si="8"/>
        <v>0</v>
      </c>
      <c r="AC16" s="446" t="n">
        <f t="shared" si="8"/>
        <v>0</v>
      </c>
      <c r="AD16" s="353" t="n">
        <f>SUM(I16:Y16)/4</f>
        <v>36</v>
      </c>
      <c r="AE16" s="431" t="n">
        <f>SUM(AD37:AD38)+AD43</f>
        <v>130.3365</v>
      </c>
      <c r="AF16" s="386" t="s">
        <v>393</v>
      </c>
      <c r="AG16" s="386"/>
      <c r="AH16" s="386"/>
    </row>
    <row r="17">
      <c r="B17" s="347" t="s">
        <v>394</v>
      </c>
      <c r="C17" s="77"/>
      <c r="D17" s="335"/>
      <c r="E17" s="77"/>
      <c r="F17" s="77"/>
      <c r="G17" s="77"/>
      <c r="H17" s="96"/>
      <c r="I17" s="96"/>
      <c r="J17" s="96"/>
      <c r="K17" s="96"/>
      <c r="L17" s="96"/>
      <c r="M17" s="96"/>
      <c r="N17" s="78" t="n">
        <f>N43</f>
        <v>59.256</v>
      </c>
      <c r="O17" s="78" t="n">
        <f>O43</f>
        <v>59.256</v>
      </c>
      <c r="P17" s="78" t="n">
        <f>P43</f>
        <v>35.671000000000006</v>
      </c>
      <c r="Q17" s="78" t="n">
        <f>Q43</f>
        <v>35.671000000000006</v>
      </c>
      <c r="R17" s="78" t="n">
        <f t="shared" ref="R17:AC17" si="9">R43</f>
        <v>35.671000000000006</v>
      </c>
      <c r="S17" s="78" t="n">
        <f t="shared" si="9"/>
        <v>35.671000000000006</v>
      </c>
      <c r="T17" s="353" t="n">
        <f t="shared" si="9"/>
        <v>24.216000000000001</v>
      </c>
      <c r="U17" s="381" t="n">
        <f t="shared" si="9"/>
        <v>24.216000000000001</v>
      </c>
      <c r="V17" s="381" t="n">
        <f t="shared" si="9"/>
        <v>24.216000000000001</v>
      </c>
      <c r="W17" s="381" t="n">
        <f t="shared" si="9"/>
        <v>24.216000000000001</v>
      </c>
      <c r="X17" s="381" t="n">
        <f t="shared" si="9"/>
        <v>9.6430000000000007</v>
      </c>
      <c r="Y17" s="381" t="n">
        <f t="shared" si="9"/>
        <v>9.6430000000000007</v>
      </c>
      <c r="Z17" s="381" t="n">
        <f t="shared" si="9"/>
        <v>9.6430000000000007</v>
      </c>
      <c r="AA17" s="381" t="n">
        <f t="shared" si="9"/>
        <v>9.6430000000000007</v>
      </c>
      <c r="AB17" s="381" t="n">
        <f t="shared" si="9"/>
        <v>4.5789999999999997</v>
      </c>
      <c r="AC17" s="446" t="n">
        <f t="shared" si="9"/>
        <v>4.5789999999999997</v>
      </c>
      <c r="AD17" s="353" t="n">
        <f>SUM(I17:Y17)/4</f>
        <v>94.336500000000001</v>
      </c>
      <c r="AE17" s="431"/>
      <c r="AF17" s="386"/>
      <c r="AG17" s="386"/>
      <c r="AH17" s="386"/>
    </row>
    <row r="18" ht="54" customHeight="1">
      <c r="B18" s="439" t="s">
        <v>833</v>
      </c>
      <c r="C18" s="77"/>
      <c r="D18" s="335"/>
      <c r="E18" s="77"/>
      <c r="F18" s="77"/>
      <c r="G18" s="77"/>
      <c r="H18" s="96"/>
      <c r="I18" s="96"/>
      <c r="J18" s="96"/>
      <c r="K18" s="96"/>
      <c r="L18" s="96"/>
      <c r="M18" s="96"/>
      <c r="N18" s="78" t="n">
        <v>-40</v>
      </c>
      <c r="O18" s="78" t="n">
        <v>-40</v>
      </c>
      <c r="P18" s="78" t="n">
        <f>-51</f>
        <v>-51</v>
      </c>
      <c r="Q18" s="78" t="n">
        <f>-51</f>
        <v>-51</v>
      </c>
      <c r="R18" s="78" t="n">
        <v>-51</v>
      </c>
      <c r="S18" s="78" t="n">
        <f>-51</f>
        <v>-51</v>
      </c>
      <c r="T18" s="353" t="n">
        <v>0</v>
      </c>
      <c r="U18" s="381" t="n">
        <v>0</v>
      </c>
      <c r="V18" s="381" t="n">
        <v>0</v>
      </c>
      <c r="W18" s="381" t="n">
        <v>0</v>
      </c>
      <c r="X18" s="381" t="n">
        <v>-4</v>
      </c>
      <c r="Y18" s="381" t="n">
        <v>-4</v>
      </c>
      <c r="Z18" s="381" t="n">
        <v>-4</v>
      </c>
      <c r="AA18" s="381" t="n">
        <v>-4</v>
      </c>
      <c r="AB18" s="381" t="n">
        <v>-4</v>
      </c>
      <c r="AC18" s="446" t="n">
        <v>-4</v>
      </c>
      <c r="AD18" s="353"/>
      <c r="AE18" s="431"/>
      <c r="AF18" s="386"/>
      <c r="AG18" s="386"/>
      <c r="AH18" s="386"/>
    </row>
    <row r="19" ht="15.75" customHeight="1">
      <c r="B19" s="347" t="s">
        <v>395</v>
      </c>
      <c r="C19" s="80" t="s">
        <v>396</v>
      </c>
      <c r="D19" s="335"/>
      <c r="E19" s="77"/>
      <c r="F19" s="77"/>
      <c r="G19" s="77"/>
      <c r="H19" s="96"/>
      <c r="I19" s="96"/>
      <c r="J19" s="96"/>
      <c r="K19" s="96" t="n">
        <f>'Haver Pivoted'!GV56</f>
        <v>0</v>
      </c>
      <c r="L19" s="96" t="n">
        <f>'Haver Pivoted'!GW56</f>
        <v>0</v>
      </c>
      <c r="M19" s="96" t="n">
        <f>'Haver Pivoted'!GX56</f>
        <v>0</v>
      </c>
      <c r="N19" s="96" t="n">
        <f>'Haver Pivoted'!GY56</f>
        <v>785.9</v>
      </c>
      <c r="O19" s="96" t="n">
        <f>'Haver Pivoted'!GZ56</f>
        <v>187.9</v>
      </c>
      <c r="P19" s="96" t="n">
        <f>'Haver Pivoted'!HA56</f>
        <v>9.1999999999999993</v>
      </c>
      <c r="Q19" s="96" t="n">
        <f>'Haver Pivoted'!HB56</f>
        <v>0.6</v>
      </c>
      <c r="R19" s="96" t="n">
        <f>'Haver Pivoted'!HC56</f>
        <v>0</v>
      </c>
      <c r="S19" s="351" t="n">
        <f>'Haver Pivoted'!HD56</f>
        <v>0</v>
      </c>
      <c r="T19" s="376" t="n">
        <f>'Haver Pivoted'!HE56</f>
        <v>0</v>
      </c>
      <c r="U19" s="382" t="n">
        <f t="shared" ref="U19:AC19" si="10">U40</f>
        <v>0</v>
      </c>
      <c r="V19" s="382" t="n">
        <f t="shared" si="10"/>
        <v>0</v>
      </c>
      <c r="W19" s="382" t="n">
        <f t="shared" si="10"/>
        <v>0</v>
      </c>
      <c r="X19" s="382" t="n">
        <f t="shared" si="10"/>
        <v>0</v>
      </c>
      <c r="Y19" s="382" t="n">
        <f t="shared" si="10"/>
        <v>0</v>
      </c>
      <c r="Z19" s="382" t="n">
        <f t="shared" si="10"/>
        <v>0</v>
      </c>
      <c r="AA19" s="382" t="n">
        <f t="shared" si="10"/>
        <v>0</v>
      </c>
      <c r="AB19" s="382" t="n">
        <f t="shared" si="10"/>
        <v>0</v>
      </c>
      <c r="AC19" s="445" t="n">
        <f t="shared" si="10"/>
        <v>0</v>
      </c>
      <c r="AD19" s="353" t="n">
        <f t="shared" si="6"/>
        <v>245.9</v>
      </c>
      <c r="AE19" s="431" t="n">
        <f>AD40</f>
        <v>362.04999999999995</v>
      </c>
      <c r="AF19" s="413"/>
      <c r="AH19" s="386"/>
    </row>
    <row r="20" ht="15.75" customHeight="1">
      <c r="A20" s="389"/>
      <c r="B20" s="387" t="s">
        <v>397</v>
      </c>
      <c r="C20" s="405"/>
      <c r="D20" s="403" t="n">
        <f t="shared" ref="D20:T20" si="11">D11-SUM(D12:D19)</f>
        <v>197.26499999999993</v>
      </c>
      <c r="E20" s="405" t="n">
        <f t="shared" si="11"/>
        <v>184.779</v>
      </c>
      <c r="F20" s="405" t="n">
        <f t="shared" si="11"/>
        <v>199.041</v>
      </c>
      <c r="G20" s="405" t="n">
        <f t="shared" si="11"/>
        <v>191.73899999999998</v>
      </c>
      <c r="H20" s="405" t="n">
        <f t="shared" si="11"/>
        <v>205.80500000000001</v>
      </c>
      <c r="I20" s="405" t="n">
        <f t="shared" si="11"/>
        <v>210.29200000000003</v>
      </c>
      <c r="J20" s="405" t="n">
        <f t="shared" si="11"/>
        <v>197.48400000000004</v>
      </c>
      <c r="K20" s="405" t="n">
        <f t="shared" si="11"/>
        <v>213.12000000000006</v>
      </c>
      <c r="L20" s="405" t="n">
        <f t="shared" si="11"/>
        <v>215.54199999999997</v>
      </c>
      <c r="M20" s="405" t="n">
        <f t="shared" si="11"/>
        <v>213.11233333333337</v>
      </c>
      <c r="N20" s="405" t="n">
        <f t="shared" si="11"/>
        <v>224.76033333333339</v>
      </c>
      <c r="O20" s="405" t="n">
        <f t="shared" si="11"/>
        <v>222.12433333333337</v>
      </c>
      <c r="P20" s="405" t="n">
        <f t="shared" si="11"/>
        <v>250.09733333333338</v>
      </c>
      <c r="Q20" s="405" t="n">
        <f t="shared" si="11"/>
        <v>253.39533333333327</v>
      </c>
      <c r="R20" s="405" t="n">
        <f t="shared" si="11"/>
        <v>266.9323333333333</v>
      </c>
      <c r="S20" s="352" t="n">
        <f t="shared" si="11"/>
        <v>265.62533333333334</v>
      </c>
      <c r="T20" s="377" t="n">
        <f t="shared" si="11"/>
        <v>196.24333333333334</v>
      </c>
      <c r="U20" s="299" t="n">
        <f t="shared" ref="U20:AC20" si="12">T20*(1.04)^0.25</f>
        <v>198.17699867919148</v>
      </c>
      <c r="V20" s="299" t="n">
        <f t="shared" si="12"/>
        <v>200.12971721583202</v>
      </c>
      <c r="W20" s="299" t="n">
        <f t="shared" si="12"/>
        <v>202.10167668208979</v>
      </c>
      <c r="X20" s="299" t="n">
        <f t="shared" si="12"/>
        <v>204.09306666666666</v>
      </c>
      <c r="Y20" s="299" t="n">
        <f t="shared" si="12"/>
        <v>206.10407862635913</v>
      </c>
      <c r="Z20" s="299" t="n">
        <f t="shared" si="12"/>
        <v>208.13490590446528</v>
      </c>
      <c r="AA20" s="299" t="n">
        <f t="shared" si="12"/>
        <v>210.18574374937336</v>
      </c>
      <c r="AB20" s="299" t="n">
        <f t="shared" si="12"/>
        <v>212.25678933333333</v>
      </c>
      <c r="AC20" s="464" t="n">
        <f t="shared" si="12"/>
        <v>214.34824177141348</v>
      </c>
      <c r="AD20" s="437"/>
      <c r="AE20" s="433"/>
      <c r="AF20" s="386" t="s">
        <v>398</v>
      </c>
      <c r="AG20" s="386"/>
      <c r="AH20" s="386"/>
    </row>
    <row r="21" ht="15.75" customHeight="1">
      <c r="A21" s="2"/>
      <c r="B21" s="388"/>
      <c r="C21" s="77"/>
      <c r="D21" s="77"/>
      <c r="E21" s="77"/>
      <c r="F21" s="77"/>
      <c r="G21" s="77"/>
      <c r="H21" s="77"/>
      <c r="I21" s="77"/>
      <c r="J21" s="77"/>
      <c r="K21" s="77"/>
      <c r="L21" s="77"/>
      <c r="M21" s="77"/>
      <c r="N21" s="77"/>
      <c r="O21" s="400"/>
      <c r="P21" s="77"/>
      <c r="Q21" s="269"/>
      <c r="R21" s="269"/>
      <c r="S21" s="269"/>
      <c r="T21" s="269"/>
      <c r="U21" s="269"/>
      <c r="V21" s="269"/>
      <c r="W21" s="269"/>
      <c r="X21" s="269"/>
      <c r="Y21" s="269"/>
      <c r="Z21" s="269"/>
      <c r="AA21" s="269"/>
      <c r="AB21" s="269"/>
      <c r="AC21" s="269"/>
      <c r="AD21" s="269"/>
      <c r="AE21" s="392"/>
      <c r="AF21" s="386"/>
      <c r="AG21" s="386"/>
      <c r="AH21" s="386"/>
    </row>
    <row r="22" ht="15.75" customHeight="1">
      <c r="A22" s="2"/>
      <c r="B22" s="388"/>
      <c r="C22" s="77"/>
      <c r="D22" s="77"/>
      <c r="E22" s="77"/>
      <c r="F22" s="77"/>
      <c r="G22" s="77"/>
      <c r="H22" s="77"/>
      <c r="I22" s="77"/>
      <c r="J22" s="77"/>
      <c r="K22" s="77"/>
      <c r="L22" s="77"/>
      <c r="M22" s="77"/>
      <c r="N22" s="77"/>
      <c r="O22" s="400"/>
      <c r="P22" s="77"/>
      <c r="Q22" s="269"/>
      <c r="R22" s="269"/>
      <c r="AD22" s="269"/>
      <c r="AE22" s="392"/>
      <c r="AF22" s="386"/>
      <c r="AG22" s="386"/>
      <c r="AH22" s="386"/>
    </row>
    <row r="23" ht="15.75" customHeight="1">
      <c r="A23" s="2"/>
      <c r="B23" s="388"/>
      <c r="C23" s="77"/>
      <c r="D23" s="77"/>
      <c r="E23" s="77"/>
      <c r="F23" s="77"/>
      <c r="G23" s="77"/>
      <c r="H23" s="77"/>
      <c r="I23" s="77"/>
      <c r="J23" s="77"/>
      <c r="K23" s="77"/>
      <c r="L23" s="77"/>
      <c r="M23" s="77"/>
      <c r="N23" s="77"/>
      <c r="O23" s="400"/>
      <c r="P23" s="77"/>
      <c r="Q23" s="269"/>
      <c r="R23" s="269"/>
      <c r="AD23" s="269"/>
      <c r="AE23" s="392"/>
      <c r="AF23" s="386"/>
      <c r="AG23" s="386"/>
      <c r="AH23" s="386"/>
    </row>
    <row r="24" ht="15.75" customHeight="1">
      <c r="A24" s="2"/>
      <c r="B24" s="388"/>
      <c r="C24" s="77"/>
      <c r="D24" s="77"/>
      <c r="E24" s="77"/>
      <c r="F24" s="77"/>
      <c r="G24" s="77"/>
      <c r="H24" s="77"/>
      <c r="I24" s="77"/>
      <c r="J24" s="77"/>
      <c r="K24" s="77"/>
      <c r="L24" s="77"/>
      <c r="M24" s="77"/>
      <c r="N24" s="77"/>
      <c r="O24" s="400"/>
      <c r="P24" s="77"/>
      <c r="Q24" s="269"/>
      <c r="R24" s="269"/>
      <c r="S24" s="269"/>
      <c r="T24" s="269"/>
      <c r="U24" s="269"/>
      <c r="V24" s="269"/>
      <c r="W24" s="269"/>
      <c r="X24" s="269"/>
      <c r="Y24" s="269"/>
      <c r="Z24" s="269"/>
      <c r="AA24" s="269"/>
      <c r="AB24" s="269"/>
      <c r="AC24" s="269"/>
      <c r="AD24" s="269"/>
      <c r="AE24" s="392"/>
      <c r="AF24" s="386"/>
      <c r="AG24" s="386"/>
      <c r="AH24" s="386"/>
    </row>
    <row r="25" ht="15.75" customHeight="1">
      <c r="A25" s="2"/>
      <c r="B25" s="388"/>
      <c r="C25" s="77"/>
      <c r="D25" s="77"/>
      <c r="E25" s="77"/>
      <c r="F25" s="77"/>
      <c r="G25" s="77"/>
      <c r="H25" s="77"/>
      <c r="I25" s="77"/>
      <c r="J25" s="77"/>
      <c r="K25" s="77"/>
      <c r="L25" s="77"/>
      <c r="M25" s="77"/>
      <c r="N25" s="77"/>
      <c r="O25" s="400"/>
      <c r="P25" s="77"/>
      <c r="Q25" s="269"/>
      <c r="R25" s="269"/>
      <c r="S25" s="269"/>
      <c r="T25" s="269"/>
      <c r="U25" s="269"/>
      <c r="V25" s="269"/>
      <c r="W25" s="269"/>
      <c r="X25" s="269"/>
      <c r="Y25" s="269"/>
      <c r="Z25" s="269"/>
      <c r="AA25" s="269"/>
      <c r="AB25" s="269"/>
      <c r="AC25" s="269"/>
      <c r="AD25" s="269"/>
      <c r="AE25" s="392"/>
      <c r="AF25" s="386"/>
      <c r="AG25" s="386"/>
      <c r="AH25" s="386"/>
    </row>
    <row r="26">
      <c r="C26" s="77"/>
      <c r="D26" s="77"/>
      <c r="E26" s="393"/>
      <c r="F26" s="77"/>
      <c r="G26" s="77"/>
      <c r="H26" s="77"/>
      <c r="I26" s="77"/>
      <c r="J26" s="77"/>
      <c r="K26" s="77"/>
      <c r="L26" s="77"/>
      <c r="M26" s="77"/>
      <c r="N26" s="77"/>
      <c r="P26" s="77"/>
      <c r="Q26" s="77"/>
      <c r="R26" s="77"/>
      <c r="S26" s="77"/>
      <c r="T26" s="77"/>
      <c r="U26" s="77"/>
      <c r="V26" s="77"/>
      <c r="W26" s="77"/>
      <c r="X26" s="77"/>
      <c r="Y26" s="77"/>
      <c r="Z26" s="77"/>
      <c r="AA26" s="77"/>
      <c r="AB26" s="77"/>
      <c r="AC26" s="77"/>
      <c r="AD26" s="77"/>
      <c r="AE26" s="77"/>
    </row>
    <row r="27">
      <c r="B27" s="424" t="s">
        <v>399</v>
      </c>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row>
    <row r="28" ht="27" customHeight="1">
      <c r="B28" s="327" t="s">
        <v>400</v>
      </c>
      <c r="C28" s="328"/>
      <c r="D28" s="329"/>
      <c r="E28" s="329"/>
      <c r="F28" s="329"/>
      <c r="G28" s="329"/>
      <c r="H28" s="329"/>
      <c r="I28" s="329"/>
      <c r="J28" s="329"/>
      <c r="K28" s="329"/>
      <c r="L28" s="329"/>
      <c r="M28" s="329"/>
      <c r="N28" s="329"/>
      <c r="O28" s="329"/>
      <c r="P28" s="329"/>
      <c r="Q28" s="329"/>
      <c r="R28" s="329"/>
      <c r="S28" s="329"/>
      <c r="T28" s="329"/>
      <c r="U28" s="329"/>
      <c r="V28" s="329"/>
      <c r="W28" s="329"/>
      <c r="X28" s="329"/>
      <c r="Y28" s="329"/>
      <c r="Z28" s="329"/>
      <c r="AA28" s="329"/>
      <c r="AB28" s="329"/>
      <c r="AC28" s="330"/>
      <c r="AD28" s="435" t="s">
        <v>382</v>
      </c>
      <c r="AE28" s="434"/>
    </row>
    <row r="29" ht="17.850000000000001" customHeight="1">
      <c r="B29" s="444" t="s">
        <v>401</v>
      </c>
      <c r="C29" s="77"/>
      <c r="D29" s="460"/>
      <c r="E29" s="447"/>
      <c r="F29" s="447"/>
      <c r="G29" s="447"/>
      <c r="H29" s="440"/>
      <c r="I29" s="440"/>
      <c r="J29" s="379" t="n">
        <f>SUM(J30:J32)</f>
        <v>692.8</v>
      </c>
      <c r="K29" s="379" t="n">
        <f t="shared" ref="K29:P29" si="13">SUM(K30:K32)</f>
        <v>39.200000000000003</v>
      </c>
      <c r="L29" s="379" t="n">
        <f t="shared" si="13"/>
        <v>29</v>
      </c>
      <c r="M29" s="379" t="n">
        <f t="shared" si="13"/>
        <v>27</v>
      </c>
      <c r="N29" s="379" t="n">
        <f t="shared" si="13"/>
        <v>18</v>
      </c>
      <c r="O29" s="379" t="n">
        <f t="shared" si="13"/>
        <v>0</v>
      </c>
      <c r="P29" s="461" t="n">
        <f t="shared" si="13"/>
        <v>0</v>
      </c>
      <c r="Q29" s="379"/>
      <c r="R29" s="379"/>
      <c r="S29" s="379"/>
      <c r="T29" s="438"/>
      <c r="U29" s="438"/>
      <c r="V29" s="438"/>
      <c r="W29" s="438"/>
      <c r="X29" s="438"/>
      <c r="Y29" s="438"/>
      <c r="Z29" s="438"/>
      <c r="AA29" s="438"/>
      <c r="AB29" s="438"/>
      <c r="AC29" s="419"/>
      <c r="AD29" s="353" t="n">
        <f t="shared" ref="AD29:AD43" si="14">SUM(I29:Y29)/4</f>
        <v>201.5</v>
      </c>
      <c r="AE29" s="293" t="s">
        <v>402</v>
      </c>
      <c r="AF29" s="265"/>
    </row>
    <row r="30">
      <c r="B30" s="390" t="s">
        <v>149</v>
      </c>
      <c r="C30" s="77"/>
      <c r="D30" s="335"/>
      <c r="E30" s="77"/>
      <c r="F30" s="77"/>
      <c r="G30" s="77"/>
      <c r="H30" s="78"/>
      <c r="I30" s="78"/>
      <c r="J30" s="360" t="n">
        <f>C50*4</f>
        <v>600</v>
      </c>
      <c r="K30" s="360"/>
      <c r="L30" s="360"/>
      <c r="M30" s="360"/>
      <c r="N30" s="360"/>
      <c r="O30" s="360"/>
      <c r="P30" s="363"/>
      <c r="Q30" s="360"/>
      <c r="R30" s="360"/>
      <c r="S30" s="360"/>
      <c r="T30" s="382"/>
      <c r="U30" s="382"/>
      <c r="V30" s="382"/>
      <c r="W30" s="382"/>
      <c r="X30" s="382"/>
      <c r="Y30" s="382"/>
      <c r="Z30" s="382"/>
      <c r="AA30" s="382"/>
      <c r="AB30" s="382"/>
      <c r="AC30" s="445"/>
      <c r="AD30" s="353" t="n">
        <f t="shared" si="14"/>
        <v>150</v>
      </c>
      <c r="AE30" s="360"/>
    </row>
    <row r="31" ht="15" customHeight="1">
      <c r="B31" s="390" t="s">
        <v>150</v>
      </c>
      <c r="C31" s="77"/>
      <c r="D31" s="335"/>
      <c r="E31" s="77"/>
      <c r="F31" s="77"/>
      <c r="G31" s="77"/>
      <c r="H31" s="78"/>
      <c r="I31" s="78"/>
      <c r="J31" s="360" t="n">
        <v>28.4</v>
      </c>
      <c r="K31" s="360" t="n">
        <v>15.8</v>
      </c>
      <c r="L31" s="360" t="n">
        <v>15.2</v>
      </c>
      <c r="M31" s="360" t="n">
        <v>10.9</v>
      </c>
      <c r="N31" s="360" t="n">
        <v>18</v>
      </c>
      <c r="O31" s="360"/>
      <c r="P31" s="363"/>
      <c r="Q31" s="360"/>
      <c r="R31" s="360"/>
      <c r="S31" s="360" t="n">
        <v>20</v>
      </c>
      <c r="T31" s="380" t="n">
        <v>10</v>
      </c>
      <c r="U31" s="382"/>
      <c r="V31" s="382"/>
      <c r="W31" s="382"/>
      <c r="X31" s="382"/>
      <c r="Y31" s="382"/>
      <c r="Z31" s="382"/>
      <c r="AA31" s="382"/>
      <c r="AB31" s="382"/>
      <c r="AC31" s="445"/>
      <c r="AD31" s="353" t="n">
        <f t="shared" si="14"/>
        <v>29.575000000000003</v>
      </c>
      <c r="AE31" s="360"/>
    </row>
    <row r="32">
      <c r="B32" s="390" t="s">
        <v>152</v>
      </c>
      <c r="C32" s="77"/>
      <c r="D32" s="335"/>
      <c r="E32" s="77"/>
      <c r="F32" s="77"/>
      <c r="G32" s="77"/>
      <c r="H32" s="78"/>
      <c r="I32" s="78"/>
      <c r="J32" s="267" t="n">
        <v>64.400000000000006</v>
      </c>
      <c r="K32" s="267" t="n">
        <v>23.4</v>
      </c>
      <c r="L32" s="267" t="n">
        <v>13.8</v>
      </c>
      <c r="M32" s="267" t="n">
        <v>16.100000000000001</v>
      </c>
      <c r="N32" s="360"/>
      <c r="O32" s="360"/>
      <c r="P32" s="363"/>
      <c r="Q32" s="360"/>
      <c r="R32" s="360"/>
      <c r="S32" s="360"/>
      <c r="T32" s="382"/>
      <c r="U32" s="382"/>
      <c r="V32" s="382"/>
      <c r="W32" s="382"/>
      <c r="X32" s="382"/>
      <c r="Y32" s="382"/>
      <c r="Z32" s="382"/>
      <c r="AA32" s="382"/>
      <c r="AB32" s="382"/>
      <c r="AC32" s="445"/>
      <c r="AD32" s="353" t="n">
        <f t="shared" si="14"/>
        <v>29.425000000000004</v>
      </c>
      <c r="AE32" s="360"/>
    </row>
    <row r="33" ht="16.5" customHeight="1">
      <c r="B33" s="444" t="s">
        <v>403</v>
      </c>
      <c r="C33" s="77"/>
      <c r="D33" s="335"/>
      <c r="E33" s="77"/>
      <c r="F33" s="77"/>
      <c r="G33" s="77"/>
      <c r="H33" s="78"/>
      <c r="I33" s="78"/>
      <c r="J33" s="78"/>
      <c r="K33" s="78"/>
      <c r="L33" s="78"/>
      <c r="M33" s="360" t="n">
        <f>SUM(M34:M38)</f>
        <v>43</v>
      </c>
      <c r="N33" s="360" t="n">
        <f t="shared" ref="N33:AC33" si="15">SUM(N34:N38)</f>
        <v>70</v>
      </c>
      <c r="O33" s="360" t="n">
        <f t="shared" si="15"/>
        <v>59.999999999999964</v>
      </c>
      <c r="P33" s="363" t="n">
        <f t="shared" si="15"/>
        <v>50</v>
      </c>
      <c r="Q33" s="360" t="n">
        <f t="shared" si="15"/>
        <v>44.999999999999964</v>
      </c>
      <c r="R33" s="360" t="n">
        <f t="shared" si="15"/>
        <v>44.999999999999964</v>
      </c>
      <c r="S33" s="360" t="n">
        <f t="shared" si="15"/>
        <v>44.999999999999964</v>
      </c>
      <c r="T33" s="382" t="n">
        <f t="shared" si="15"/>
        <v>44.999999999999964</v>
      </c>
      <c r="U33" s="382" t="n">
        <f t="shared" si="15"/>
        <v>44.999999999999964</v>
      </c>
      <c r="V33" s="382" t="n">
        <f t="shared" si="15"/>
        <v>44.999999999999964</v>
      </c>
      <c r="W33" s="382" t="n">
        <f t="shared" si="15"/>
        <v>44.999999999999964</v>
      </c>
      <c r="X33" s="382" t="n">
        <f t="shared" si="15"/>
        <v>44.999999999999964</v>
      </c>
      <c r="Y33" s="382" t="n">
        <f t="shared" si="15"/>
        <v>19</v>
      </c>
      <c r="Z33" s="382" t="n">
        <f t="shared" si="15"/>
        <v>0</v>
      </c>
      <c r="AA33" s="382" t="n">
        <f t="shared" si="15"/>
        <v>0</v>
      </c>
      <c r="AB33" s="382" t="n">
        <f t="shared" si="15"/>
        <v>0</v>
      </c>
      <c r="AC33" s="445" t="n">
        <f t="shared" si="15"/>
        <v>0</v>
      </c>
      <c r="AD33" s="353" t="n">
        <f t="shared" si="14"/>
        <v>150.49999999999991</v>
      </c>
      <c r="AE33" s="293" t="s">
        <v>404</v>
      </c>
      <c r="AF33" s="265"/>
    </row>
    <row r="34">
      <c r="B34" s="390" t="s">
        <v>390</v>
      </c>
      <c r="C34" s="77"/>
      <c r="D34" s="335"/>
      <c r="E34" s="77"/>
      <c r="F34" s="77"/>
      <c r="G34" s="77"/>
      <c r="H34" s="78"/>
      <c r="I34" s="78"/>
      <c r="J34" s="78"/>
      <c r="K34" s="78"/>
      <c r="L34" s="78"/>
      <c r="M34" s="360" t="n">
        <f>C53/12*4</f>
        <v>9.6666666666666661</v>
      </c>
      <c r="N34" s="360" t="n">
        <f>M34</f>
        <v>9.6666666666666661</v>
      </c>
      <c r="O34" s="360" t="n">
        <f t="shared" ref="O34:X34" si="16">N34</f>
        <v>9.6666666666666661</v>
      </c>
      <c r="P34" s="363" t="n">
        <f t="shared" si="16"/>
        <v>9.6666666666666661</v>
      </c>
      <c r="Q34" s="360" t="n">
        <f t="shared" si="16"/>
        <v>9.6666666666666661</v>
      </c>
      <c r="R34" s="360" t="n">
        <f t="shared" si="16"/>
        <v>9.6666666666666661</v>
      </c>
      <c r="S34" s="360" t="n">
        <f t="shared" si="16"/>
        <v>9.6666666666666661</v>
      </c>
      <c r="T34" s="382" t="n">
        <f t="shared" si="16"/>
        <v>9.6666666666666661</v>
      </c>
      <c r="U34" s="382" t="n">
        <f t="shared" si="16"/>
        <v>9.6666666666666661</v>
      </c>
      <c r="V34" s="382" t="n">
        <f t="shared" si="16"/>
        <v>9.6666666666666661</v>
      </c>
      <c r="W34" s="382" t="n">
        <f t="shared" si="16"/>
        <v>9.6666666666666661</v>
      </c>
      <c r="X34" s="382" t="n">
        <f t="shared" si="16"/>
        <v>9.6666666666666661</v>
      </c>
      <c r="Y34" s="381"/>
      <c r="Z34" s="381"/>
      <c r="AA34" s="381"/>
      <c r="AB34" s="381"/>
      <c r="AC34" s="446"/>
      <c r="AD34" s="353" t="n">
        <f t="shared" si="14"/>
        <v>29.000000000000004</v>
      </c>
      <c r="AE34" s="293"/>
      <c r="AF34" s="265"/>
    </row>
    <row r="35" ht="41.85" customHeight="1">
      <c r="B35" s="390" t="s">
        <v>150</v>
      </c>
      <c r="C35" s="77"/>
      <c r="D35" s="335"/>
      <c r="E35" s="77"/>
      <c r="F35" s="77"/>
      <c r="G35" s="77"/>
      <c r="H35" s="78"/>
      <c r="I35" s="78"/>
      <c r="J35" s="78"/>
      <c r="K35" s="78"/>
      <c r="L35" s="78"/>
      <c r="M35" s="420" t="n">
        <f>C64/12*4 - 7</f>
        <v>20.333333333333332</v>
      </c>
      <c r="N35" s="420" t="n">
        <f>C64/12*4 + 20</f>
        <v>47.333333333333329</v>
      </c>
      <c r="O35" s="420" t="n">
        <v>37.3333333333333</v>
      </c>
      <c r="P35" s="462" t="n">
        <v>27.333333333333332</v>
      </c>
      <c r="Q35" s="420" t="n">
        <v>22.3333333333333</v>
      </c>
      <c r="R35" s="420" t="n">
        <v>22.3333333333333</v>
      </c>
      <c r="S35" s="420" t="n">
        <v>22.3333333333333</v>
      </c>
      <c r="T35" s="450" t="n">
        <v>22.3333333333333</v>
      </c>
      <c r="U35" s="450" t="n">
        <v>22.3333333333333</v>
      </c>
      <c r="V35" s="450" t="n">
        <v>22.3333333333333</v>
      </c>
      <c r="W35" s="450" t="n">
        <v>22.3333333333333</v>
      </c>
      <c r="X35" s="450" t="n">
        <v>22.3333333333333</v>
      </c>
      <c r="Y35" s="450" t="n">
        <v>19</v>
      </c>
      <c r="Z35" s="450"/>
      <c r="AA35" s="450"/>
      <c r="AB35" s="450"/>
      <c r="AC35" s="451"/>
      <c r="AD35" s="353" t="n">
        <f>SUM(I35:Y35)/4</f>
        <v>82.499999999999943</v>
      </c>
      <c r="AE35" s="456" t="s">
        <v>405</v>
      </c>
    </row>
    <row r="36">
      <c r="B36" s="390" t="s">
        <v>152</v>
      </c>
      <c r="C36" s="77"/>
      <c r="D36" s="335"/>
      <c r="E36" s="77"/>
      <c r="F36" s="77"/>
      <c r="G36" s="77"/>
      <c r="H36" s="78"/>
      <c r="I36" s="78"/>
      <c r="J36" s="78"/>
      <c r="K36" s="78"/>
      <c r="L36" s="78"/>
      <c r="M36" s="360" t="n">
        <f>C65/12*4</f>
        <v>1</v>
      </c>
      <c r="N36" s="360" t="n">
        <f>C65/12*4</f>
        <v>1</v>
      </c>
      <c r="O36" s="360" t="n">
        <f t="shared" ref="O36:X36" si="17">$C$65/12*4</f>
        <v>1</v>
      </c>
      <c r="P36" s="363" t="n">
        <f t="shared" si="17"/>
        <v>1</v>
      </c>
      <c r="Q36" s="360" t="n">
        <f t="shared" si="17"/>
        <v>1</v>
      </c>
      <c r="R36" s="360" t="n">
        <f t="shared" si="17"/>
        <v>1</v>
      </c>
      <c r="S36" s="360" t="n">
        <f t="shared" si="17"/>
        <v>1</v>
      </c>
      <c r="T36" s="382" t="n">
        <f t="shared" si="17"/>
        <v>1</v>
      </c>
      <c r="U36" s="382" t="n">
        <f t="shared" si="17"/>
        <v>1</v>
      </c>
      <c r="V36" s="382" t="n">
        <f t="shared" si="17"/>
        <v>1</v>
      </c>
      <c r="W36" s="382" t="n">
        <f t="shared" si="17"/>
        <v>1</v>
      </c>
      <c r="X36" s="382" t="n">
        <f t="shared" si="17"/>
        <v>1</v>
      </c>
      <c r="Y36" s="381"/>
      <c r="Z36" s="381"/>
      <c r="AA36" s="381"/>
      <c r="AB36" s="381"/>
      <c r="AC36" s="446"/>
      <c r="AD36" s="353" t="n">
        <f t="shared" si="14"/>
        <v>3</v>
      </c>
      <c r="AE36" s="78"/>
    </row>
    <row r="37" ht="13.35" customHeight="1">
      <c r="B37" s="390" t="s">
        <v>406</v>
      </c>
      <c r="C37" s="77"/>
      <c r="D37" s="335"/>
      <c r="E37" s="77"/>
      <c r="F37" s="77"/>
      <c r="G37" s="77"/>
      <c r="H37" s="78"/>
      <c r="I37" s="78"/>
      <c r="J37" s="78"/>
      <c r="K37" s="78"/>
      <c r="L37" s="78"/>
      <c r="M37" s="360" t="n">
        <f t="shared" ref="M37:X37" si="18">$C$66/12*4</f>
        <v>11.333333333333334</v>
      </c>
      <c r="N37" s="360" t="n">
        <f t="shared" si="18"/>
        <v>11.333333333333334</v>
      </c>
      <c r="O37" s="360" t="n">
        <f t="shared" si="18"/>
        <v>11.333333333333334</v>
      </c>
      <c r="P37" s="363" t="n">
        <f t="shared" si="18"/>
        <v>11.333333333333334</v>
      </c>
      <c r="Q37" s="360" t="n">
        <f t="shared" si="18"/>
        <v>11.333333333333334</v>
      </c>
      <c r="R37" s="360" t="n">
        <f t="shared" si="18"/>
        <v>11.333333333333334</v>
      </c>
      <c r="S37" s="360" t="n">
        <f t="shared" si="18"/>
        <v>11.333333333333334</v>
      </c>
      <c r="T37" s="382" t="n">
        <f t="shared" si="18"/>
        <v>11.333333333333334</v>
      </c>
      <c r="U37" s="382" t="n">
        <f t="shared" si="18"/>
        <v>11.333333333333334</v>
      </c>
      <c r="V37" s="382" t="n">
        <f t="shared" si="18"/>
        <v>11.333333333333334</v>
      </c>
      <c r="W37" s="382" t="n">
        <f t="shared" si="18"/>
        <v>11.333333333333334</v>
      </c>
      <c r="X37" s="382" t="n">
        <f t="shared" si="18"/>
        <v>11.333333333333334</v>
      </c>
      <c r="Y37" s="381"/>
      <c r="Z37" s="381"/>
      <c r="AA37" s="381"/>
      <c r="AB37" s="381"/>
      <c r="AC37" s="446"/>
      <c r="AD37" s="353" t="n">
        <f t="shared" si="14"/>
        <v>33.999999999999993</v>
      </c>
      <c r="AE37" s="78"/>
    </row>
    <row r="38" ht="29.25" customHeight="1">
      <c r="B38" s="390" t="s">
        <v>407</v>
      </c>
      <c r="C38" s="77"/>
      <c r="D38" s="335"/>
      <c r="E38" s="77"/>
      <c r="F38" s="77"/>
      <c r="G38" s="77"/>
      <c r="H38" s="78"/>
      <c r="I38" s="78"/>
      <c r="J38" s="78"/>
      <c r="K38" s="78"/>
      <c r="L38" s="78"/>
      <c r="M38" s="360" t="n">
        <f t="shared" ref="M38:X38" si="19">$C$67/12*4</f>
        <v>0.66666666666666663</v>
      </c>
      <c r="N38" s="360" t="n">
        <f t="shared" si="19"/>
        <v>0.66666666666666663</v>
      </c>
      <c r="O38" s="360" t="n">
        <f t="shared" si="19"/>
        <v>0.66666666666666663</v>
      </c>
      <c r="P38" s="363" t="n">
        <f t="shared" si="19"/>
        <v>0.66666666666666663</v>
      </c>
      <c r="Q38" s="360" t="n">
        <f t="shared" si="19"/>
        <v>0.66666666666666663</v>
      </c>
      <c r="R38" s="360" t="n">
        <f t="shared" si="19"/>
        <v>0.66666666666666663</v>
      </c>
      <c r="S38" s="360" t="n">
        <f t="shared" si="19"/>
        <v>0.66666666666666663</v>
      </c>
      <c r="T38" s="382" t="n">
        <f t="shared" si="19"/>
        <v>0.66666666666666663</v>
      </c>
      <c r="U38" s="382" t="n">
        <f t="shared" si="19"/>
        <v>0.66666666666666663</v>
      </c>
      <c r="V38" s="382" t="n">
        <f t="shared" si="19"/>
        <v>0.66666666666666663</v>
      </c>
      <c r="W38" s="382" t="n">
        <f t="shared" si="19"/>
        <v>0.66666666666666663</v>
      </c>
      <c r="X38" s="382" t="n">
        <f t="shared" si="19"/>
        <v>0.66666666666666663</v>
      </c>
      <c r="Y38" s="381"/>
      <c r="Z38" s="381"/>
      <c r="AA38" s="381"/>
      <c r="AB38" s="381"/>
      <c r="AC38" s="446"/>
      <c r="AD38" s="353" t="n">
        <f t="shared" si="14"/>
        <v>2</v>
      </c>
      <c r="AE38" s="78"/>
    </row>
    <row r="39" ht="44.25" customHeight="1">
      <c r="B39" s="444" t="s">
        <v>408</v>
      </c>
      <c r="C39" s="77"/>
      <c r="D39" s="335"/>
      <c r="E39" s="77"/>
      <c r="F39" s="77"/>
      <c r="G39" s="77"/>
      <c r="H39" s="78"/>
      <c r="I39" s="78"/>
      <c r="J39" s="78"/>
      <c r="K39" s="78"/>
      <c r="L39" s="78"/>
      <c r="M39" s="360"/>
      <c r="N39" s="360" t="n">
        <f t="shared" ref="N39:AC39" si="20">SUM(N40:N44)</f>
        <v>954.03959999999972</v>
      </c>
      <c r="O39" s="360" t="n">
        <f t="shared" si="20"/>
        <v>85.500399999999999</v>
      </c>
      <c r="P39" s="363" t="n">
        <f t="shared" si="20"/>
        <v>83.481000000000009</v>
      </c>
      <c r="Q39" s="360" t="n">
        <f t="shared" si="20"/>
        <v>662.76099999999997</v>
      </c>
      <c r="R39" s="360" t="n">
        <f t="shared" si="20"/>
        <v>83.481000000000009</v>
      </c>
      <c r="S39" s="360" t="n">
        <f t="shared" si="20"/>
        <v>83.481000000000009</v>
      </c>
      <c r="T39" s="382" t="n">
        <f t="shared" si="20"/>
        <v>62.811999999999998</v>
      </c>
      <c r="U39" s="382" t="n">
        <f t="shared" si="20"/>
        <v>62.811999999999998</v>
      </c>
      <c r="V39" s="382" t="n">
        <f t="shared" si="20"/>
        <v>62.811999999999998</v>
      </c>
      <c r="W39" s="382" t="n">
        <f t="shared" si="20"/>
        <v>62.811999999999998</v>
      </c>
      <c r="X39" s="382" t="n">
        <f t="shared" si="20"/>
        <v>41.554000000000002</v>
      </c>
      <c r="Y39" s="382" t="n">
        <f t="shared" si="20"/>
        <v>41.554000000000002</v>
      </c>
      <c r="Z39" s="382" t="n">
        <f t="shared" si="20"/>
        <v>41.554000000000002</v>
      </c>
      <c r="AA39" s="382" t="n">
        <f t="shared" si="20"/>
        <v>41.554000000000002</v>
      </c>
      <c r="AB39" s="382" t="n">
        <f t="shared" si="20"/>
        <v>27.678000000000001</v>
      </c>
      <c r="AC39" s="445" t="n">
        <f t="shared" si="20"/>
        <v>27.678000000000001</v>
      </c>
      <c r="AD39" s="353" t="n">
        <f t="shared" si="14"/>
        <v>571.77499999999986</v>
      </c>
      <c r="AE39" s="293" t="s">
        <v>409</v>
      </c>
      <c r="AF39" s="265"/>
    </row>
    <row r="40" ht="17.850000000000001" customHeight="1">
      <c r="B40" s="390" t="s">
        <v>395</v>
      </c>
      <c r="C40" s="77"/>
      <c r="D40" s="335"/>
      <c r="E40" s="77"/>
      <c r="F40" s="77"/>
      <c r="G40" s="77"/>
      <c r="H40" s="78"/>
      <c r="I40" s="78"/>
      <c r="J40" s="78"/>
      <c r="K40" s="78"/>
      <c r="L40" s="78"/>
      <c r="M40" s="360"/>
      <c r="N40" s="360" t="n">
        <f>0.6*C69*4</f>
        <v>868.91999999999985</v>
      </c>
      <c r="O40" s="360"/>
      <c r="P40" s="363"/>
      <c r="Q40" s="360" t="n">
        <f>0.4*C69*4</f>
        <v>579.28</v>
      </c>
      <c r="R40" s="360"/>
      <c r="S40" s="360"/>
      <c r="T40" s="382"/>
      <c r="U40" s="382"/>
      <c r="V40" s="382"/>
      <c r="W40" s="382"/>
      <c r="X40" s="382"/>
      <c r="Y40" s="382"/>
      <c r="Z40" s="382"/>
      <c r="AA40" s="382"/>
      <c r="AB40" s="382"/>
      <c r="AC40" s="445"/>
      <c r="AD40" s="353" t="n">
        <f t="shared" si="14"/>
        <v>362.04999999999995</v>
      </c>
      <c r="AE40" s="413" t="s">
        <v>410</v>
      </c>
      <c r="AF40" s="413"/>
    </row>
    <row r="41">
      <c r="B41" s="390" t="s">
        <v>150</v>
      </c>
      <c r="C41" s="77"/>
      <c r="D41" s="335"/>
      <c r="E41" s="77"/>
      <c r="F41" s="77"/>
      <c r="G41" s="77"/>
      <c r="H41" s="78"/>
      <c r="I41" s="78"/>
      <c r="J41" s="78"/>
      <c r="K41" s="78"/>
      <c r="L41" s="78"/>
      <c r="M41" s="360"/>
      <c r="N41" s="360" t="n">
        <f>'ARP Quarterly'!D9</f>
        <v>24.693999999999999</v>
      </c>
      <c r="O41" s="360" t="n">
        <f>'ARP Quarterly'!E9</f>
        <v>24.693999999999999</v>
      </c>
      <c r="P41" s="363" t="n">
        <f>'ARP Quarterly'!F9</f>
        <v>46.79</v>
      </c>
      <c r="Q41" s="360" t="n">
        <f>'ARP Quarterly'!G9</f>
        <v>46.79</v>
      </c>
      <c r="R41" s="360" t="n">
        <f>'ARP Quarterly'!H9</f>
        <v>46.79</v>
      </c>
      <c r="S41" s="360" t="n">
        <f>'ARP Quarterly'!I9</f>
        <v>46.79</v>
      </c>
      <c r="T41" s="382" t="n">
        <f>'ARP Quarterly'!J9</f>
        <v>38.595999999999997</v>
      </c>
      <c r="U41" s="382" t="n">
        <f>'ARP Quarterly'!K9</f>
        <v>38.595999999999997</v>
      </c>
      <c r="V41" s="382" t="n">
        <f>'ARP Quarterly'!L9</f>
        <v>38.595999999999997</v>
      </c>
      <c r="W41" s="382" t="n">
        <f>'ARP Quarterly'!M9</f>
        <v>38.595999999999997</v>
      </c>
      <c r="X41" s="382" t="n">
        <f>'ARP Quarterly'!N9</f>
        <v>31.911000000000001</v>
      </c>
      <c r="Y41" s="382" t="n">
        <f>'ARP Quarterly'!O9</f>
        <v>31.911000000000001</v>
      </c>
      <c r="Z41" s="382" t="n">
        <f>'ARP Quarterly'!P9</f>
        <v>31.911000000000001</v>
      </c>
      <c r="AA41" s="382" t="n">
        <f>'ARP Quarterly'!Q9</f>
        <v>31.911000000000001</v>
      </c>
      <c r="AB41" s="382" t="n">
        <f>'ARP Quarterly'!R9</f>
        <v>23.099</v>
      </c>
      <c r="AC41" s="445" t="n">
        <f>'ARP Quarterly'!S9</f>
        <v>23.099</v>
      </c>
      <c r="AD41" s="353" t="n">
        <f t="shared" si="14"/>
        <v>113.68849999999999</v>
      </c>
      <c r="AE41" s="360"/>
    </row>
    <row r="42">
      <c r="B42" s="390" t="s">
        <v>152</v>
      </c>
      <c r="C42" s="77"/>
      <c r="D42" s="335"/>
      <c r="E42" s="77"/>
      <c r="F42" s="77"/>
      <c r="G42" s="77"/>
      <c r="H42" s="78"/>
      <c r="I42" s="78"/>
      <c r="J42" s="78"/>
      <c r="K42" s="78"/>
      <c r="L42" s="78"/>
      <c r="M42" s="360"/>
      <c r="N42" s="360" t="n">
        <f>'ARP Quarterly'!D14</f>
        <v>1.1696</v>
      </c>
      <c r="O42" s="360" t="n">
        <f>'ARP Quarterly'!E14</f>
        <v>1.5503999999999998</v>
      </c>
      <c r="P42" s="363" t="n">
        <f>'ARP Quarterly'!F14</f>
        <v>1.02</v>
      </c>
      <c r="Q42" s="360" t="n">
        <f>'ARP Quarterly'!G14</f>
        <v>1.02</v>
      </c>
      <c r="R42" s="360" t="n">
        <f>'ARP Quarterly'!H14</f>
        <v>1.02</v>
      </c>
      <c r="S42" s="360" t="n">
        <f>'ARP Quarterly'!I14</f>
        <v>1.02</v>
      </c>
      <c r="T42" s="382" t="n">
        <f>'ARP Quarterly'!J14</f>
        <v>0</v>
      </c>
      <c r="U42" s="382" t="n">
        <f>'ARP Quarterly'!K14</f>
        <v>0</v>
      </c>
      <c r="V42" s="382" t="n">
        <f>'ARP Quarterly'!L14</f>
        <v>0</v>
      </c>
      <c r="W42" s="382" t="n">
        <f>'ARP Quarterly'!M14</f>
        <v>0</v>
      </c>
      <c r="X42" s="382" t="n">
        <f>'ARP Quarterly'!N14</f>
        <v>0</v>
      </c>
      <c r="Y42" s="382" t="n">
        <f>'ARP Quarterly'!O14</f>
        <v>0</v>
      </c>
      <c r="Z42" s="382" t="n">
        <f>'ARP Quarterly'!P14</f>
        <v>0</v>
      </c>
      <c r="AA42" s="382" t="n">
        <f>'ARP Quarterly'!Q14</f>
        <v>0</v>
      </c>
      <c r="AB42" s="382" t="n">
        <f>'ARP Quarterly'!R14</f>
        <v>0</v>
      </c>
      <c r="AC42" s="445" t="n">
        <f>'ARP Quarterly'!S14</f>
        <v>0</v>
      </c>
      <c r="AD42" s="353" t="n">
        <f t="shared" si="14"/>
        <v>1.6999999999999997</v>
      </c>
      <c r="AE42" s="360"/>
    </row>
    <row r="43">
      <c r="B43" s="390" t="s">
        <v>411</v>
      </c>
      <c r="C43" s="77"/>
      <c r="D43" s="335"/>
      <c r="E43" s="77"/>
      <c r="F43" s="77"/>
      <c r="G43" s="77"/>
      <c r="H43" s="78"/>
      <c r="I43" s="78"/>
      <c r="J43" s="78"/>
      <c r="K43" s="78"/>
      <c r="L43" s="78"/>
      <c r="M43" s="360"/>
      <c r="N43" s="360" t="n">
        <f>'ARP Quarterly'!D10</f>
        <v>59.256</v>
      </c>
      <c r="O43" s="360" t="n">
        <f>'ARP Quarterly'!E10</f>
        <v>59.256</v>
      </c>
      <c r="P43" s="363" t="n">
        <f>'ARP Quarterly'!F10</f>
        <v>35.671000000000006</v>
      </c>
      <c r="Q43" s="360" t="n">
        <f>'ARP Quarterly'!G10</f>
        <v>35.671000000000006</v>
      </c>
      <c r="R43" s="360" t="n">
        <f>'ARP Quarterly'!H10</f>
        <v>35.671000000000006</v>
      </c>
      <c r="S43" s="360" t="n">
        <f>'ARP Quarterly'!I10</f>
        <v>35.671000000000006</v>
      </c>
      <c r="T43" s="382" t="n">
        <f>'ARP Quarterly'!J10</f>
        <v>24.216000000000001</v>
      </c>
      <c r="U43" s="382" t="n">
        <f>'ARP Quarterly'!K10</f>
        <v>24.216000000000001</v>
      </c>
      <c r="V43" s="382" t="n">
        <f>'ARP Quarterly'!L10</f>
        <v>24.216000000000001</v>
      </c>
      <c r="W43" s="382" t="n">
        <f>'ARP Quarterly'!M10</f>
        <v>24.216000000000001</v>
      </c>
      <c r="X43" s="382" t="n">
        <f>'ARP Quarterly'!N10</f>
        <v>9.6430000000000007</v>
      </c>
      <c r="Y43" s="382" t="n">
        <f>'ARP Quarterly'!O10</f>
        <v>9.6430000000000007</v>
      </c>
      <c r="Z43" s="382" t="n">
        <f>'ARP Quarterly'!P10</f>
        <v>9.6430000000000007</v>
      </c>
      <c r="AA43" s="382" t="n">
        <f>'ARP Quarterly'!Q10</f>
        <v>9.6430000000000007</v>
      </c>
      <c r="AB43" s="382" t="n">
        <f>'ARP Quarterly'!R10</f>
        <v>4.5789999999999997</v>
      </c>
      <c r="AC43" s="445" t="n">
        <f>'ARP Quarterly'!S10</f>
        <v>4.5789999999999997</v>
      </c>
      <c r="AD43" s="353" t="n">
        <f t="shared" si="14"/>
        <v>94.336500000000001</v>
      </c>
      <c r="AE43" s="360"/>
    </row>
    <row r="44">
      <c r="A44" s="2"/>
      <c r="B44" s="408"/>
      <c r="C44" s="405"/>
      <c r="D44" s="403"/>
      <c r="E44" s="405"/>
      <c r="F44" s="405"/>
      <c r="G44" s="405"/>
      <c r="H44" s="410"/>
      <c r="I44" s="410"/>
      <c r="J44" s="410"/>
      <c r="K44" s="410"/>
      <c r="L44" s="410"/>
      <c r="M44" s="421"/>
      <c r="N44" s="421"/>
      <c r="O44" s="421"/>
      <c r="P44" s="436"/>
      <c r="Q44" s="421"/>
      <c r="R44" s="421"/>
      <c r="S44" s="421"/>
      <c r="T44" s="414"/>
      <c r="U44" s="414"/>
      <c r="V44" s="414"/>
      <c r="W44" s="414"/>
      <c r="X44" s="414"/>
      <c r="Y44" s="414"/>
      <c r="Z44" s="414"/>
      <c r="AA44" s="414"/>
      <c r="AB44" s="414"/>
      <c r="AC44" s="415"/>
      <c r="AD44" s="436"/>
      <c r="AE44" s="360"/>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row>
    <row r="45">
      <c r="B45" s="388"/>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row>
    <row r="46">
      <c r="B46" s="388"/>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row>
    <row r="47" ht="17.850000000000001" customHeight="1">
      <c r="B47" s="416" t="s">
        <v>412</v>
      </c>
      <c r="H47" s="78"/>
      <c r="I47" s="78"/>
      <c r="J47" s="78"/>
      <c r="K47" s="78"/>
      <c r="L47" s="78"/>
      <c r="M47" s="78"/>
      <c r="N47" s="78"/>
      <c r="O47" s="78"/>
      <c r="P47" s="78"/>
      <c r="Q47" s="78"/>
      <c r="R47" s="78"/>
      <c r="S47" s="78"/>
      <c r="T47" s="78"/>
      <c r="U47" s="78"/>
      <c r="V47" s="78"/>
      <c r="W47" s="78"/>
      <c r="X47" s="78"/>
      <c r="Y47" s="78"/>
      <c r="Z47" s="78"/>
      <c r="AA47" s="78"/>
      <c r="AB47" s="78"/>
      <c r="AC47" s="78"/>
      <c r="AD47" s="78"/>
      <c r="AE47" s="78"/>
    </row>
    <row r="48" ht="29.85" customHeight="1">
      <c r="B48" s="453" t="s">
        <v>413</v>
      </c>
      <c r="C48" s="454" t="s">
        <v>414</v>
      </c>
      <c r="D48" s="455" t="s">
        <v>415</v>
      </c>
      <c r="E48" s="429" t="s">
        <v>416</v>
      </c>
      <c r="F48" s="78"/>
      <c r="G48" s="78"/>
      <c r="H48" s="78"/>
      <c r="I48" s="78"/>
      <c r="J48" s="78"/>
      <c r="K48" s="78"/>
      <c r="L48" s="78"/>
      <c r="M48" s="78"/>
      <c r="N48" s="78"/>
      <c r="O48" s="78"/>
      <c r="P48" s="78"/>
      <c r="Q48" s="78"/>
      <c r="R48" s="78"/>
      <c r="S48" s="78"/>
      <c r="T48" s="78"/>
      <c r="U48" s="78"/>
      <c r="V48" s="78"/>
      <c r="W48" s="78"/>
    </row>
    <row r="49" ht="18.75" customHeight="1">
      <c r="B49" s="459" t="s">
        <v>417</v>
      </c>
      <c r="C49" s="411" t="n">
        <f>SUM(C50:C55)</f>
        <v>898.11599999999999</v>
      </c>
      <c r="D49" s="78" t="n">
        <f>SUM(D50:D54)</f>
        <v>202.36666666666667</v>
      </c>
      <c r="E49" s="349" t="n">
        <f>SUM(E50:E54)</f>
        <v>650.35233333333326</v>
      </c>
      <c r="F49" s="78"/>
      <c r="G49" s="78"/>
      <c r="H49" s="78"/>
      <c r="I49" s="78"/>
      <c r="J49" s="78"/>
      <c r="K49" s="78"/>
      <c r="L49" s="78"/>
      <c r="M49" s="78"/>
      <c r="N49" s="78"/>
      <c r="O49" s="78"/>
      <c r="P49" s="78"/>
      <c r="Q49" s="78"/>
      <c r="R49" s="78"/>
      <c r="S49" s="78"/>
      <c r="T49" s="78"/>
      <c r="U49" s="78"/>
      <c r="V49" s="78"/>
      <c r="W49" s="78"/>
    </row>
    <row r="50">
      <c r="B50" s="458" t="s">
        <v>149</v>
      </c>
      <c r="C50" s="411" t="n">
        <f>C59</f>
        <v>150</v>
      </c>
      <c r="D50" s="78" t="n">
        <f>SUM(H12:M12)/4</f>
        <v>149.47499999999999</v>
      </c>
      <c r="E50" s="353" t="n">
        <f>C50-D50</f>
        <v>0.52500000000000568</v>
      </c>
      <c r="F50" s="78"/>
      <c r="G50" s="78"/>
      <c r="H50" s="78"/>
      <c r="I50" s="401"/>
      <c r="J50" s="401"/>
      <c r="K50" s="401"/>
      <c r="L50" s="401"/>
      <c r="M50" s="401"/>
      <c r="N50" s="401"/>
      <c r="O50" s="401"/>
      <c r="P50" s="401"/>
      <c r="Q50" s="78"/>
      <c r="R50" s="78"/>
      <c r="S50" s="78"/>
      <c r="T50" s="78"/>
      <c r="U50" s="78"/>
      <c r="V50" s="78"/>
      <c r="W50" s="78"/>
    </row>
    <row r="51">
      <c r="B51" s="458" t="s">
        <v>150</v>
      </c>
      <c r="C51" s="463" t="n">
        <f>C60+C64+C70</f>
        <v>273.16899999999998</v>
      </c>
      <c r="D51" s="78" t="n">
        <f>SUM(H13:M13)/4</f>
        <v>22.075000000000003</v>
      </c>
      <c r="E51" s="353" t="n">
        <f>C51-D51</f>
        <v>251.09399999999999</v>
      </c>
      <c r="F51" s="78"/>
      <c r="G51" s="78"/>
      <c r="H51" s="78"/>
      <c r="I51" s="401"/>
      <c r="J51" s="401"/>
      <c r="K51" s="401"/>
      <c r="L51" s="401"/>
      <c r="M51" s="401"/>
      <c r="N51" s="401"/>
      <c r="O51" s="401"/>
      <c r="P51" s="401"/>
      <c r="Q51" s="78"/>
      <c r="R51" s="78"/>
      <c r="S51" s="78"/>
      <c r="T51" s="78"/>
      <c r="U51" s="78"/>
      <c r="V51" s="78"/>
      <c r="W51" s="78"/>
    </row>
    <row r="52">
      <c r="B52" s="458" t="s">
        <v>152</v>
      </c>
      <c r="C52" s="310" t="n">
        <f>C61+C71+C65</f>
        <v>38.5</v>
      </c>
      <c r="D52" s="78" t="n">
        <f>SUM(H14:M14)/4</f>
        <v>28.400000000000002</v>
      </c>
      <c r="E52" s="353" t="n">
        <f>C52-D52</f>
        <v>10.099999999999998</v>
      </c>
      <c r="F52" s="78"/>
      <c r="G52" s="78"/>
      <c r="H52" s="78"/>
      <c r="I52" s="401"/>
      <c r="J52" s="401"/>
      <c r="K52" s="401"/>
      <c r="L52" s="401"/>
      <c r="M52" s="401"/>
      <c r="N52" s="401"/>
      <c r="O52" s="401"/>
      <c r="P52" s="401"/>
      <c r="Q52" s="221"/>
      <c r="R52" s="221"/>
      <c r="S52" s="221"/>
      <c r="T52" s="221"/>
      <c r="U52" s="221"/>
      <c r="V52" s="221"/>
      <c r="W52" s="221"/>
      <c r="X52" s="221"/>
      <c r="Y52" s="221"/>
      <c r="Z52" s="221"/>
      <c r="AA52" s="221"/>
      <c r="AB52" s="221"/>
      <c r="AC52" s="221"/>
      <c r="AD52" s="221"/>
      <c r="AE52" s="221"/>
      <c r="AF52" s="221"/>
      <c r="AG52" s="221"/>
      <c r="AH52" s="221"/>
    </row>
    <row r="53" ht="17.25" customHeight="1">
      <c r="B53" s="458" t="s">
        <v>418</v>
      </c>
      <c r="C53" s="310" t="n">
        <f>C63</f>
        <v>29</v>
      </c>
      <c r="D53" s="78" t="n">
        <f>SUM(H15:M15)/4</f>
        <v>2.4166666666666665</v>
      </c>
      <c r="E53" s="353" t="n">
        <f>C53-D53</f>
        <v>26.583333333333332</v>
      </c>
      <c r="F53" s="78"/>
      <c r="G53" s="78"/>
      <c r="H53" s="78"/>
      <c r="I53" s="401"/>
      <c r="J53" s="401"/>
      <c r="K53" s="401"/>
      <c r="L53" s="401"/>
      <c r="M53" s="401"/>
      <c r="N53" s="401"/>
      <c r="O53" s="401"/>
      <c r="P53" s="401"/>
      <c r="Q53" s="264"/>
      <c r="R53" s="264"/>
      <c r="S53" s="264"/>
      <c r="T53" s="264"/>
      <c r="U53" s="264"/>
      <c r="V53" s="264"/>
      <c r="W53" s="264"/>
      <c r="X53" s="264"/>
      <c r="Y53" s="264"/>
      <c r="Z53" s="264"/>
      <c r="AA53" s="264"/>
      <c r="AB53" s="264"/>
      <c r="AC53" s="264"/>
      <c r="AD53" s="264"/>
      <c r="AE53" s="264"/>
      <c r="AF53" s="264"/>
      <c r="AG53" s="264"/>
      <c r="AH53" s="264"/>
    </row>
    <row r="54" ht="15.75" customHeight="1">
      <c r="B54" s="458" t="s">
        <v>395</v>
      </c>
      <c r="C54" s="310" t="n">
        <f>C69</f>
        <v>362.04999999999995</v>
      </c>
      <c r="D54" s="78" t="n">
        <v>0</v>
      </c>
      <c r="E54" s="353" t="n">
        <f>C54-D54</f>
        <v>362.04999999999995</v>
      </c>
      <c r="F54" s="78"/>
      <c r="G54" s="78"/>
      <c r="H54" s="78"/>
      <c r="I54" s="401"/>
      <c r="J54" s="401"/>
      <c r="K54" s="401"/>
      <c r="L54" s="401"/>
      <c r="M54" s="401"/>
      <c r="N54" s="401"/>
      <c r="O54" s="401"/>
      <c r="P54" s="401"/>
      <c r="Q54" s="264"/>
      <c r="R54" s="264"/>
      <c r="S54" s="264"/>
      <c r="T54" s="264"/>
      <c r="U54" s="264"/>
      <c r="V54" s="264"/>
      <c r="W54" s="264"/>
      <c r="X54" s="264"/>
      <c r="Y54" s="264"/>
      <c r="Z54" s="264"/>
      <c r="AA54" s="264"/>
      <c r="AB54" s="264"/>
      <c r="AC54" s="264"/>
      <c r="AD54" s="264"/>
      <c r="AE54" s="264"/>
      <c r="AF54" s="264"/>
      <c r="AG54" s="264"/>
      <c r="AH54" s="264"/>
    </row>
    <row r="55" ht="15" customHeight="1">
      <c r="B55" s="457" t="s">
        <v>419</v>
      </c>
      <c r="C55" s="411" t="n">
        <f>C72+C73+C66+C67</f>
        <v>45.396999999999998</v>
      </c>
      <c r="D55" s="78"/>
      <c r="E55" s="353"/>
      <c r="F55" s="78"/>
      <c r="G55" s="78"/>
      <c r="H55" s="78"/>
      <c r="I55" s="401"/>
      <c r="J55" s="401"/>
      <c r="K55" s="401"/>
      <c r="L55" s="401"/>
      <c r="M55" s="401"/>
      <c r="N55" s="401"/>
      <c r="O55" s="401"/>
      <c r="P55" s="401"/>
      <c r="Q55" s="78"/>
      <c r="R55" s="78"/>
      <c r="S55" s="78"/>
      <c r="T55" s="78"/>
      <c r="U55" s="78"/>
      <c r="V55" s="78"/>
      <c r="W55" s="78"/>
    </row>
    <row r="56" ht="5.25" customHeight="1">
      <c r="B56" s="457"/>
      <c r="C56" s="411"/>
      <c r="D56" s="78"/>
      <c r="E56" s="353"/>
      <c r="F56" s="78"/>
      <c r="G56" s="78"/>
      <c r="H56" s="78"/>
      <c r="I56" s="401"/>
      <c r="J56" s="401"/>
      <c r="K56" s="401"/>
      <c r="L56" s="401"/>
      <c r="M56" s="401"/>
      <c r="N56" s="401"/>
      <c r="O56" s="401"/>
      <c r="P56" s="401"/>
      <c r="Q56" s="78"/>
      <c r="R56" s="78"/>
      <c r="S56" s="78"/>
      <c r="T56" s="78"/>
      <c r="U56" s="78"/>
      <c r="V56" s="78"/>
      <c r="W56" s="78"/>
    </row>
    <row r="57" ht="18.75" customHeight="1">
      <c r="B57" s="459" t="s">
        <v>420</v>
      </c>
      <c r="C57" s="310" t="n">
        <f>C58+C62+C68</f>
        <v>898.11599999999999</v>
      </c>
      <c r="D57" s="78"/>
      <c r="E57" s="353"/>
      <c r="F57" s="78"/>
      <c r="G57" s="78"/>
      <c r="H57" s="78"/>
      <c r="I57" s="401"/>
      <c r="J57" s="401"/>
      <c r="K57" s="401"/>
      <c r="L57" s="401"/>
      <c r="M57" s="401"/>
      <c r="N57" s="401"/>
      <c r="O57" s="401"/>
      <c r="P57" s="401"/>
      <c r="Q57" s="78"/>
      <c r="R57" s="78"/>
      <c r="S57" s="78"/>
      <c r="T57" s="78"/>
      <c r="U57" s="78"/>
      <c r="V57" s="78"/>
      <c r="W57" s="78"/>
    </row>
    <row r="58" ht="16.350000000000001" customHeight="1">
      <c r="B58" s="444" t="s">
        <v>401</v>
      </c>
      <c r="C58" s="310" t="n">
        <f>SUM(C59:C61)</f>
        <v>199</v>
      </c>
      <c r="D58" s="78"/>
      <c r="E58" s="353"/>
      <c r="F58" s="78"/>
      <c r="G58" s="78"/>
      <c r="H58" s="78"/>
      <c r="I58" s="401"/>
      <c r="J58" s="401"/>
      <c r="K58" s="401"/>
      <c r="L58" s="401"/>
      <c r="M58" s="401"/>
      <c r="N58" s="401"/>
      <c r="O58" s="401"/>
      <c r="P58" s="401"/>
      <c r="Q58" s="78"/>
      <c r="R58" s="78"/>
      <c r="S58" s="78"/>
      <c r="T58" s="78"/>
      <c r="U58" s="78"/>
      <c r="V58" s="78"/>
      <c r="W58" s="78"/>
    </row>
    <row r="59" ht="20.85" customHeight="1">
      <c r="B59" s="390" t="s">
        <v>149</v>
      </c>
      <c r="C59" s="310" t="n">
        <v>150</v>
      </c>
      <c r="D59" s="78"/>
      <c r="E59" s="353"/>
      <c r="F59" s="78"/>
      <c r="G59" s="78"/>
      <c r="H59" s="78"/>
      <c r="I59" s="401"/>
      <c r="J59" s="401"/>
      <c r="K59" s="401"/>
      <c r="L59" s="401"/>
      <c r="M59" s="401"/>
      <c r="N59" s="401"/>
      <c r="O59" s="401"/>
      <c r="P59" s="401"/>
      <c r="Q59" s="78"/>
      <c r="R59" s="78"/>
      <c r="S59" s="78"/>
      <c r="T59" s="78"/>
      <c r="U59" s="78"/>
      <c r="V59" s="78"/>
      <c r="W59" s="78"/>
    </row>
    <row r="60" ht="16.5" customHeight="1">
      <c r="B60" s="390" t="s">
        <v>150</v>
      </c>
      <c r="C60" s="463" t="n">
        <v>22</v>
      </c>
      <c r="D60" s="267"/>
      <c r="E60" s="353"/>
      <c r="F60" s="78"/>
      <c r="G60" s="78"/>
      <c r="H60" s="78"/>
      <c r="I60" s="401"/>
      <c r="J60" s="401"/>
      <c r="K60" s="401"/>
      <c r="L60" s="401"/>
      <c r="M60" s="401"/>
      <c r="N60" s="401"/>
      <c r="O60" s="401"/>
      <c r="P60" s="401"/>
      <c r="Q60" s="78"/>
      <c r="R60" s="78"/>
      <c r="S60" s="78"/>
      <c r="T60" s="78"/>
      <c r="U60" s="78"/>
      <c r="V60" s="78"/>
      <c r="W60" s="78"/>
    </row>
    <row r="61">
      <c r="B61" s="390" t="s">
        <v>152</v>
      </c>
      <c r="C61" s="310" t="n">
        <v>27</v>
      </c>
      <c r="D61" s="78"/>
      <c r="E61" s="353"/>
      <c r="F61" s="77"/>
      <c r="G61" s="78"/>
      <c r="H61" s="78"/>
      <c r="I61" s="401"/>
      <c r="J61" s="401"/>
      <c r="K61" s="401"/>
      <c r="L61" s="401"/>
      <c r="M61" s="401"/>
      <c r="N61" s="401"/>
      <c r="P61" s="401"/>
      <c r="Q61" s="78"/>
      <c r="R61" s="78"/>
      <c r="S61" s="78"/>
      <c r="T61" s="78"/>
      <c r="U61" s="78"/>
      <c r="V61" s="78"/>
      <c r="W61" s="78"/>
    </row>
    <row r="62" ht="15" customHeight="1">
      <c r="B62" s="444" t="s">
        <v>403</v>
      </c>
      <c r="C62" s="310" t="n">
        <f>SUM(C63:C67)</f>
        <v>150</v>
      </c>
      <c r="D62" s="78"/>
      <c r="E62" s="353"/>
      <c r="F62" s="78"/>
      <c r="G62" s="78"/>
      <c r="H62" s="78"/>
      <c r="I62" s="78"/>
      <c r="J62" s="78"/>
      <c r="K62" s="78"/>
      <c r="L62" s="78"/>
      <c r="M62" s="78"/>
      <c r="N62" s="78"/>
      <c r="P62" s="78"/>
      <c r="Q62" s="78"/>
      <c r="R62" s="78"/>
      <c r="S62" s="78"/>
      <c r="T62" s="78"/>
      <c r="U62" s="78"/>
      <c r="V62" s="78"/>
      <c r="W62" s="78"/>
    </row>
    <row r="63" ht="17.25" customHeight="1">
      <c r="B63" s="390" t="s">
        <v>390</v>
      </c>
      <c r="C63" s="310" t="n">
        <f>'Response and Relief Act Score'!F7</f>
        <v>29</v>
      </c>
      <c r="D63" s="78"/>
      <c r="E63" s="353"/>
      <c r="F63" s="78"/>
      <c r="G63" s="78"/>
      <c r="H63" s="78"/>
      <c r="I63" s="78"/>
    </row>
    <row r="64">
      <c r="B64" s="390" t="s">
        <v>150</v>
      </c>
      <c r="C64" s="310" t="n">
        <f>'Response and Relief Act Score'!F5</f>
        <v>82</v>
      </c>
      <c r="D64" s="78"/>
      <c r="E64" s="353"/>
      <c r="F64" s="78"/>
      <c r="G64" s="78"/>
      <c r="H64" s="78"/>
      <c r="I64" s="78"/>
      <c r="J64" s="78"/>
      <c r="K64" s="78"/>
      <c r="L64" s="78"/>
      <c r="M64" s="78"/>
      <c r="N64" s="78"/>
      <c r="P64" s="78"/>
      <c r="Q64" s="78"/>
      <c r="R64" s="78"/>
      <c r="S64" s="78"/>
      <c r="T64" s="78"/>
      <c r="U64" s="78"/>
      <c r="V64" s="78"/>
      <c r="W64" s="78"/>
    </row>
    <row r="65">
      <c r="B65" s="390" t="s">
        <v>152</v>
      </c>
      <c r="C65" s="310" t="n">
        <f>'Response and Relief Act Score'!F6</f>
        <v>3</v>
      </c>
      <c r="D65" s="78"/>
      <c r="E65" s="353"/>
      <c r="F65" s="78"/>
      <c r="G65" s="78"/>
      <c r="H65" s="78"/>
      <c r="I65" s="78"/>
      <c r="J65" s="78"/>
      <c r="K65" s="78"/>
      <c r="L65" s="78"/>
      <c r="M65" s="78"/>
      <c r="N65" s="78"/>
      <c r="P65" s="78"/>
      <c r="Q65" s="78"/>
      <c r="R65" s="78"/>
      <c r="S65" s="78"/>
      <c r="T65" s="78"/>
      <c r="U65" s="78"/>
      <c r="V65" s="78"/>
      <c r="W65" s="78"/>
    </row>
    <row r="66" ht="29.25" customHeight="1">
      <c r="B66" s="390" t="s">
        <v>406</v>
      </c>
      <c r="C66" s="310" t="n">
        <f>'Response and Relief Act Score'!F9</f>
        <v>34</v>
      </c>
      <c r="D66" s="78"/>
      <c r="E66" s="353"/>
      <c r="F66" s="78"/>
      <c r="G66" s="78"/>
      <c r="H66" s="78"/>
      <c r="I66" s="417"/>
      <c r="J66" s="78"/>
      <c r="K66" s="78"/>
      <c r="L66" s="78"/>
      <c r="M66" s="78"/>
      <c r="N66" s="78"/>
      <c r="O66" s="401"/>
      <c r="P66" s="78"/>
      <c r="Q66" s="78"/>
      <c r="R66" s="78"/>
      <c r="S66" s="78"/>
      <c r="T66" s="78"/>
      <c r="U66" s="78"/>
      <c r="V66" s="78"/>
      <c r="W66" s="78"/>
    </row>
    <row r="67" ht="12.75" customHeight="1">
      <c r="B67" s="390" t="s">
        <v>407</v>
      </c>
      <c r="C67" s="310" t="n">
        <f>'Response and Relief Act Score'!F8</f>
        <v>2</v>
      </c>
      <c r="D67" s="78"/>
      <c r="E67" s="353"/>
      <c r="F67" s="78"/>
      <c r="G67" s="78"/>
      <c r="H67" s="78"/>
      <c r="I67" s="78"/>
      <c r="J67" s="78"/>
      <c r="K67" s="78"/>
      <c r="L67" s="78"/>
      <c r="M67" s="78"/>
      <c r="N67" s="78"/>
      <c r="O67" s="78"/>
      <c r="P67" s="78"/>
      <c r="Q67" s="78"/>
      <c r="R67" s="78"/>
      <c r="S67" s="78"/>
      <c r="T67" s="78"/>
      <c r="U67" s="78"/>
      <c r="V67" s="78"/>
      <c r="W67" s="78"/>
    </row>
    <row r="68">
      <c r="A68" s="407"/>
      <c r="B68" s="404" t="s">
        <v>408</v>
      </c>
      <c r="C68" s="411" t="n">
        <f>SUM(C69:C73)</f>
        <v>549.11599999999999</v>
      </c>
      <c r="D68" s="78"/>
      <c r="E68" s="353"/>
      <c r="F68" s="78"/>
      <c r="G68" s="78"/>
      <c r="H68" s="78"/>
      <c r="I68" s="78"/>
      <c r="J68" s="78"/>
      <c r="K68" s="78"/>
      <c r="L68" s="78"/>
      <c r="M68" s="78"/>
      <c r="N68" s="78"/>
      <c r="P68" s="78"/>
      <c r="Q68" s="78"/>
      <c r="R68" s="78"/>
      <c r="S68" s="78"/>
      <c r="T68" s="78"/>
      <c r="U68" s="78"/>
      <c r="V68" s="78"/>
      <c r="W68" s="78"/>
    </row>
    <row r="69" ht="16.350000000000001" customHeight="1">
      <c r="A69" s="407"/>
      <c r="B69" s="406" t="s">
        <v>395</v>
      </c>
      <c r="C69" s="411" t="n">
        <f>'ARP Score'!AJ16</f>
        <v>362.04999999999995</v>
      </c>
      <c r="D69" s="78"/>
      <c r="E69" s="353"/>
      <c r="F69" s="78"/>
      <c r="G69" s="78"/>
      <c r="H69" s="78"/>
      <c r="I69" s="78"/>
      <c r="J69" s="78"/>
      <c r="K69" s="78"/>
      <c r="L69" s="78"/>
      <c r="M69" s="78"/>
      <c r="N69" s="78"/>
      <c r="O69" s="78"/>
      <c r="P69" s="78"/>
      <c r="Q69" s="78"/>
      <c r="R69" s="78"/>
      <c r="S69" s="78"/>
      <c r="T69" s="78"/>
      <c r="U69" s="78"/>
      <c r="V69" s="78"/>
      <c r="W69" s="78"/>
    </row>
    <row r="70" ht="15" customHeight="1">
      <c r="A70" s="331"/>
      <c r="B70" s="406" t="s">
        <v>150</v>
      </c>
      <c r="C70" s="411" t="n">
        <f>'ARP Score'!AL16</f>
        <v>169.16899999999998</v>
      </c>
      <c r="D70" s="78"/>
      <c r="E70" s="353"/>
      <c r="F70" s="78"/>
      <c r="G70" s="78"/>
      <c r="H70" s="78"/>
      <c r="I70" s="78"/>
      <c r="J70" s="78"/>
      <c r="K70" s="78"/>
      <c r="L70" s="78"/>
      <c r="M70" s="78"/>
      <c r="N70" s="78"/>
      <c r="O70" s="78"/>
      <c r="P70" s="78"/>
      <c r="Q70" s="409"/>
      <c r="R70" s="78"/>
      <c r="S70" s="78"/>
      <c r="T70" s="78"/>
      <c r="U70" s="78"/>
      <c r="V70" s="78"/>
      <c r="W70" s="78"/>
    </row>
    <row r="71">
      <c r="A71" s="331"/>
      <c r="B71" s="406" t="s">
        <v>152</v>
      </c>
      <c r="C71" s="411" t="n">
        <f>'ARP Score'!AK16</f>
        <v>8.5</v>
      </c>
      <c r="D71" s="78"/>
      <c r="E71" s="353"/>
      <c r="F71" s="78"/>
      <c r="G71" s="78"/>
      <c r="H71" s="78"/>
      <c r="I71" s="78"/>
      <c r="J71" s="78"/>
      <c r="K71" s="78"/>
      <c r="L71" s="78"/>
      <c r="M71" s="78"/>
      <c r="N71" s="78"/>
      <c r="O71" s="78"/>
      <c r="P71" s="78"/>
      <c r="Q71" s="78"/>
      <c r="R71" s="78"/>
      <c r="S71" s="78"/>
      <c r="T71" s="78"/>
      <c r="U71" s="78"/>
      <c r="V71" s="78"/>
      <c r="W71" s="78"/>
    </row>
    <row r="72" ht="17.25" customHeight="1">
      <c r="A72" s="407"/>
      <c r="B72" s="406" t="s">
        <v>411</v>
      </c>
      <c r="C72" s="411" t="n">
        <f>'ARP Score'!AM16</f>
        <v>0.79700000000000004</v>
      </c>
      <c r="D72" s="78"/>
      <c r="E72" s="353"/>
      <c r="F72" s="78"/>
      <c r="G72" s="78"/>
      <c r="H72" s="78"/>
      <c r="I72" s="78"/>
      <c r="J72" s="78"/>
      <c r="K72" s="78"/>
      <c r="L72" s="78"/>
      <c r="M72" s="78"/>
      <c r="N72" s="78"/>
      <c r="O72" s="78"/>
      <c r="P72" s="78"/>
      <c r="Q72" s="78"/>
      <c r="R72" s="78"/>
      <c r="S72" s="78"/>
      <c r="T72" s="78"/>
      <c r="U72" s="78"/>
      <c r="V72" s="78"/>
      <c r="W72" s="78"/>
    </row>
    <row r="73" ht="17.25" customHeight="1">
      <c r="A73" s="407"/>
      <c r="B73" s="408" t="s">
        <v>421</v>
      </c>
      <c r="C73" s="412" t="n">
        <f>'ARP Score'!AN16</f>
        <v>8.6</v>
      </c>
      <c r="D73" s="410"/>
      <c r="E73" s="394"/>
      <c r="F73" s="78"/>
      <c r="G73" s="78"/>
      <c r="H73" s="78"/>
      <c r="I73" s="78"/>
      <c r="J73" s="78"/>
      <c r="K73" s="78"/>
      <c r="L73" s="78"/>
      <c r="M73" s="78"/>
      <c r="N73" s="78"/>
      <c r="O73" s="78"/>
      <c r="P73" s="78"/>
      <c r="Q73" s="78"/>
      <c r="R73" s="78"/>
      <c r="S73" s="78"/>
      <c r="T73" s="78"/>
      <c r="U73" s="78"/>
      <c r="V73" s="78"/>
      <c r="W73" s="78"/>
    </row>
    <row r="74" ht="17.25" customHeight="1">
      <c r="B74" s="406"/>
      <c r="C74" s="97"/>
      <c r="D74" s="97"/>
      <c r="E74" s="97"/>
      <c r="F74" s="97"/>
      <c r="G74" s="97"/>
      <c r="H74" s="78"/>
      <c r="I74" s="78"/>
      <c r="J74" s="78"/>
      <c r="K74" s="78"/>
      <c r="L74" s="78"/>
      <c r="M74" s="78"/>
      <c r="N74" s="78"/>
      <c r="O74" s="78"/>
      <c r="P74" s="78"/>
      <c r="Q74" s="78"/>
      <c r="R74" s="78"/>
      <c r="S74" s="78"/>
      <c r="T74" s="78"/>
      <c r="U74" s="78"/>
      <c r="V74" s="78"/>
      <c r="W74" s="78"/>
      <c r="X74" s="78"/>
      <c r="Y74" s="78"/>
      <c r="Z74" s="78"/>
      <c r="AA74" s="78"/>
      <c r="AB74" s="78"/>
      <c r="AC74" s="78"/>
      <c r="AD74" s="78"/>
      <c r="AE74" s="78"/>
    </row>
    <row r="75" ht="17.25" customHeight="1">
      <c r="B75" s="391" t="s">
        <v>422</v>
      </c>
      <c r="C75" s="97"/>
      <c r="D75" s="97"/>
      <c r="E75" s="97"/>
      <c r="F75" s="97"/>
      <c r="G75" s="97"/>
      <c r="H75" s="78"/>
      <c r="I75" s="78"/>
      <c r="J75" s="78"/>
      <c r="K75" s="78"/>
      <c r="L75" s="78"/>
      <c r="M75" s="78"/>
      <c r="N75" s="78"/>
      <c r="O75" s="78"/>
      <c r="P75" s="78"/>
      <c r="Q75" s="78"/>
      <c r="R75" s="78"/>
      <c r="S75" s="78"/>
      <c r="T75" s="78"/>
      <c r="U75" s="78"/>
      <c r="V75" s="78"/>
      <c r="W75" s="78"/>
      <c r="X75" s="78"/>
      <c r="Y75" s="78"/>
      <c r="Z75" s="78"/>
      <c r="AA75" s="78"/>
      <c r="AB75" s="78"/>
      <c r="AC75" s="78"/>
      <c r="AD75" s="78"/>
      <c r="AE75" s="78"/>
    </row>
    <row r="76" ht="14.85" customHeight="1">
      <c r="B76" s="237" t="s">
        <v>423</v>
      </c>
      <c r="C76" s="238"/>
      <c r="D76" s="247" t="s">
        <v>325</v>
      </c>
      <c r="E76" s="248"/>
      <c r="F76" s="248"/>
      <c r="G76" s="248"/>
      <c r="H76" s="248"/>
      <c r="I76" s="248"/>
      <c r="J76" s="248"/>
      <c r="K76" s="248"/>
      <c r="L76" s="248"/>
      <c r="M76" s="248"/>
      <c r="N76" s="248"/>
      <c r="O76" s="248"/>
      <c r="P76" s="248"/>
      <c r="Q76" s="248"/>
      <c r="R76" s="248"/>
      <c r="S76" s="248"/>
      <c r="T76" s="249"/>
      <c r="U76" s="250" t="s">
        <v>326</v>
      </c>
      <c r="V76" s="251"/>
      <c r="W76" s="251"/>
      <c r="X76" s="251"/>
      <c r="Y76" s="251"/>
      <c r="Z76" s="251"/>
      <c r="AA76" s="251"/>
      <c r="AB76" s="251"/>
      <c r="AC76" s="252"/>
      <c r="AD76" s="221"/>
      <c r="AE76" s="221"/>
    </row>
    <row r="77">
      <c r="B77" s="239"/>
      <c r="C77" s="240"/>
      <c r="D77" s="198" t="n">
        <v>2018</v>
      </c>
      <c r="E77" s="198" t="n">
        <v>2019</v>
      </c>
      <c r="F77" s="235"/>
      <c r="G77" s="235"/>
      <c r="H77" s="236"/>
      <c r="I77" s="198" t="n">
        <v>2020</v>
      </c>
      <c r="J77" s="235"/>
      <c r="K77" s="235"/>
      <c r="L77" s="235"/>
      <c r="M77" s="198" t="n">
        <v>2021</v>
      </c>
      <c r="N77" s="235"/>
      <c r="O77" s="235"/>
      <c r="P77" s="235"/>
      <c r="Q77" s="245" t="n">
        <v>2022</v>
      </c>
      <c r="R77" s="246"/>
      <c r="S77" s="263"/>
      <c r="T77" s="276"/>
      <c r="U77" s="241" t="n">
        <v>2023</v>
      </c>
      <c r="V77" s="242"/>
      <c r="W77" s="242"/>
      <c r="X77" s="242"/>
      <c r="Y77" s="244" t="n">
        <v>2024</v>
      </c>
      <c r="Z77" s="242"/>
      <c r="AA77" s="242"/>
      <c r="AB77" s="243"/>
      <c r="AC77" s="290" t="n">
        <v>2025</v>
      </c>
      <c r="AD77" s="264"/>
      <c r="AE77" s="264"/>
    </row>
    <row r="78">
      <c r="B78" s="319"/>
      <c r="C78" s="320"/>
      <c r="D78" s="204" t="s">
        <v>327</v>
      </c>
      <c r="E78" s="204" t="s">
        <v>328</v>
      </c>
      <c r="F78" s="217" t="s">
        <v>329</v>
      </c>
      <c r="G78" s="217" t="s">
        <v>238</v>
      </c>
      <c r="H78" s="200" t="s">
        <v>327</v>
      </c>
      <c r="I78" s="217" t="s">
        <v>328</v>
      </c>
      <c r="J78" s="217" t="s">
        <v>329</v>
      </c>
      <c r="K78" s="217" t="s">
        <v>238</v>
      </c>
      <c r="L78" s="217" t="s">
        <v>327</v>
      </c>
      <c r="M78" s="204" t="s">
        <v>328</v>
      </c>
      <c r="N78" s="217" t="s">
        <v>329</v>
      </c>
      <c r="O78" s="217" t="s">
        <v>238</v>
      </c>
      <c r="P78" s="217" t="s">
        <v>327</v>
      </c>
      <c r="Q78" s="204" t="s">
        <v>328</v>
      </c>
      <c r="R78" s="217" t="s">
        <v>329</v>
      </c>
      <c r="S78" s="217" t="s">
        <v>238</v>
      </c>
      <c r="T78" s="200" t="s">
        <v>327</v>
      </c>
      <c r="U78" s="350" t="s">
        <v>328</v>
      </c>
      <c r="V78" s="350" t="s">
        <v>329</v>
      </c>
      <c r="W78" s="350" t="s">
        <v>238</v>
      </c>
      <c r="X78" s="350" t="s">
        <v>327</v>
      </c>
      <c r="Y78" s="418" t="s">
        <v>328</v>
      </c>
      <c r="Z78" s="283" t="s">
        <v>329</v>
      </c>
      <c r="AA78" s="350" t="s">
        <v>238</v>
      </c>
      <c r="AB78" s="348" t="s">
        <v>327</v>
      </c>
      <c r="AC78" s="443" t="s">
        <v>328</v>
      </c>
      <c r="AD78" s="264"/>
      <c r="AE78" s="264"/>
    </row>
    <row r="79" ht="29.25" customHeight="1">
      <c r="B79" s="430" t="s">
        <v>424</v>
      </c>
      <c r="C79" s="449"/>
      <c r="D79" s="373"/>
      <c r="E79" s="374"/>
      <c r="F79" s="374"/>
      <c r="G79" s="374"/>
      <c r="H79" s="365" t="n">
        <f t="shared" ref="H79:O79" si="21">SUM(H81:H89)</f>
        <v>205.80500000000001</v>
      </c>
      <c r="I79" s="365" t="n">
        <f t="shared" si="21"/>
        <v>210.29200000000003</v>
      </c>
      <c r="J79" s="365" t="n">
        <f t="shared" si="21"/>
        <v>325.28399999999999</v>
      </c>
      <c r="K79" s="365" t="n">
        <f t="shared" si="21"/>
        <v>297.32000000000005</v>
      </c>
      <c r="L79" s="365" t="n">
        <f t="shared" si="21"/>
        <v>289.54199999999997</v>
      </c>
      <c r="M79" s="365" t="n">
        <f t="shared" si="21"/>
        <v>315.67900000000003</v>
      </c>
      <c r="N79" s="365" t="n">
        <f t="shared" si="21"/>
        <v>361.52700000000004</v>
      </c>
      <c r="O79" s="365" t="n">
        <f t="shared" si="21"/>
        <v>374.99100000000004</v>
      </c>
      <c r="P79" s="365" t="n">
        <f>SUM(P81:P90)</f>
        <v>401.58485200000007</v>
      </c>
      <c r="Q79" s="365" t="n">
        <f>SUM(Q81:Q90)</f>
        <v>438.45827479999997</v>
      </c>
      <c r="R79" s="365" t="n">
        <f>SUM(R81:R90)</f>
        <v>505.04903199999995</v>
      </c>
      <c r="S79" s="365" t="n">
        <f>SUM(S81:S90)</f>
        <v>492.38786800000003</v>
      </c>
      <c r="T79" s="366" t="n">
        <f t="shared" ref="T79:AC79" si="22">SUM(T81:T90)</f>
        <v>418.716928</v>
      </c>
      <c r="U79" s="358" t="n">
        <f t="shared" si="22"/>
        <v>395.55067787919143</v>
      </c>
      <c r="V79" s="395" t="n">
        <f t="shared" si="22"/>
        <v>399.37536121583202</v>
      </c>
      <c r="W79" s="395" t="n">
        <f t="shared" si="22"/>
        <v>397.7223326820897</v>
      </c>
      <c r="X79" s="395" t="n">
        <f t="shared" si="22"/>
        <v>397.59845066666662</v>
      </c>
      <c r="Y79" s="395" t="n">
        <f t="shared" si="22"/>
        <v>385.69919062635915</v>
      </c>
      <c r="Z79" s="395" t="n">
        <f t="shared" si="22"/>
        <v>365.34301490446529</v>
      </c>
      <c r="AA79" s="395" t="n">
        <f t="shared" si="22"/>
        <v>369.30407374937334</v>
      </c>
      <c r="AB79" s="395" t="n">
        <f t="shared" si="22"/>
        <v>373.5511150333333</v>
      </c>
      <c r="AC79" s="396" t="n">
        <f t="shared" si="22"/>
        <v>356.21123877141349</v>
      </c>
      <c r="AD79" s="359"/>
      <c r="AE79" s="359"/>
    </row>
    <row r="80" ht="19.350000000000001" customHeight="1">
      <c r="B80" s="459" t="s">
        <v>425</v>
      </c>
      <c r="C80" s="372"/>
      <c r="D80" s="466"/>
      <c r="E80" s="372"/>
      <c r="F80" s="372"/>
      <c r="G80" s="372"/>
      <c r="H80" s="359"/>
      <c r="I80" s="359"/>
      <c r="J80" s="359"/>
      <c r="K80" s="359"/>
      <c r="L80" s="359"/>
      <c r="M80" s="359"/>
      <c r="N80" s="359"/>
      <c r="O80" s="359"/>
      <c r="P80" s="359"/>
      <c r="Q80" s="359"/>
      <c r="R80" s="359"/>
      <c r="S80" s="359"/>
      <c r="T80" s="362"/>
      <c r="U80" s="383"/>
      <c r="V80" s="383"/>
      <c r="W80" s="383"/>
      <c r="X80" s="383"/>
      <c r="Y80" s="383"/>
      <c r="Z80" s="383"/>
      <c r="AA80" s="383"/>
      <c r="AB80" s="383"/>
      <c r="AC80" s="425"/>
      <c r="AD80" s="359"/>
      <c r="AE80" s="359"/>
    </row>
    <row r="81">
      <c r="B81" s="347" t="s">
        <v>152</v>
      </c>
      <c r="C81" s="77"/>
      <c r="D81" s="335"/>
      <c r="E81" s="77"/>
      <c r="F81" s="77"/>
      <c r="G81" s="77"/>
      <c r="H81" s="360"/>
      <c r="I81" s="360"/>
      <c r="J81" s="360" t="n">
        <f t="shared" ref="J81:AC81" si="23">J14</f>
        <v>64.400000000000006</v>
      </c>
      <c r="K81" s="360" t="n">
        <f t="shared" si="23"/>
        <v>23.4</v>
      </c>
      <c r="L81" s="360" t="n">
        <f t="shared" si="23"/>
        <v>13.8</v>
      </c>
      <c r="M81" s="360" t="n">
        <f t="shared" si="23"/>
        <v>12</v>
      </c>
      <c r="N81" s="360" t="n">
        <f t="shared" si="23"/>
        <v>7.5</v>
      </c>
      <c r="O81" s="360" t="n">
        <f t="shared" si="23"/>
        <v>10.5</v>
      </c>
      <c r="P81" s="360" t="n">
        <f t="shared" si="23"/>
        <v>18</v>
      </c>
      <c r="Q81" s="360" t="n">
        <f t="shared" si="23"/>
        <v>15</v>
      </c>
      <c r="R81" s="360" t="n">
        <f t="shared" si="23"/>
        <v>11.2</v>
      </c>
      <c r="S81" s="360" t="n">
        <f t="shared" si="23"/>
        <v>7.5</v>
      </c>
      <c r="T81" s="363" t="n">
        <f t="shared" si="23"/>
        <v>6.2</v>
      </c>
      <c r="U81" s="384" t="n">
        <f t="shared" si="23"/>
        <v>0</v>
      </c>
      <c r="V81" s="384" t="n">
        <f t="shared" si="23"/>
        <v>0</v>
      </c>
      <c r="W81" s="384" t="n">
        <f t="shared" si="23"/>
        <v>0</v>
      </c>
      <c r="X81" s="384" t="n">
        <f t="shared" si="23"/>
        <v>0</v>
      </c>
      <c r="Y81" s="384" t="n">
        <f t="shared" si="23"/>
        <v>0</v>
      </c>
      <c r="Z81" s="384" t="n">
        <f t="shared" si="23"/>
        <v>0</v>
      </c>
      <c r="AA81" s="384" t="n">
        <f t="shared" si="23"/>
        <v>0</v>
      </c>
      <c r="AB81" s="384" t="n">
        <f t="shared" si="23"/>
        <v>0</v>
      </c>
      <c r="AC81" s="428" t="n">
        <f t="shared" si="23"/>
        <v>0</v>
      </c>
      <c r="AD81" s="360"/>
      <c r="AE81" s="360"/>
    </row>
    <row r="82">
      <c r="B82" s="347" t="s">
        <v>390</v>
      </c>
      <c r="C82" s="77"/>
      <c r="D82" s="335"/>
      <c r="E82" s="77"/>
      <c r="F82" s="77"/>
      <c r="G82" s="77"/>
      <c r="H82" s="360"/>
      <c r="I82" s="360"/>
      <c r="J82" s="360"/>
      <c r="K82" s="360"/>
      <c r="L82" s="360"/>
      <c r="M82" s="360" t="n">
        <f>M34</f>
        <v>9.6666666666666661</v>
      </c>
      <c r="N82" s="360" t="n">
        <f t="shared" ref="N82:AC82" si="24">N34</f>
        <v>9.6666666666666661</v>
      </c>
      <c r="O82" s="360" t="n">
        <f t="shared" si="24"/>
        <v>9.6666666666666661</v>
      </c>
      <c r="P82" s="360" t="n">
        <f t="shared" si="24"/>
        <v>9.6666666666666661</v>
      </c>
      <c r="Q82" s="360" t="n">
        <f>Q34</f>
        <v>9.6666666666666661</v>
      </c>
      <c r="R82" s="360" t="n">
        <f>R34</f>
        <v>9.6666666666666661</v>
      </c>
      <c r="S82" s="360" t="n">
        <f>S34</f>
        <v>9.6666666666666661</v>
      </c>
      <c r="T82" s="363" t="n">
        <f t="shared" si="24"/>
        <v>9.6666666666666661</v>
      </c>
      <c r="U82" s="384" t="n">
        <f t="shared" si="24"/>
        <v>9.6666666666666661</v>
      </c>
      <c r="V82" s="384" t="n">
        <f t="shared" si="24"/>
        <v>9.6666666666666661</v>
      </c>
      <c r="W82" s="384" t="n">
        <f t="shared" si="24"/>
        <v>9.6666666666666661</v>
      </c>
      <c r="X82" s="384" t="n">
        <f t="shared" si="24"/>
        <v>9.6666666666666661</v>
      </c>
      <c r="Y82" s="384" t="n">
        <f t="shared" si="24"/>
        <v>0</v>
      </c>
      <c r="Z82" s="384" t="n">
        <f t="shared" si="24"/>
        <v>0</v>
      </c>
      <c r="AA82" s="384" t="n">
        <f t="shared" si="24"/>
        <v>0</v>
      </c>
      <c r="AB82" s="384" t="n">
        <f t="shared" si="24"/>
        <v>0</v>
      </c>
      <c r="AC82" s="428" t="n">
        <f t="shared" si="24"/>
        <v>0</v>
      </c>
      <c r="AD82" s="360"/>
      <c r="AE82" s="360"/>
    </row>
    <row r="83">
      <c r="B83" s="347" t="s">
        <v>426</v>
      </c>
      <c r="C83" s="77"/>
      <c r="D83" s="335"/>
      <c r="E83" s="77"/>
      <c r="F83" s="77"/>
      <c r="G83" s="77"/>
      <c r="H83" s="360"/>
      <c r="I83" s="360"/>
      <c r="J83" s="360"/>
      <c r="K83" s="360"/>
      <c r="L83" s="360"/>
      <c r="M83" s="360" t="n">
        <f t="shared" ref="M83:AC83" si="25">M16</f>
        <v>12</v>
      </c>
      <c r="N83" s="360" t="n">
        <f t="shared" si="25"/>
        <v>12</v>
      </c>
      <c r="O83" s="360" t="n">
        <f t="shared" si="25"/>
        <v>12</v>
      </c>
      <c r="P83" s="360" t="n">
        <f t="shared" si="25"/>
        <v>12</v>
      </c>
      <c r="Q83" s="360" t="n">
        <f t="shared" si="25"/>
        <v>12</v>
      </c>
      <c r="R83" s="360" t="n">
        <f t="shared" si="25"/>
        <v>12</v>
      </c>
      <c r="S83" s="360" t="n">
        <f t="shared" si="25"/>
        <v>12</v>
      </c>
      <c r="T83" s="363" t="n">
        <f t="shared" si="25"/>
        <v>12</v>
      </c>
      <c r="U83" s="384" t="n">
        <f t="shared" si="25"/>
        <v>12</v>
      </c>
      <c r="V83" s="384" t="n">
        <f t="shared" si="25"/>
        <v>12</v>
      </c>
      <c r="W83" s="384" t="n">
        <f t="shared" si="25"/>
        <v>12</v>
      </c>
      <c r="X83" s="384" t="n">
        <f t="shared" si="25"/>
        <v>12</v>
      </c>
      <c r="Y83" s="384" t="n">
        <f t="shared" si="25"/>
        <v>0</v>
      </c>
      <c r="Z83" s="384" t="n">
        <f t="shared" si="25"/>
        <v>0</v>
      </c>
      <c r="AA83" s="384" t="n">
        <f t="shared" si="25"/>
        <v>0</v>
      </c>
      <c r="AB83" s="384" t="n">
        <f t="shared" si="25"/>
        <v>0</v>
      </c>
      <c r="AC83" s="428" t="n">
        <f t="shared" si="25"/>
        <v>0</v>
      </c>
      <c r="AD83" s="360"/>
      <c r="AE83" s="360"/>
    </row>
    <row r="84">
      <c r="B84" s="347" t="s">
        <v>427</v>
      </c>
      <c r="C84" s="77"/>
      <c r="D84" s="335"/>
      <c r="E84" s="77"/>
      <c r="F84" s="77"/>
      <c r="G84" s="77"/>
      <c r="H84" s="80" t="n">
        <f t="shared" ref="H84:AC84" si="26">H20</f>
        <v>205.80500000000001</v>
      </c>
      <c r="I84" s="80" t="n">
        <f t="shared" si="26"/>
        <v>210.29200000000003</v>
      </c>
      <c r="J84" s="80" t="n">
        <f t="shared" si="26"/>
        <v>197.48400000000004</v>
      </c>
      <c r="K84" s="80" t="n">
        <f t="shared" si="26"/>
        <v>213.12000000000006</v>
      </c>
      <c r="L84" s="80" t="n">
        <f t="shared" si="26"/>
        <v>215.54199999999997</v>
      </c>
      <c r="M84" s="80" t="n">
        <f t="shared" si="26"/>
        <v>213.11233333333337</v>
      </c>
      <c r="N84" s="80" t="n">
        <f t="shared" si="26"/>
        <v>224.76033333333339</v>
      </c>
      <c r="O84" s="80" t="n">
        <f t="shared" si="26"/>
        <v>222.12433333333337</v>
      </c>
      <c r="P84" s="80" t="n">
        <f t="shared" si="26"/>
        <v>250.09733333333338</v>
      </c>
      <c r="Q84" s="80" t="n">
        <f t="shared" si="26"/>
        <v>253.39533333333327</v>
      </c>
      <c r="R84" s="80" t="n">
        <f t="shared" si="26"/>
        <v>266.9323333333333</v>
      </c>
      <c r="S84" s="80" t="n">
        <f t="shared" si="26"/>
        <v>265.62533333333334</v>
      </c>
      <c r="T84" s="364" t="n">
        <f t="shared" si="26"/>
        <v>196.24333333333334</v>
      </c>
      <c r="U84" s="385" t="n">
        <f t="shared" si="26"/>
        <v>198.17699867919148</v>
      </c>
      <c r="V84" s="385" t="n">
        <f t="shared" si="26"/>
        <v>200.12971721583202</v>
      </c>
      <c r="W84" s="385" t="n">
        <f t="shared" si="26"/>
        <v>202.10167668208979</v>
      </c>
      <c r="X84" s="385" t="n">
        <f t="shared" si="26"/>
        <v>204.09306666666666</v>
      </c>
      <c r="Y84" s="385" t="n">
        <f t="shared" si="26"/>
        <v>206.10407862635913</v>
      </c>
      <c r="Z84" s="385" t="n">
        <f t="shared" si="26"/>
        <v>208.13490590446528</v>
      </c>
      <c r="AA84" s="385" t="n">
        <f t="shared" si="26"/>
        <v>210.18574374937336</v>
      </c>
      <c r="AB84" s="385" t="n">
        <f t="shared" si="26"/>
        <v>212.25678933333333</v>
      </c>
      <c r="AC84" s="426" t="n">
        <f t="shared" si="26"/>
        <v>214.34824177141348</v>
      </c>
      <c r="AD84" s="80"/>
      <c r="AE84" s="80"/>
    </row>
    <row r="85">
      <c r="B85" s="347" t="s">
        <v>1261</v>
      </c>
      <c r="C85" s="77"/>
      <c r="D85" s="335"/>
      <c r="E85" s="77"/>
      <c r="F85" s="77"/>
      <c r="G85" s="77"/>
      <c r="H85" s="80"/>
      <c r="I85" s="80"/>
      <c r="J85" s="80"/>
      <c r="K85" s="80"/>
      <c r="L85" s="80"/>
      <c r="M85" s="80"/>
      <c r="N85" s="80"/>
      <c r="O85" s="80"/>
      <c r="P85" s="80"/>
      <c r="Q85" s="80"/>
      <c r="R85" s="80"/>
      <c r="S85" s="336" t="n">
        <f>'IRA and CHIPS'!E184</f>
        <v>0</v>
      </c>
      <c r="T85" s="337" t="n">
        <f>'IRA and CHIPS'!F184</f>
        <v>6.8000000000000005E-2</v>
      </c>
      <c r="U85" s="338" t="n">
        <f>'IRA and CHIPS'!G184</f>
        <v>6.8000000000000005E-2</v>
      </c>
      <c r="V85" s="338" t="n">
        <f>'IRA and CHIPS'!H184</f>
        <v>6.8000000000000005E-2</v>
      </c>
      <c r="W85" s="338" t="n">
        <f>'IRA and CHIPS'!I184</f>
        <v>6.8000000000000005E-2</v>
      </c>
      <c r="X85" s="338" t="n">
        <f>'IRA and CHIPS'!J184</f>
        <v>1.363</v>
      </c>
      <c r="Y85" s="338" t="n">
        <f>'IRA and CHIPS'!K184</f>
        <v>1.363</v>
      </c>
      <c r="Z85" s="338" t="n">
        <f>'IRA and CHIPS'!L184</f>
        <v>1.363</v>
      </c>
      <c r="AA85" s="338" t="n">
        <f>'IRA and CHIPS'!M184</f>
        <v>1.363</v>
      </c>
      <c r="AB85" s="338" t="n">
        <f>'IRA and CHIPS'!N184</f>
        <v>2.4329999999999998</v>
      </c>
      <c r="AC85" s="338" t="n">
        <f>'IRA and CHIPS'!O184</f>
        <v>2.4329999999999998</v>
      </c>
      <c r="AD85" s="80"/>
      <c r="AE85" s="80"/>
    </row>
    <row r="86" ht="14.85" customHeight="1">
      <c r="B86" s="427" t="s">
        <v>428</v>
      </c>
      <c r="C86" s="77"/>
      <c r="D86" s="335"/>
      <c r="E86" s="77"/>
      <c r="F86" s="77"/>
      <c r="G86" s="77"/>
      <c r="H86" s="360"/>
      <c r="I86" s="360"/>
      <c r="J86" s="360"/>
      <c r="K86" s="360"/>
      <c r="L86" s="360"/>
      <c r="M86" s="360"/>
      <c r="N86" s="360"/>
      <c r="O86" s="360"/>
      <c r="P86" s="360"/>
      <c r="Q86" s="360"/>
      <c r="R86" s="360"/>
      <c r="S86" s="360"/>
      <c r="T86" s="363"/>
      <c r="U86" s="384"/>
      <c r="V86" s="384"/>
      <c r="W86" s="384"/>
      <c r="X86" s="384"/>
      <c r="Y86" s="384"/>
      <c r="Z86" s="384"/>
      <c r="AA86" s="384"/>
      <c r="AB86" s="384"/>
      <c r="AC86" s="428"/>
      <c r="AD86" s="360"/>
      <c r="AE86" s="360"/>
    </row>
    <row r="87" ht="14.85" customHeight="1">
      <c r="B87" s="347" t="s">
        <v>150</v>
      </c>
      <c r="C87" s="77"/>
      <c r="D87" s="335"/>
      <c r="E87" s="77"/>
      <c r="F87" s="77"/>
      <c r="G87" s="77"/>
      <c r="H87" s="360"/>
      <c r="I87" s="360"/>
      <c r="J87" s="360" t="n">
        <f t="shared" ref="J87:T87" si="27">J13</f>
        <v>28.4</v>
      </c>
      <c r="K87" s="360" t="n">
        <f t="shared" si="27"/>
        <v>15.8</v>
      </c>
      <c r="L87" s="360" t="n">
        <f t="shared" si="27"/>
        <v>15.2</v>
      </c>
      <c r="M87" s="360" t="n">
        <f t="shared" si="27"/>
        <v>28.9</v>
      </c>
      <c r="N87" s="360" t="n">
        <f t="shared" si="27"/>
        <v>67.599999999999994</v>
      </c>
      <c r="O87" s="360" t="n">
        <f t="shared" si="27"/>
        <v>80.7</v>
      </c>
      <c r="P87" s="360" t="n">
        <f t="shared" si="27"/>
        <v>87.2</v>
      </c>
      <c r="Q87" s="360" t="n">
        <f t="shared" si="27"/>
        <v>72.400000000000006</v>
      </c>
      <c r="R87" s="360" t="n">
        <f t="shared" si="27"/>
        <v>85.9</v>
      </c>
      <c r="S87" s="361" t="n">
        <f t="shared" si="27"/>
        <v>68.3</v>
      </c>
      <c r="T87" s="375" t="n">
        <f t="shared" si="27"/>
        <v>64</v>
      </c>
      <c r="U87" s="384" t="n">
        <f>U31+U35+'ARP Quarterly'!K28</f>
        <v>55.516469333333305</v>
      </c>
      <c r="V87" s="384" t="n">
        <f>V31+V35+'ARP Quarterly'!L28</f>
        <v>58.594257333333303</v>
      </c>
      <c r="W87" s="384" t="n">
        <f>W31+W35+'ARP Quarterly'!M28</f>
        <v>61.672045333333294</v>
      </c>
      <c r="X87" s="384" t="n">
        <f>X31+X35+'ARP Quarterly'!N28</f>
        <v>63.261773333333295</v>
      </c>
      <c r="Y87" s="384" t="n">
        <f>Y31+Y35+'ARP Quarterly'!O28</f>
        <v>61.518167999999996</v>
      </c>
      <c r="Z87" s="384" t="n">
        <f>Z31+Z35+'ARP Quarterly'!P28</f>
        <v>44.428388999999996</v>
      </c>
      <c r="AA87" s="384" t="n">
        <f>AA31+AA35+'ARP Quarterly'!Q28</f>
        <v>46.338610000000003</v>
      </c>
      <c r="AB87" s="384" t="n">
        <f>AB31+AB35+'ARP Quarterly'!R28</f>
        <v>47.279744500000007</v>
      </c>
      <c r="AC87" s="428" t="n">
        <f>AC31+AC35+'ARP Quarterly'!S28</f>
        <v>46.283419000000009</v>
      </c>
      <c r="AD87" s="360"/>
      <c r="AE87" s="360"/>
    </row>
    <row r="88">
      <c r="B88" s="347" t="s">
        <v>149</v>
      </c>
      <c r="C88" s="80"/>
      <c r="D88" s="467"/>
      <c r="E88" s="80"/>
      <c r="F88" s="80"/>
      <c r="G88" s="80"/>
      <c r="H88" s="360"/>
      <c r="I88" s="360"/>
      <c r="J88" s="360" t="n">
        <v>35</v>
      </c>
      <c r="K88" s="360" t="n">
        <v>45</v>
      </c>
      <c r="L88" s="360" t="n">
        <v>45</v>
      </c>
      <c r="M88" s="360" t="n">
        <v>40</v>
      </c>
      <c r="N88" s="360" t="n">
        <v>40</v>
      </c>
      <c r="O88" s="360" t="n">
        <v>40</v>
      </c>
      <c r="P88" s="360" t="n">
        <v>40</v>
      </c>
      <c r="Q88" s="360" t="n">
        <v>50</v>
      </c>
      <c r="R88" s="360" t="n">
        <v>50</v>
      </c>
      <c r="S88" s="360" t="n">
        <v>50</v>
      </c>
      <c r="T88" s="363" t="n">
        <v>50</v>
      </c>
      <c r="U88" s="384" t="n">
        <v>40</v>
      </c>
      <c r="V88" s="384" t="n">
        <v>30</v>
      </c>
      <c r="W88" s="384" t="n">
        <v>20</v>
      </c>
      <c r="X88" s="384" t="n">
        <v>15</v>
      </c>
      <c r="Y88" s="384" t="n">
        <v>10</v>
      </c>
      <c r="Z88" s="384"/>
      <c r="AA88" s="384"/>
      <c r="AB88" s="384"/>
      <c r="AC88" s="428"/>
      <c r="AD88" s="121" t="n">
        <f>SUM(O88:AC88)</f>
        <v>395</v>
      </c>
    </row>
    <row r="89" ht="28.5" customHeight="1">
      <c r="B89" s="387" t="s">
        <v>429</v>
      </c>
      <c r="C89" s="405"/>
      <c r="D89" s="335"/>
      <c r="E89" s="77"/>
      <c r="F89" s="77"/>
      <c r="G89" s="77"/>
      <c r="H89" s="360"/>
      <c r="I89" s="360"/>
      <c r="J89" s="360"/>
      <c r="K89" s="360"/>
      <c r="L89" s="360"/>
      <c r="M89" s="360"/>
      <c r="N89" s="360" t="n">
        <f>'ARP Quarterly'!D47</f>
        <v>0</v>
      </c>
      <c r="O89" s="360" t="n">
        <f>'ARP Quarterly'!E47</f>
        <v>0</v>
      </c>
      <c r="P89" s="360" t="n">
        <f>'ARP Quarterly'!F47</f>
        <v>34.620851999999999</v>
      </c>
      <c r="Q89" s="360" t="n">
        <f>'ARP Quarterly'!G47</f>
        <v>50.996274799999995</v>
      </c>
      <c r="R89" s="360" t="n">
        <f>'ARP Quarterly'!H47</f>
        <v>69.350031999999999</v>
      </c>
      <c r="S89" s="360" t="n">
        <f>'ARP Quarterly'!I47</f>
        <v>79.295867999999999</v>
      </c>
      <c r="T89" s="363" t="n">
        <f>'ARP Quarterly'!J47</f>
        <v>80.538927999999999</v>
      </c>
      <c r="U89" s="441" t="n">
        <f>'ARP Quarterly'!K47</f>
        <v>80.122543199999996</v>
      </c>
      <c r="V89" s="441" t="n">
        <f>'ARP Quarterly'!L47</f>
        <v>88.916719999999998</v>
      </c>
      <c r="W89" s="441" t="n">
        <f>'ARP Quarterly'!M47</f>
        <v>92.213943999999998</v>
      </c>
      <c r="X89" s="441" t="n">
        <f>'ARP Quarterly'!N47</f>
        <v>92.213943999999998</v>
      </c>
      <c r="Y89" s="441" t="n">
        <f>'ARP Quarterly'!O47</f>
        <v>94.213943999999998</v>
      </c>
      <c r="Z89" s="441" t="n">
        <f>'ARP Quarterly'!P47</f>
        <v>98.916719999999998</v>
      </c>
      <c r="AA89" s="441" t="n">
        <f>'ARP Quarterly'!Q47</f>
        <v>98.916719999999998</v>
      </c>
      <c r="AB89" s="441" t="n">
        <f>'ARP Quarterly'!R47</f>
        <v>99.081581199999988</v>
      </c>
      <c r="AC89" s="442" t="n">
        <f>'ARP Quarterly'!S47</f>
        <v>93.146578000000005</v>
      </c>
      <c r="AD89" s="422"/>
    </row>
    <row r="90" ht="55.35" customHeight="1">
      <c r="B90" s="397" t="s">
        <v>885</v>
      </c>
      <c r="C90" s="398"/>
      <c r="D90" s="333"/>
      <c r="E90" s="334"/>
      <c r="F90" s="334"/>
      <c r="G90" s="334"/>
      <c r="H90" s="334"/>
      <c r="I90" s="334"/>
      <c r="J90" s="334"/>
      <c r="K90" s="334"/>
      <c r="L90" s="334"/>
      <c r="M90" s="334"/>
      <c r="N90" s="334"/>
      <c r="O90" s="334"/>
      <c r="P90" s="334" t="n">
        <v>-50</v>
      </c>
      <c r="Q90" s="334" t="n">
        <v>-25</v>
      </c>
      <c r="R90" s="334"/>
      <c r="S90" s="334"/>
      <c r="T90" s="468"/>
      <c r="U90" s="398"/>
      <c r="V90" s="398"/>
      <c r="W90" s="398"/>
      <c r="X90" s="398"/>
      <c r="Y90" s="398" t="n">
        <v>12.5</v>
      </c>
      <c r="Z90" s="398" t="n">
        <v>12.5</v>
      </c>
      <c r="AA90" s="398" t="n">
        <v>12.5</v>
      </c>
      <c r="AB90" s="398" t="n">
        <v>12.5</v>
      </c>
      <c r="AC90" s="399"/>
    </row>
    <row r="91" ht="12.75" customHeight="1"/>
    <row r="93">
      <c r="B93" s="233" t="s">
        <v>134</v>
      </c>
      <c r="C93" s="233"/>
      <c r="D93" s="233"/>
      <c r="E93" s="233"/>
      <c r="F93" s="233"/>
      <c r="G93" s="233"/>
      <c r="H93" s="233"/>
      <c r="I93" s="233"/>
      <c r="J93" s="233"/>
      <c r="K93" s="233"/>
      <c r="L93" s="233"/>
      <c r="M93" s="233"/>
      <c r="N93" s="233"/>
      <c r="O93" s="233"/>
      <c r="P93" s="233"/>
      <c r="Q93" s="233"/>
      <c r="R93" s="233"/>
      <c r="S93" s="233"/>
      <c r="T93" s="233"/>
      <c r="U93" s="233"/>
      <c r="V93" s="233"/>
      <c r="W93" s="233"/>
      <c r="X93" s="233"/>
      <c r="Y93" s="233"/>
      <c r="Z93" s="233"/>
      <c r="AA93" s="233"/>
      <c r="AB93" s="233"/>
      <c r="AC93" s="233"/>
      <c r="AD93" s="221"/>
      <c r="AE93" s="221"/>
    </row>
    <row r="94" ht="19.350000000000001" customHeight="1">
      <c r="B94" s="234" t="s">
        <v>430</v>
      </c>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c r="AE94" s="234"/>
    </row>
    <row r="95" ht="11.85" customHeight="1">
      <c r="B95" s="265"/>
      <c r="C95" s="265"/>
      <c r="D95" s="265"/>
      <c r="E95" s="265"/>
      <c r="F95" s="265"/>
      <c r="G95" s="265"/>
      <c r="H95" s="265"/>
      <c r="I95" s="265"/>
      <c r="J95" s="265"/>
      <c r="K95" s="265"/>
      <c r="L95" s="265"/>
      <c r="M95" s="265"/>
      <c r="V95" s="264"/>
      <c r="W95" s="264"/>
      <c r="X95" s="264"/>
      <c r="Y95" s="264"/>
      <c r="Z95" s="264"/>
      <c r="AA95" s="264"/>
      <c r="AB95" s="264"/>
      <c r="AC95" s="264"/>
      <c r="AD95" s="264"/>
      <c r="AE95" s="264"/>
    </row>
    <row r="96" ht="14.85" customHeight="1">
      <c r="B96" s="237" t="s">
        <v>324</v>
      </c>
      <c r="C96" s="238"/>
      <c r="D96" s="247" t="s">
        <v>325</v>
      </c>
      <c r="E96" s="248"/>
      <c r="F96" s="248"/>
      <c r="G96" s="248"/>
      <c r="H96" s="248"/>
      <c r="I96" s="248"/>
      <c r="J96" s="248"/>
      <c r="K96" s="248"/>
      <c r="L96" s="248"/>
      <c r="M96" s="248"/>
      <c r="N96" s="248"/>
      <c r="O96" s="248"/>
      <c r="P96" s="248"/>
      <c r="Q96" s="332"/>
      <c r="R96" s="332"/>
      <c r="S96" s="332"/>
      <c r="T96" s="238"/>
      <c r="U96" s="251" t="s">
        <v>326</v>
      </c>
      <c r="V96" s="251"/>
      <c r="W96" s="251"/>
      <c r="X96" s="251"/>
      <c r="Y96" s="251"/>
      <c r="Z96" s="251"/>
      <c r="AA96" s="251"/>
      <c r="AB96" s="251"/>
      <c r="AC96" s="252"/>
      <c r="AD96" s="221"/>
      <c r="AE96" s="221"/>
    </row>
    <row r="97">
      <c r="B97" s="239"/>
      <c r="C97" s="240"/>
      <c r="D97" s="235" t="n">
        <v>2018</v>
      </c>
      <c r="E97" s="198" t="n">
        <v>2019</v>
      </c>
      <c r="F97" s="235"/>
      <c r="G97" s="235"/>
      <c r="H97" s="236"/>
      <c r="I97" s="198" t="n">
        <v>2020</v>
      </c>
      <c r="J97" s="235"/>
      <c r="K97" s="235"/>
      <c r="L97" s="235"/>
      <c r="M97" s="198" t="n">
        <v>2021</v>
      </c>
      <c r="N97" s="235"/>
      <c r="O97" s="235"/>
      <c r="P97" s="235"/>
      <c r="Q97" s="198" t="n">
        <v>2022</v>
      </c>
      <c r="R97" s="199"/>
      <c r="S97" s="199"/>
      <c r="T97" s="236"/>
      <c r="U97" s="241" t="n">
        <v>2023</v>
      </c>
      <c r="V97" s="242"/>
      <c r="W97" s="242"/>
      <c r="X97" s="242"/>
      <c r="Y97" s="244" t="n">
        <v>2024</v>
      </c>
      <c r="Z97" s="242"/>
      <c r="AA97" s="242"/>
      <c r="AB97" s="243"/>
      <c r="AC97" s="290" t="n">
        <v>2025</v>
      </c>
      <c r="AD97" s="264"/>
      <c r="AE97" s="264"/>
    </row>
    <row r="98">
      <c r="B98" s="239"/>
      <c r="C98" s="240"/>
      <c r="D98" s="217" t="s">
        <v>327</v>
      </c>
      <c r="E98" s="204" t="s">
        <v>328</v>
      </c>
      <c r="F98" s="217" t="s">
        <v>329</v>
      </c>
      <c r="G98" s="217" t="s">
        <v>238</v>
      </c>
      <c r="H98" s="200" t="s">
        <v>327</v>
      </c>
      <c r="I98" s="217" t="s">
        <v>328</v>
      </c>
      <c r="J98" s="217" t="s">
        <v>329</v>
      </c>
      <c r="K98" s="217" t="s">
        <v>238</v>
      </c>
      <c r="L98" s="217" t="s">
        <v>327</v>
      </c>
      <c r="M98" s="204" t="s">
        <v>328</v>
      </c>
      <c r="N98" s="217" t="s">
        <v>329</v>
      </c>
      <c r="O98" s="217" t="s">
        <v>238</v>
      </c>
      <c r="P98" s="217" t="s">
        <v>327</v>
      </c>
      <c r="Q98" s="204" t="s">
        <v>328</v>
      </c>
      <c r="R98" s="217" t="s">
        <v>329</v>
      </c>
      <c r="S98" s="217" t="s">
        <v>238</v>
      </c>
      <c r="T98" s="200" t="s">
        <v>327</v>
      </c>
      <c r="U98" s="304" t="s">
        <v>328</v>
      </c>
      <c r="V98" s="304" t="s">
        <v>329</v>
      </c>
      <c r="W98" s="304" t="s">
        <v>238</v>
      </c>
      <c r="X98" s="304" t="s">
        <v>327</v>
      </c>
      <c r="Y98" s="303" t="s">
        <v>328</v>
      </c>
      <c r="Z98" s="299" t="s">
        <v>329</v>
      </c>
      <c r="AA98" s="304" t="s">
        <v>238</v>
      </c>
      <c r="AB98" s="305" t="s">
        <v>327</v>
      </c>
      <c r="AC98" s="306" t="s">
        <v>328</v>
      </c>
      <c r="AD98" s="264"/>
      <c r="AE98" s="264"/>
    </row>
    <row r="99" ht="14.85" customHeight="1">
      <c r="B99" s="465" t="s">
        <v>431</v>
      </c>
      <c r="C99" s="367" t="s">
        <v>432</v>
      </c>
      <c r="D99" s="368"/>
      <c r="E99" s="369"/>
      <c r="F99" s="369"/>
      <c r="G99" s="369"/>
      <c r="H99" s="370" t="n">
        <f>'Haver Pivoted'!GS41</f>
        <v>72.367000000000004</v>
      </c>
      <c r="I99" s="370" t="n">
        <f>'Haver Pivoted'!GT41</f>
        <v>75.578999999999994</v>
      </c>
      <c r="J99" s="370" t="n">
        <f>'Haver Pivoted'!GU41</f>
        <v>76.015000000000001</v>
      </c>
      <c r="K99" s="370" t="n">
        <f>'Haver Pivoted'!GV41</f>
        <v>78.872</v>
      </c>
      <c r="L99" s="370" t="n">
        <f>'Haver Pivoted'!GW41</f>
        <v>75.819000000000003</v>
      </c>
      <c r="M99" s="370" t="n">
        <f>'Haver Pivoted'!GX41</f>
        <v>73.662000000000006</v>
      </c>
      <c r="N99" s="370" t="n">
        <f>'Haver Pivoted'!GY41</f>
        <v>75.066000000000003</v>
      </c>
      <c r="O99" s="370" t="n">
        <f>'Haver Pivoted'!GZ41</f>
        <v>69.344999999999999</v>
      </c>
      <c r="P99" s="370" t="n">
        <f>'Haver Pivoted'!HA41</f>
        <v>72.477000000000004</v>
      </c>
      <c r="Q99" s="370" t="n">
        <f>'Haver Pivoted'!HB41</f>
        <v>72.528999999999996</v>
      </c>
      <c r="R99" s="370" t="n">
        <f t="shared" ref="R99:S99" si="28">AVERAGE($H$99:$N$99)</f>
        <v>75.340000000000018</v>
      </c>
      <c r="S99" s="370" t="n">
        <f t="shared" si="28"/>
        <v>75.340000000000018</v>
      </c>
      <c r="T99" s="371" t="n">
        <f t="shared" ref="T99:AC99" si="29">AVERAGE($H$99:$N$99)+T100</f>
        <v>76.15900000000002</v>
      </c>
      <c r="U99" s="342" t="n">
        <f t="shared" si="29"/>
        <v>76.15900000000002</v>
      </c>
      <c r="V99" s="343" t="n">
        <f t="shared" si="29"/>
        <v>76.15900000000002</v>
      </c>
      <c r="W99" s="343" t="n">
        <f t="shared" si="29"/>
        <v>76.15900000000002</v>
      </c>
      <c r="X99" s="343" t="n">
        <f t="shared" si="29"/>
        <v>77.818000000000012</v>
      </c>
      <c r="Y99" s="343" t="n">
        <f t="shared" si="29"/>
        <v>77.818000000000012</v>
      </c>
      <c r="Z99" s="343" t="n">
        <f t="shared" si="29"/>
        <v>77.818000000000012</v>
      </c>
      <c r="AA99" s="343" t="n">
        <f t="shared" si="29"/>
        <v>77.818000000000012</v>
      </c>
      <c r="AB99" s="343" t="n">
        <f t="shared" si="29"/>
        <v>79.41200000000002</v>
      </c>
      <c r="AC99" s="344" t="n">
        <f t="shared" si="29"/>
        <v>79.41200000000002</v>
      </c>
      <c r="AD99" s="278"/>
      <c r="AE99" s="278"/>
    </row>
    <row r="100">
      <c r="B100" s="210" t="s">
        <v>1260</v>
      </c>
      <c r="C100" s="64"/>
      <c r="D100" s="210"/>
      <c r="E100" s="64"/>
      <c r="F100" s="64"/>
      <c r="G100" s="64"/>
      <c r="H100" s="64"/>
      <c r="I100" s="64"/>
      <c r="J100" s="64"/>
      <c r="K100" s="64"/>
      <c r="L100" s="64"/>
      <c r="M100" s="64"/>
      <c r="N100" s="64"/>
      <c r="O100" s="64"/>
      <c r="P100" s="64"/>
      <c r="Q100" s="64"/>
      <c r="R100" s="64"/>
      <c r="S100" s="339" t="n">
        <f>'IRA and CHIPS'!E185</f>
        <v>0</v>
      </c>
      <c r="T100" s="340" t="n">
        <f>'IRA and CHIPS'!F185</f>
        <v>0.81899999999999995</v>
      </c>
      <c r="U100" s="345" t="n">
        <f>'IRA and CHIPS'!G185</f>
        <v>0.81899999999999995</v>
      </c>
      <c r="V100" s="341" t="n">
        <f>'IRA and CHIPS'!H185</f>
        <v>0.81899999999999995</v>
      </c>
      <c r="W100" s="341" t="n">
        <f>'IRA and CHIPS'!I185</f>
        <v>0.81899999999999995</v>
      </c>
      <c r="X100" s="341" t="n">
        <f>'IRA and CHIPS'!J185</f>
        <v>2.4780000000000002</v>
      </c>
      <c r="Y100" s="341" t="n">
        <f>'IRA and CHIPS'!K185</f>
        <v>2.4780000000000002</v>
      </c>
      <c r="Z100" s="341" t="n">
        <f>'IRA and CHIPS'!L185</f>
        <v>2.4780000000000002</v>
      </c>
      <c r="AA100" s="341" t="n">
        <f>'IRA and CHIPS'!M185</f>
        <v>2.4780000000000002</v>
      </c>
      <c r="AB100" s="341" t="n">
        <f>'IRA and CHIPS'!N185</f>
        <v>4.0720000000000001</v>
      </c>
      <c r="AC100" s="346" t="n">
        <f>'IRA and CHIPS'!O185</f>
        <v>4.0720000000000001</v>
      </c>
    </row>
    <row r="101" ht="18.75" customHeight="1"/>
    <row r="102" ht="21.75" customHeight="1"/>
  </sheetData>
  <mergeCells count="42">
    <mergeCell ref="B96:C98"/>
    <mergeCell ref="I97:L97"/>
    <mergeCell ref="A70:A71"/>
    <mergeCell ref="B94:AC94"/>
    <mergeCell ref="Y77:AB77"/>
    <mergeCell ref="B76:C78"/>
    <mergeCell ref="I77:L77"/>
    <mergeCell ref="U77:X77"/>
    <mergeCell ref="B93:Y93"/>
    <mergeCell ref="E77:H77"/>
    <mergeCell ref="M77:P77"/>
    <mergeCell ref="E97:H97"/>
    <mergeCell ref="Y97:AB97"/>
    <mergeCell ref="M97:P97"/>
    <mergeCell ref="U97:X97"/>
    <mergeCell ref="D96:T96"/>
    <mergeCell ref="U96:AC96"/>
    <mergeCell ref="Q97:T97"/>
    <mergeCell ref="AE29:AF29"/>
    <mergeCell ref="AE33:AF34"/>
    <mergeCell ref="AE39:AF39"/>
    <mergeCell ref="B28:AC28"/>
    <mergeCell ref="Q77:R77"/>
    <mergeCell ref="Q52:AH52"/>
    <mergeCell ref="Q53:S53"/>
    <mergeCell ref="T53:Y53"/>
    <mergeCell ref="AD53:AG53"/>
    <mergeCell ref="D76:T76"/>
    <mergeCell ref="U76:AC76"/>
    <mergeCell ref="B1:Y1"/>
    <mergeCell ref="B6:C8"/>
    <mergeCell ref="I7:L7"/>
    <mergeCell ref="AD6:AD8"/>
    <mergeCell ref="AE6:AE8"/>
    <mergeCell ref="U7:X7"/>
    <mergeCell ref="E7:H7"/>
    <mergeCell ref="Y7:AB7"/>
    <mergeCell ref="B2:AC4"/>
    <mergeCell ref="M7:P7"/>
    <mergeCell ref="Q7:T7"/>
    <mergeCell ref="D6:T6"/>
    <mergeCell ref="U6:AC6"/>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5" zoomScale="85" zoomScaleNormal="85" workbookViewId="0">
      <selection activeCell="R25" sqref="R25"/>
    </sheetView>
  </sheetViews>
  <sheetFormatPr defaultRowHeight="15.0" baseColWidth="10"/>
  <cols>
    <col min="2" max="2" width="56.85546875" hidden="0" customWidth="1"/>
    <col min="3" max="3" width="18" hidden="0" customWidth="1"/>
    <col min="4" max="4" width="10" hidden="0" customWidth="1"/>
    <col min="5" max="5" width="10" hidden="0" customWidth="1"/>
    <col min="6" max="6" width="10" hidden="0" customWidth="1"/>
    <col min="7" max="7" width="10" hidden="0" customWidth="1"/>
    <col min="8" max="8" width="14.140625" hidden="0" customWidth="1"/>
    <col min="9" max="9" width="10.140625" hidden="0" customWidth="1"/>
    <col min="10" max="10" width="11.85546875" hidden="0" customWidth="1"/>
    <col min="11" max="11" width="13.42578125" hidden="0" customWidth="1"/>
    <col min="12" max="12" width="11.42578125" hidden="0" customWidth="1"/>
    <col min="13" max="13" width="12" hidden="0" customWidth="1"/>
    <col min="14" max="14" width="9" hidden="0" customWidth="1"/>
    <col min="15" max="15" width="10.140625" hidden="0" customWidth="1"/>
    <col min="16" max="16" width="10.140625" hidden="0" customWidth="1"/>
    <col min="17" max="17" width="12.140625" hidden="0" customWidth="1"/>
    <col min="18" max="18" width="10" hidden="0" customWidth="1"/>
    <col min="19" max="19" width="9" hidden="0" customWidth="1"/>
    <col min="20" max="20" width="8.85546875" hidden="0" customWidth="1"/>
    <col min="21" max="21" width="8.85546875" hidden="0" customWidth="1"/>
    <col min="22" max="22" width="8.85546875" hidden="0" customWidth="1"/>
    <col min="23" max="23" width="8.85546875" hidden="0" customWidth="1"/>
    <col min="24" max="24" width="8.85546875" hidden="0" customWidth="1"/>
    <col min="25" max="25" width="8.85546875" hidden="0" customWidth="1"/>
    <col min="26" max="26" width="8.85546875" hidden="0" customWidth="1"/>
    <col min="39" max="39" width="31.85546875" hidden="0" customWidth="1"/>
    <col min="41" max="41" width="10.140625" hidden="0" customWidth="1"/>
  </cols>
  <sheetData>
    <row r="1" ht="20.25" customHeight="1">
      <c r="B1" s="233" t="s">
        <v>433</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25" customHeight="1">
      <c r="B2" s="265" t="s">
        <v>434</v>
      </c>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row>
    <row r="3" ht="9" customHeight="1">
      <c r="B3" s="265"/>
      <c r="C3" s="265"/>
      <c r="D3" s="265"/>
      <c r="E3" s="265"/>
      <c r="F3" s="265"/>
      <c r="G3" s="265"/>
      <c r="H3" s="265"/>
      <c r="I3" s="265"/>
      <c r="J3" s="265"/>
      <c r="K3" s="265"/>
      <c r="L3" s="265"/>
      <c r="M3" s="265"/>
      <c r="N3" s="265"/>
      <c r="O3" s="265"/>
      <c r="P3" s="265"/>
      <c r="Q3" s="265"/>
      <c r="R3" s="265"/>
      <c r="S3" s="265"/>
      <c r="T3" s="265"/>
      <c r="U3" s="265"/>
      <c r="V3" s="265"/>
      <c r="W3" s="265"/>
      <c r="X3" s="265"/>
      <c r="Y3" s="265"/>
      <c r="Z3" s="265"/>
      <c r="AA3" s="265"/>
      <c r="AB3" s="265"/>
      <c r="AC3" s="265"/>
    </row>
    <row r="4" ht="27" customHeight="1">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E4" s="558"/>
      <c r="AF4" s="558"/>
      <c r="AG4" s="558"/>
      <c r="AH4" s="558"/>
      <c r="AI4" s="558"/>
      <c r="AJ4" s="558"/>
      <c r="AK4" s="558"/>
      <c r="AL4" s="558"/>
      <c r="AM4" s="558"/>
    </row>
    <row r="5">
      <c r="B5" s="540"/>
      <c r="AC5" s="302"/>
      <c r="AD5" s="302"/>
      <c r="AE5" s="302"/>
      <c r="AF5" s="302"/>
    </row>
    <row r="6" ht="14.85" customHeight="1">
      <c r="B6" s="469" t="s">
        <v>324</v>
      </c>
      <c r="C6" s="470"/>
      <c r="D6" s="480" t="s">
        <v>325</v>
      </c>
      <c r="E6" s="481"/>
      <c r="F6" s="481"/>
      <c r="G6" s="481"/>
      <c r="H6" s="481"/>
      <c r="I6" s="481"/>
      <c r="J6" s="481"/>
      <c r="K6" s="481"/>
      <c r="L6" s="481"/>
      <c r="M6" s="481"/>
      <c r="N6" s="481"/>
      <c r="O6" s="481"/>
      <c r="P6" s="481"/>
      <c r="Q6" s="481"/>
      <c r="R6" s="481"/>
      <c r="S6" s="481"/>
      <c r="T6" s="482"/>
      <c r="U6" s="483" t="s">
        <v>326</v>
      </c>
      <c r="V6" s="483"/>
      <c r="W6" s="483"/>
      <c r="X6" s="483"/>
      <c r="Y6" s="483"/>
      <c r="Z6" s="483"/>
      <c r="AA6" s="483"/>
      <c r="AB6" s="483"/>
      <c r="AC6" s="484"/>
    </row>
    <row r="7" ht="14.85" customHeight="1">
      <c r="B7" s="471"/>
      <c r="C7" s="472"/>
      <c r="D7" s="473" t="n">
        <v>2018</v>
      </c>
      <c r="E7" s="473" t="n">
        <v>2019</v>
      </c>
      <c r="F7" s="474"/>
      <c r="G7" s="474"/>
      <c r="H7" s="475"/>
      <c r="I7" s="473" t="n">
        <v>2020</v>
      </c>
      <c r="J7" s="474"/>
      <c r="K7" s="474"/>
      <c r="L7" s="474"/>
      <c r="M7" s="473" t="n">
        <v>2021</v>
      </c>
      <c r="N7" s="474"/>
      <c r="O7" s="474"/>
      <c r="P7" s="474"/>
      <c r="Q7" s="473" t="n">
        <v>2022</v>
      </c>
      <c r="R7" s="485"/>
      <c r="S7" s="485"/>
      <c r="T7" s="475"/>
      <c r="U7" s="476" t="n">
        <v>2023</v>
      </c>
      <c r="V7" s="477"/>
      <c r="W7" s="477"/>
      <c r="X7" s="477"/>
      <c r="Y7" s="478" t="n">
        <v>2024</v>
      </c>
      <c r="Z7" s="477"/>
      <c r="AA7" s="477"/>
      <c r="AB7" s="479"/>
      <c r="AC7" s="525" t="n">
        <v>2025</v>
      </c>
    </row>
    <row r="8">
      <c r="B8" s="471"/>
      <c r="C8" s="472"/>
      <c r="D8" s="526" t="s">
        <v>327</v>
      </c>
      <c r="E8" s="526" t="s">
        <v>328</v>
      </c>
      <c r="F8" s="527" t="s">
        <v>329</v>
      </c>
      <c r="G8" s="527" t="s">
        <v>238</v>
      </c>
      <c r="H8" s="528" t="s">
        <v>327</v>
      </c>
      <c r="I8" s="527" t="s">
        <v>328</v>
      </c>
      <c r="J8" s="527" t="s">
        <v>329</v>
      </c>
      <c r="K8" s="527" t="s">
        <v>238</v>
      </c>
      <c r="L8" s="527" t="s">
        <v>327</v>
      </c>
      <c r="M8" s="526" t="s">
        <v>328</v>
      </c>
      <c r="N8" s="527" t="s">
        <v>329</v>
      </c>
      <c r="O8" s="527" t="s">
        <v>238</v>
      </c>
      <c r="P8" s="527" t="s">
        <v>327</v>
      </c>
      <c r="Q8" s="526" t="s">
        <v>328</v>
      </c>
      <c r="R8" s="527" t="s">
        <v>329</v>
      </c>
      <c r="S8" s="527" t="s">
        <v>238</v>
      </c>
      <c r="T8" s="528" t="s">
        <v>327</v>
      </c>
      <c r="U8" s="529" t="s">
        <v>328</v>
      </c>
      <c r="V8" s="529" t="s">
        <v>329</v>
      </c>
      <c r="W8" s="529" t="s">
        <v>238</v>
      </c>
      <c r="X8" s="529" t="s">
        <v>327</v>
      </c>
      <c r="Y8" s="530" t="s">
        <v>328</v>
      </c>
      <c r="Z8" s="531" t="s">
        <v>329</v>
      </c>
      <c r="AA8" s="529" t="s">
        <v>238</v>
      </c>
      <c r="AB8" s="532" t="s">
        <v>327</v>
      </c>
      <c r="AC8" s="533" t="s">
        <v>328</v>
      </c>
    </row>
    <row r="9" ht="18" customHeight="1">
      <c r="B9" s="499" t="s">
        <v>1894</v>
      </c>
      <c r="C9" s="500"/>
      <c r="D9" s="501"/>
      <c r="E9" s="501"/>
      <c r="F9" s="501"/>
      <c r="G9" s="501"/>
      <c r="H9" s="501"/>
      <c r="I9" s="501"/>
      <c r="J9" s="501"/>
      <c r="K9" s="501"/>
      <c r="L9" s="501"/>
      <c r="M9" s="501"/>
      <c r="N9" s="501"/>
      <c r="O9" s="501"/>
      <c r="P9" s="501"/>
      <c r="Q9" s="502" t="n">
        <v>1613.1</v>
      </c>
      <c r="R9" s="502" t="n">
        <v>1622.7</v>
      </c>
      <c r="S9" s="502" t="n">
        <v>1656.9</v>
      </c>
      <c r="T9" s="502" t="n">
        <v>1665.8</v>
      </c>
      <c r="U9" s="503" t="n">
        <v>1683.2</v>
      </c>
      <c r="V9" s="503" t="n">
        <v>1699</v>
      </c>
      <c r="W9" s="503" t="n">
        <v>1721.1</v>
      </c>
      <c r="X9" s="503" t="n">
        <v>1740.7</v>
      </c>
      <c r="Y9" s="503" t="n">
        <v>1758.2</v>
      </c>
      <c r="Z9" s="503" t="n">
        <v>1774.2</v>
      </c>
      <c r="AA9" s="503" t="n">
        <v>1790.4</v>
      </c>
      <c r="AB9" s="503" t="n">
        <v>1805.5</v>
      </c>
      <c r="AC9" s="504" t="n">
        <v>1819</v>
      </c>
    </row>
    <row r="10" ht="17.25" customHeight="1">
      <c r="B10" s="524" t="s">
        <v>1895</v>
      </c>
      <c r="C10" s="493"/>
      <c r="D10" s="493"/>
      <c r="E10" s="493"/>
      <c r="F10" s="493"/>
      <c r="G10" s="493"/>
      <c r="H10" s="494"/>
      <c r="I10" s="494"/>
      <c r="J10" s="494"/>
      <c r="K10" s="494"/>
      <c r="L10" s="494"/>
      <c r="M10" s="494"/>
      <c r="N10" s="494"/>
      <c r="O10" s="494"/>
      <c r="P10" s="494"/>
      <c r="Q10" s="495" t="n">
        <v>8.6999999999999994E-2</v>
      </c>
      <c r="R10" s="495" t="n">
        <v>2.3969999999999998</v>
      </c>
      <c r="S10" s="495" t="n">
        <v>8.6859999999999999</v>
      </c>
      <c r="T10" s="495" t="n">
        <v>2.1680000000000001</v>
      </c>
      <c r="U10" s="496" t="n">
        <v>4.2469999999999999</v>
      </c>
      <c r="V10" s="496" t="n">
        <v>3.8140000000000001</v>
      </c>
      <c r="W10" s="496" t="n">
        <v>5.2969999999999997</v>
      </c>
      <c r="X10" s="496" t="n">
        <v>4.6420000000000003</v>
      </c>
      <c r="Y10" s="496" t="n">
        <v>4.077</v>
      </c>
      <c r="Z10" s="496" t="n">
        <v>3.6869999999999998</v>
      </c>
      <c r="AA10" s="496" t="n">
        <v>3.7109999999999999</v>
      </c>
      <c r="AB10" s="496" t="n">
        <v>3.4009999999999998</v>
      </c>
      <c r="AC10" s="505" t="n">
        <v>3.0379999999999998</v>
      </c>
    </row>
    <row r="11" ht="17.25" customHeight="1">
      <c r="B11" s="539" t="s">
        <v>195</v>
      </c>
      <c r="C11" s="493" t="s">
        <v>982</v>
      </c>
      <c r="D11" s="493"/>
      <c r="E11" s="493"/>
      <c r="F11" s="493"/>
      <c r="G11" s="493"/>
      <c r="H11" s="495" t="n">
        <f>'Haver Pivoted'!GS23</f>
        <v>1437.7</v>
      </c>
      <c r="I11" s="495" t="n">
        <f>'Haver Pivoted'!GT23</f>
        <v>1455.6</v>
      </c>
      <c r="J11" s="495" t="n">
        <f>'Haver Pivoted'!GU23</f>
        <v>1560</v>
      </c>
      <c r="K11" s="495" t="n">
        <f>'Haver Pivoted'!GV23</f>
        <v>1525.3</v>
      </c>
      <c r="L11" s="495" t="n">
        <f>'Haver Pivoted'!GW23</f>
        <v>1541.3</v>
      </c>
      <c r="M11" s="495" t="n">
        <f>'Haver Pivoted'!GX23</f>
        <v>1620.3</v>
      </c>
      <c r="N11" s="495" t="n">
        <f>'Haver Pivoted'!GY23</f>
        <v>1608</v>
      </c>
      <c r="O11" s="495" t="n">
        <f>'Haver Pivoted'!GZ23</f>
        <v>1595.5</v>
      </c>
      <c r="P11" s="495" t="n">
        <f>'Haver Pivoted'!HA23</f>
        <v>1612.8</v>
      </c>
      <c r="Q11" s="495" t="n">
        <f>'Haver Pivoted'!HB23</f>
        <v>1613.1</v>
      </c>
      <c r="R11" s="495" t="n">
        <f>'Haver Pivoted'!HC23</f>
        <v>1622.7</v>
      </c>
      <c r="S11" s="497" t="n">
        <f>'Haver Pivoted'!HD23</f>
        <v>1657.1</v>
      </c>
      <c r="T11" s="497" t="n">
        <f>'Haver Pivoted'!HE23</f>
        <v>1693.8</v>
      </c>
      <c r="U11" s="498" t="n">
        <f t="shared" ref="U11:AC11" si="0">(U9/T9)*T11</f>
        <v>1711.4924720854842</v>
      </c>
      <c r="V11" s="498" t="n">
        <f t="shared" si="0"/>
        <v>1727.5580501860964</v>
      </c>
      <c r="W11" s="498" t="n">
        <f t="shared" si="0"/>
        <v>1750.0295233521426</v>
      </c>
      <c r="X11" s="498" t="n">
        <f t="shared" si="0"/>
        <v>1769.9589746668264</v>
      </c>
      <c r="Y11" s="498" t="n">
        <f t="shared" si="0"/>
        <v>1787.7531276263653</v>
      </c>
      <c r="Z11" s="498" t="n">
        <f t="shared" si="0"/>
        <v>1804.0220674750865</v>
      </c>
      <c r="AA11" s="498" t="n">
        <f t="shared" si="0"/>
        <v>1820.4943690719167</v>
      </c>
      <c r="AB11" s="498" t="n">
        <f t="shared" si="0"/>
        <v>1835.8481810541475</v>
      </c>
      <c r="AC11" s="506" t="n">
        <f t="shared" si="0"/>
        <v>1849.5750990515062</v>
      </c>
    </row>
    <row r="12">
      <c r="B12" s="534" t="s">
        <v>435</v>
      </c>
      <c r="C12" s="535"/>
      <c r="D12" s="535"/>
      <c r="E12" s="535"/>
      <c r="F12" s="535"/>
      <c r="G12" s="535"/>
      <c r="H12" s="538" t="n">
        <f t="shared" ref="H12:AC12" si="1">H11+H49</f>
        <v>1715.8720000000001</v>
      </c>
      <c r="I12" s="538" t="n">
        <f t="shared" si="1"/>
        <v>1741.471</v>
      </c>
      <c r="J12" s="538" t="n">
        <f t="shared" si="1"/>
        <v>1961.299</v>
      </c>
      <c r="K12" s="538" t="n">
        <f t="shared" si="1"/>
        <v>1901.492</v>
      </c>
      <c r="L12" s="538" t="n">
        <f t="shared" si="1"/>
        <v>1906.6610000000001</v>
      </c>
      <c r="M12" s="538" t="n">
        <f t="shared" si="1"/>
        <v>2009.6410000000001</v>
      </c>
      <c r="N12" s="538" t="n">
        <f t="shared" si="1"/>
        <v>2044.5930000000001</v>
      </c>
      <c r="O12" s="538" t="n">
        <f t="shared" si="1"/>
        <v>2039.836</v>
      </c>
      <c r="P12" s="538" t="n">
        <f t="shared" si="1"/>
        <v>2086.861852</v>
      </c>
      <c r="Q12" s="538" t="n">
        <f t="shared" si="1"/>
        <v>2124.0872747999997</v>
      </c>
      <c r="R12" s="538" t="n">
        <f t="shared" si="1"/>
        <v>2203.0890319999999</v>
      </c>
      <c r="S12" s="537" t="n">
        <f t="shared" si="1"/>
        <v>2224.8278679999999</v>
      </c>
      <c r="T12" s="537" t="n">
        <f t="shared" si="1"/>
        <v>2188.6759280000001</v>
      </c>
      <c r="U12" s="536" t="n">
        <f t="shared" si="1"/>
        <v>2183.2021499646758</v>
      </c>
      <c r="V12" s="536" t="n">
        <f t="shared" si="1"/>
        <v>2203.0924114019285</v>
      </c>
      <c r="W12" s="536" t="n">
        <f t="shared" si="1"/>
        <v>2223.9108560342324</v>
      </c>
      <c r="X12" s="536" t="n">
        <f t="shared" si="1"/>
        <v>2245.3754253334928</v>
      </c>
      <c r="Y12" s="536" t="n">
        <f t="shared" si="1"/>
        <v>2251.2703182527243</v>
      </c>
      <c r="Z12" s="536" t="n">
        <f t="shared" si="1"/>
        <v>2247.1830823795517</v>
      </c>
      <c r="AA12" s="536" t="n">
        <f t="shared" si="1"/>
        <v>2267.6164428212901</v>
      </c>
      <c r="AB12" s="536" t="n">
        <f t="shared" si="1"/>
        <v>2288.811296087481</v>
      </c>
      <c r="AC12" s="507" t="n">
        <f t="shared" si="1"/>
        <v>2285.1983378229197</v>
      </c>
      <c r="AD12" s="268" t="s">
        <v>436</v>
      </c>
    </row>
    <row r="13" ht="15.75" customHeight="1">
      <c r="B13" s="295"/>
      <c r="C13" s="295"/>
      <c r="D13" s="295"/>
      <c r="E13" s="295"/>
      <c r="F13" s="295"/>
      <c r="G13" s="295"/>
      <c r="H13" s="269"/>
      <c r="I13" s="269"/>
      <c r="J13" s="269"/>
      <c r="K13" s="269"/>
      <c r="L13" s="269"/>
      <c r="M13" s="269"/>
      <c r="N13" s="269"/>
      <c r="O13" s="269"/>
      <c r="AD13" s="268"/>
    </row>
    <row r="14">
      <c r="B14" s="295"/>
      <c r="C14" s="295"/>
      <c r="D14" s="295"/>
      <c r="E14" s="295"/>
      <c r="F14" s="295"/>
      <c r="G14" s="295"/>
      <c r="H14" s="269"/>
      <c r="I14" s="269"/>
      <c r="J14" s="269"/>
      <c r="K14" s="269"/>
      <c r="L14" s="269"/>
      <c r="M14" s="269"/>
      <c r="N14" s="269"/>
      <c r="O14" s="269"/>
      <c r="P14" s="552"/>
      <c r="Q14" s="552"/>
      <c r="R14" s="552"/>
      <c r="S14" s="552"/>
      <c r="T14" s="552"/>
      <c r="U14" s="552"/>
      <c r="V14" s="552"/>
      <c r="W14" s="552"/>
      <c r="X14" s="552"/>
      <c r="Y14" s="552"/>
      <c r="Z14" s="552"/>
      <c r="AA14" s="552"/>
      <c r="AB14" s="552"/>
      <c r="AC14" s="552"/>
    </row>
    <row r="15" ht="21.75" customHeight="1">
      <c r="B15" s="233" t="s">
        <v>165</v>
      </c>
      <c r="C15" s="233"/>
      <c r="D15" s="233"/>
      <c r="E15" s="233"/>
      <c r="F15" s="233"/>
      <c r="G15" s="233"/>
      <c r="H15" s="233"/>
      <c r="I15" s="233"/>
      <c r="J15" s="233"/>
      <c r="K15" s="233"/>
      <c r="L15" s="233"/>
      <c r="M15" s="233"/>
      <c r="N15" s="233"/>
      <c r="O15" s="233"/>
      <c r="P15" s="233"/>
      <c r="Q15" s="233"/>
      <c r="R15" s="233"/>
      <c r="S15" s="233"/>
      <c r="T15" s="233"/>
      <c r="U15" s="233"/>
      <c r="V15" s="233"/>
      <c r="W15" s="233"/>
      <c r="X15" s="233"/>
      <c r="Y15" s="233"/>
      <c r="Z15" s="233"/>
      <c r="AA15" s="233"/>
      <c r="AB15" s="233"/>
      <c r="AC15" s="233"/>
      <c r="AE15" s="206"/>
    </row>
    <row r="16" ht="14.25" customHeight="1">
      <c r="B16" s="234" t="s">
        <v>437</v>
      </c>
      <c r="C16" s="234"/>
      <c r="D16" s="234"/>
      <c r="E16" s="234"/>
      <c r="F16" s="234"/>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E16" s="206"/>
    </row>
    <row r="17">
      <c r="B17" s="234"/>
      <c r="C17" s="234"/>
      <c r="D17" s="234"/>
      <c r="E17" s="234"/>
      <c r="F17" s="234"/>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row>
    <row r="18">
      <c r="B18" s="234"/>
      <c r="C18" s="234"/>
      <c r="D18" s="234"/>
      <c r="E18" s="234"/>
      <c r="F18" s="234"/>
      <c r="G18" s="234"/>
      <c r="H18" s="234"/>
      <c r="I18" s="234"/>
      <c r="J18" s="234"/>
      <c r="K18" s="234"/>
      <c r="L18" s="234"/>
      <c r="M18" s="234"/>
      <c r="N18" s="234"/>
      <c r="O18" s="234"/>
      <c r="P18" s="234"/>
      <c r="Q18" s="234"/>
      <c r="R18" s="234"/>
      <c r="S18" s="234"/>
      <c r="T18" s="234"/>
      <c r="U18" s="234"/>
      <c r="V18" s="234"/>
      <c r="W18" s="234"/>
      <c r="X18" s="234"/>
      <c r="Y18" s="234"/>
      <c r="Z18" s="234"/>
      <c r="AA18" s="234"/>
      <c r="AB18" s="234"/>
      <c r="AC18" s="234"/>
    </row>
    <row r="20">
      <c r="B20" s="237" t="s">
        <v>324</v>
      </c>
      <c r="C20" s="238"/>
      <c r="D20" s="486" t="s">
        <v>325</v>
      </c>
      <c r="E20" s="487"/>
      <c r="F20" s="487"/>
      <c r="G20" s="487"/>
      <c r="H20" s="487"/>
      <c r="I20" s="487"/>
      <c r="J20" s="487"/>
      <c r="K20" s="487"/>
      <c r="L20" s="487"/>
      <c r="M20" s="487"/>
      <c r="N20" s="487"/>
      <c r="O20" s="487"/>
      <c r="P20" s="487"/>
      <c r="Q20" s="332"/>
      <c r="R20" s="332"/>
      <c r="S20" s="332"/>
      <c r="T20" s="238"/>
      <c r="U20" s="488" t="s">
        <v>326</v>
      </c>
      <c r="V20" s="488"/>
      <c r="W20" s="488"/>
      <c r="X20" s="488"/>
      <c r="Y20" s="488"/>
      <c r="Z20" s="488"/>
      <c r="AA20" s="488"/>
      <c r="AB20" s="488"/>
      <c r="AC20" s="489"/>
    </row>
    <row r="21">
      <c r="B21" s="239"/>
      <c r="C21" s="240"/>
      <c r="D21" s="198" t="n">
        <v>2018</v>
      </c>
      <c r="E21" s="198" t="n">
        <v>2019</v>
      </c>
      <c r="F21" s="199"/>
      <c r="G21" s="199"/>
      <c r="H21" s="236"/>
      <c r="I21" s="198" t="n">
        <v>2020</v>
      </c>
      <c r="J21" s="199"/>
      <c r="K21" s="199"/>
      <c r="L21" s="199"/>
      <c r="M21" s="198" t="n">
        <v>2021</v>
      </c>
      <c r="N21" s="199"/>
      <c r="O21" s="199"/>
      <c r="P21" s="199"/>
      <c r="Q21" s="198" t="n">
        <v>2022</v>
      </c>
      <c r="R21" s="199"/>
      <c r="S21" s="199"/>
      <c r="T21" s="236"/>
      <c r="U21" s="241" t="n">
        <v>2023</v>
      </c>
      <c r="V21" s="241"/>
      <c r="W21" s="241"/>
      <c r="X21" s="241"/>
      <c r="Y21" s="244" t="n">
        <v>2024</v>
      </c>
      <c r="Z21" s="241"/>
      <c r="AA21" s="241"/>
      <c r="AB21" s="243"/>
      <c r="AC21" s="290" t="n">
        <v>2025</v>
      </c>
    </row>
    <row r="22">
      <c r="B22" s="239"/>
      <c r="C22" s="240"/>
      <c r="D22" s="204" t="s">
        <v>327</v>
      </c>
      <c r="E22" s="204" t="s">
        <v>328</v>
      </c>
      <c r="F22" s="217" t="s">
        <v>329</v>
      </c>
      <c r="G22" s="217" t="s">
        <v>238</v>
      </c>
      <c r="H22" s="200" t="s">
        <v>327</v>
      </c>
      <c r="I22" s="217" t="s">
        <v>328</v>
      </c>
      <c r="J22" s="217" t="s">
        <v>329</v>
      </c>
      <c r="K22" s="217" t="s">
        <v>238</v>
      </c>
      <c r="L22" s="217" t="s">
        <v>327</v>
      </c>
      <c r="M22" s="204" t="s">
        <v>328</v>
      </c>
      <c r="N22" s="217" t="s">
        <v>329</v>
      </c>
      <c r="O22" s="217" t="s">
        <v>238</v>
      </c>
      <c r="P22" s="217" t="s">
        <v>327</v>
      </c>
      <c r="Q22" s="204" t="s">
        <v>328</v>
      </c>
      <c r="R22" s="217" t="s">
        <v>329</v>
      </c>
      <c r="S22" s="217" t="s">
        <v>238</v>
      </c>
      <c r="T22" s="200" t="s">
        <v>327</v>
      </c>
      <c r="U22" s="350" t="s">
        <v>328</v>
      </c>
      <c r="V22" s="350" t="s">
        <v>329</v>
      </c>
      <c r="W22" s="350" t="s">
        <v>238</v>
      </c>
      <c r="X22" s="350" t="s">
        <v>327</v>
      </c>
      <c r="Y22" s="418" t="s">
        <v>328</v>
      </c>
      <c r="Z22" s="283" t="s">
        <v>329</v>
      </c>
      <c r="AA22" s="350" t="s">
        <v>238</v>
      </c>
      <c r="AB22" s="348" t="s">
        <v>327</v>
      </c>
      <c r="AC22" s="443" t="s">
        <v>328</v>
      </c>
    </row>
    <row r="23">
      <c r="B23" s="562" t="s">
        <v>111</v>
      </c>
      <c r="C23" s="545" t="s">
        <v>438</v>
      </c>
      <c r="D23" s="545"/>
      <c r="E23" s="545"/>
      <c r="F23" s="545"/>
      <c r="G23" s="545"/>
      <c r="H23" s="544" t="n">
        <f>'Haver Pivoted'!GS24</f>
        <v>2384.1999999999998</v>
      </c>
      <c r="I23" s="544" t="n">
        <f>'Haver Pivoted'!GT24</f>
        <v>2427.4</v>
      </c>
      <c r="J23" s="544" t="n">
        <f>'Haver Pivoted'!GU24</f>
        <v>2391.8000000000002</v>
      </c>
      <c r="K23" s="544" t="n">
        <f>'Haver Pivoted'!GV24</f>
        <v>2397.6</v>
      </c>
      <c r="L23" s="544" t="n">
        <f>'Haver Pivoted'!GW24</f>
        <v>2416.5</v>
      </c>
      <c r="M23" s="544" t="n">
        <f>'Haver Pivoted'!GX24</f>
        <v>2468.4</v>
      </c>
      <c r="N23" s="544" t="n">
        <f>'Haver Pivoted'!GY24</f>
        <v>2516.4</v>
      </c>
      <c r="O23" s="544" t="n">
        <f>'Haver Pivoted'!GZ24</f>
        <v>2587.6</v>
      </c>
      <c r="P23" s="544" t="n">
        <f>'Haver Pivoted'!HA24</f>
        <v>2633.9</v>
      </c>
      <c r="Q23" s="544" t="n">
        <f>'Haver Pivoted'!HB24</f>
        <v>2698.2</v>
      </c>
      <c r="R23" s="544" t="n">
        <f>'Haver Pivoted'!HC24</f>
        <v>2790</v>
      </c>
      <c r="S23" s="522" t="n">
        <f>'Haver Pivoted'!HD24</f>
        <v>2836</v>
      </c>
      <c r="T23" s="522" t="n">
        <f>'Haver Pivoted'!HE24</f>
        <v>2878.7</v>
      </c>
      <c r="U23" s="523"/>
      <c r="V23" s="519"/>
      <c r="W23" s="519"/>
      <c r="X23" s="519"/>
      <c r="Y23" s="519"/>
      <c r="Z23" s="519"/>
      <c r="AA23" s="519"/>
      <c r="AB23" s="519"/>
      <c r="AC23" s="521"/>
    </row>
    <row r="24" ht="29.25" customHeight="1">
      <c r="B24" s="569" t="s">
        <v>1896</v>
      </c>
      <c r="C24" s="511"/>
      <c r="D24" s="511"/>
      <c r="E24" s="511"/>
      <c r="F24" s="511"/>
      <c r="G24" s="511"/>
      <c r="H24" s="269"/>
      <c r="I24" s="269"/>
      <c r="J24" s="269"/>
      <c r="K24" s="269"/>
      <c r="L24" s="269"/>
      <c r="M24" s="269"/>
      <c r="N24" s="269"/>
      <c r="O24" s="269"/>
      <c r="P24" s="269"/>
      <c r="Q24" s="512" t="n">
        <v>2698.2</v>
      </c>
      <c r="R24" s="512" t="n">
        <v>2790</v>
      </c>
      <c r="S24" s="512" t="n">
        <v>2829.6</v>
      </c>
      <c r="T24" s="512" t="n">
        <v>2871.1</v>
      </c>
      <c r="U24" s="515" t="n">
        <v>2900.1</v>
      </c>
      <c r="V24" s="513" t="n">
        <v>2932.7</v>
      </c>
      <c r="W24" s="513" t="n">
        <v>2970.6</v>
      </c>
      <c r="X24" s="513" t="n">
        <v>3002.9</v>
      </c>
      <c r="Y24" s="513" t="n">
        <v>3034.4</v>
      </c>
      <c r="Z24" s="513" t="n">
        <v>3062.5</v>
      </c>
      <c r="AA24" s="513" t="n">
        <v>3090.1</v>
      </c>
      <c r="AB24" s="513" t="n">
        <v>3117.6</v>
      </c>
      <c r="AC24" s="514" t="n">
        <v>3146.1</v>
      </c>
    </row>
    <row r="25" ht="21" customHeight="1">
      <c r="B25" s="541" t="s">
        <v>439</v>
      </c>
      <c r="C25" s="295"/>
      <c r="D25" s="295"/>
      <c r="E25" s="295"/>
      <c r="F25" s="295"/>
      <c r="G25" s="295"/>
      <c r="H25" s="266"/>
      <c r="I25" s="266"/>
      <c r="J25" s="266"/>
      <c r="K25" s="266"/>
      <c r="L25" s="266"/>
      <c r="M25" s="508" t="n">
        <f>((M26/L26)^4-1)*100</f>
        <v>8.8716871433844435</v>
      </c>
      <c r="N25" s="508" t="n">
        <f t="shared" ref="N25:Q25" si="2">((N26/M26)^4-1)*100</f>
        <v>8.0081568848658691</v>
      </c>
      <c r="O25" s="508" t="n">
        <f t="shared" si="2"/>
        <v>11.807223761379305</v>
      </c>
      <c r="P25" s="508" t="n">
        <f t="shared" si="2"/>
        <v>7.3516092986590564</v>
      </c>
      <c r="Q25" s="508" t="n">
        <f t="shared" si="2"/>
        <v>10.128423587170188</v>
      </c>
      <c r="R25" s="508" t="n">
        <f>((R26/Q26)^4-1)*100</f>
        <v>14.319485516488072</v>
      </c>
      <c r="S25" s="509" t="n">
        <f>((S26/R26)^4-1)*100</f>
        <v>6.7598839303983915</v>
      </c>
      <c r="T25" s="509" t="n">
        <f>((T26/S26)^4-1)*100</f>
        <v>6.159954849519278</v>
      </c>
      <c r="U25" s="550" t="n">
        <f t="shared" ref="U25:AB25" si="3">((U24/T24)^4-1)*100</f>
        <v>4.1018905342404821</v>
      </c>
      <c r="V25" s="284" t="n">
        <f t="shared" si="3"/>
        <v>4.5727823733710871</v>
      </c>
      <c r="W25" s="284" t="n">
        <f t="shared" si="3"/>
        <v>5.2703701851707363</v>
      </c>
      <c r="X25" s="284" t="n">
        <f t="shared" si="3"/>
        <v>4.4207415105887327</v>
      </c>
      <c r="Y25" s="284" t="n">
        <f t="shared" si="3"/>
        <v>4.2624291366428535</v>
      </c>
      <c r="Z25" s="284" t="n">
        <f t="shared" si="3"/>
        <v>3.7559642184341602</v>
      </c>
      <c r="AA25" s="284" t="n">
        <f t="shared" si="3"/>
        <v>3.6539237455461615</v>
      </c>
      <c r="AB25" s="284" t="n">
        <f t="shared" si="3"/>
        <v>3.6075573724492882</v>
      </c>
      <c r="AC25" s="296"/>
      <c r="AD25" s="558" t="s">
        <v>440</v>
      </c>
    </row>
    <row r="26" ht="17.850000000000001" customHeight="1">
      <c r="B26" s="567" t="s">
        <v>441</v>
      </c>
      <c r="C26" s="307"/>
      <c r="D26" s="307"/>
      <c r="E26" s="307"/>
      <c r="F26" s="307"/>
      <c r="G26" s="307"/>
      <c r="H26" s="274" t="n">
        <f t="shared" ref="H26:T26" si="4">H23</f>
        <v>2384.1999999999998</v>
      </c>
      <c r="I26" s="274" t="n">
        <f t="shared" si="4"/>
        <v>2427.4</v>
      </c>
      <c r="J26" s="274" t="n">
        <f t="shared" si="4"/>
        <v>2391.8000000000002</v>
      </c>
      <c r="K26" s="274" t="n">
        <f t="shared" si="4"/>
        <v>2397.6</v>
      </c>
      <c r="L26" s="274" t="n">
        <f t="shared" si="4"/>
        <v>2416.5</v>
      </c>
      <c r="M26" s="274" t="n">
        <f t="shared" si="4"/>
        <v>2468.4</v>
      </c>
      <c r="N26" s="274" t="n">
        <f t="shared" si="4"/>
        <v>2516.4</v>
      </c>
      <c r="O26" s="274" t="n">
        <f t="shared" si="4"/>
        <v>2587.6</v>
      </c>
      <c r="P26" s="274" t="n">
        <f t="shared" si="4"/>
        <v>2633.9</v>
      </c>
      <c r="Q26" s="274" t="n">
        <f t="shared" si="4"/>
        <v>2698.2</v>
      </c>
      <c r="R26" s="274" t="n">
        <f t="shared" si="4"/>
        <v>2790</v>
      </c>
      <c r="S26" s="270" t="n">
        <f t="shared" si="4"/>
        <v>2836</v>
      </c>
      <c r="T26" s="270" t="n">
        <f t="shared" si="4"/>
        <v>2878.7</v>
      </c>
      <c r="U26" s="520" t="n">
        <f t="shared" ref="U26:AB26" si="5">T26*((1+U25/100)^0.25)</f>
        <v>2907.7767650029605</v>
      </c>
      <c r="V26" s="271" t="n">
        <f t="shared" si="5"/>
        <v>2940.4630594545642</v>
      </c>
      <c r="W26" s="271" t="n">
        <f t="shared" si="5"/>
        <v>2978.4633833722264</v>
      </c>
      <c r="X26" s="271" t="n">
        <f t="shared" si="5"/>
        <v>3010.8488837031105</v>
      </c>
      <c r="Y26" s="271" t="n">
        <f t="shared" si="5"/>
        <v>3042.4322663787398</v>
      </c>
      <c r="Z26" s="271" t="n">
        <f t="shared" si="5"/>
        <v>3070.6066490195394</v>
      </c>
      <c r="AA26" s="271" t="n">
        <f t="shared" si="5"/>
        <v>3098.279708125805</v>
      </c>
      <c r="AB26" s="271" t="n">
        <f t="shared" si="5"/>
        <v>3125.8525025251643</v>
      </c>
      <c r="AC26" s="287" t="n">
        <f>(AC24/$R24)*$R26</f>
        <v>3146.1</v>
      </c>
    </row>
    <row r="27">
      <c r="B27" s="542" t="s">
        <v>442</v>
      </c>
      <c r="C27" s="543"/>
      <c r="D27" s="543"/>
      <c r="E27" s="543"/>
      <c r="F27" s="543"/>
      <c r="G27" s="543"/>
      <c r="H27" s="557" t="n">
        <f t="shared" ref="H27:P27" si="6">H23-H49</f>
        <v>2106.0279999999998</v>
      </c>
      <c r="I27" s="557" t="n">
        <f t="shared" si="6"/>
        <v>2141.529</v>
      </c>
      <c r="J27" s="557" t="n">
        <f t="shared" si="6"/>
        <v>1990.5010000000002</v>
      </c>
      <c r="K27" s="557" t="n">
        <f t="shared" si="6"/>
        <v>2021.4079999999999</v>
      </c>
      <c r="L27" s="557" t="n">
        <f t="shared" si="6"/>
        <v>2051.1390000000001</v>
      </c>
      <c r="M27" s="557" t="n">
        <f t="shared" si="6"/>
        <v>2079.0590000000002</v>
      </c>
      <c r="N27" s="557" t="n">
        <f t="shared" si="6"/>
        <v>2079.8069999999998</v>
      </c>
      <c r="O27" s="557" t="n">
        <f t="shared" si="6"/>
        <v>2143.2640000000001</v>
      </c>
      <c r="P27" s="557" t="n">
        <f t="shared" si="6"/>
        <v>2159.8381479999998</v>
      </c>
      <c r="Q27" s="557" t="n">
        <f t="shared" ref="Q27:AC27" si="7">Q26-Q49</f>
        <v>2187.2127252</v>
      </c>
      <c r="R27" s="557" t="n">
        <f t="shared" si="7"/>
        <v>2209.610968</v>
      </c>
      <c r="S27" s="557" t="n">
        <f t="shared" si="7"/>
        <v>2268.2721320000001</v>
      </c>
      <c r="T27" s="557" t="n">
        <f t="shared" si="7"/>
        <v>2383.8240719999999</v>
      </c>
      <c r="U27" s="560" t="n">
        <f t="shared" si="7"/>
        <v>2436.0670871237689</v>
      </c>
      <c r="V27" s="299" t="n">
        <f t="shared" si="7"/>
        <v>2464.9286982387321</v>
      </c>
      <c r="W27" s="299" t="n">
        <f t="shared" si="7"/>
        <v>2504.5820506901368</v>
      </c>
      <c r="X27" s="299" t="n">
        <f t="shared" si="7"/>
        <v>2535.4324330364439</v>
      </c>
      <c r="Y27" s="299" t="n">
        <f t="shared" si="7"/>
        <v>2578.9150757523807</v>
      </c>
      <c r="Z27" s="299" t="n">
        <f t="shared" si="7"/>
        <v>2627.445634115074</v>
      </c>
      <c r="AA27" s="299" t="n">
        <f t="shared" si="7"/>
        <v>2651.1576343764318</v>
      </c>
      <c r="AB27" s="299" t="n">
        <f t="shared" si="7"/>
        <v>2672.8893874918308</v>
      </c>
      <c r="AC27" s="464" t="n">
        <f t="shared" si="7"/>
        <v>2710.4767612285864</v>
      </c>
      <c r="AD27" s="268" t="s">
        <v>443</v>
      </c>
    </row>
    <row r="28">
      <c r="B28" s="63"/>
      <c r="C28" s="63"/>
      <c r="D28" s="63"/>
      <c r="E28" s="63"/>
      <c r="F28" s="63"/>
      <c r="G28" s="63"/>
      <c r="H28" s="63"/>
      <c r="I28" s="63"/>
      <c r="J28" s="63"/>
      <c r="K28" s="63"/>
      <c r="L28" s="63"/>
      <c r="M28" s="206"/>
      <c r="N28" s="206"/>
      <c r="O28" s="206"/>
      <c r="P28" s="206"/>
      <c r="Q28" s="206"/>
      <c r="R28" s="206"/>
      <c r="S28" s="162"/>
      <c r="T28" s="162"/>
      <c r="U28" s="162"/>
      <c r="V28" s="162"/>
      <c r="W28" s="162"/>
      <c r="X28" s="162"/>
      <c r="Y28" s="162"/>
      <c r="Z28" s="162"/>
      <c r="AA28" s="162"/>
      <c r="AB28" s="162"/>
      <c r="AC28" s="162"/>
    </row>
    <row r="29">
      <c r="B29" s="63"/>
      <c r="C29" s="63"/>
      <c r="D29" s="63"/>
      <c r="E29" s="63"/>
      <c r="F29" s="63"/>
      <c r="G29" s="63"/>
      <c r="H29" s="63"/>
      <c r="I29" s="63"/>
      <c r="J29" s="63"/>
      <c r="K29" s="63"/>
      <c r="L29" s="63"/>
      <c r="M29" s="206"/>
      <c r="N29" s="206"/>
      <c r="O29" s="206"/>
      <c r="P29" s="206"/>
      <c r="Q29" s="206"/>
      <c r="R29" s="206"/>
      <c r="S29" s="162"/>
      <c r="T29" s="162"/>
      <c r="U29" s="162"/>
      <c r="V29" s="162"/>
      <c r="W29" s="162"/>
      <c r="X29" s="162"/>
      <c r="Y29" s="162"/>
      <c r="Z29" s="162"/>
      <c r="AA29" s="162"/>
      <c r="AB29" s="162"/>
      <c r="AC29" s="162"/>
    </row>
    <row r="30">
      <c r="B30" s="63"/>
      <c r="C30" s="63"/>
      <c r="D30" s="63"/>
      <c r="E30" s="63"/>
      <c r="F30" s="63"/>
      <c r="G30" s="63"/>
      <c r="H30" s="63"/>
      <c r="I30" s="63"/>
      <c r="J30" s="63"/>
      <c r="K30" s="63"/>
      <c r="L30" s="63"/>
      <c r="M30" s="206"/>
      <c r="N30" s="206"/>
      <c r="O30" s="206"/>
      <c r="P30" s="206"/>
      <c r="Q30" s="206"/>
      <c r="R30" s="206"/>
      <c r="S30" s="162"/>
      <c r="T30" s="162"/>
      <c r="U30" s="162"/>
      <c r="V30" s="162"/>
      <c r="W30" s="162"/>
      <c r="X30" s="162"/>
      <c r="Y30" s="162"/>
      <c r="Z30" s="162"/>
      <c r="AA30" s="162"/>
      <c r="AB30" s="162"/>
      <c r="AC30" s="162"/>
    </row>
    <row r="31">
      <c r="B31" s="295"/>
      <c r="C31" s="295"/>
      <c r="D31" s="295"/>
      <c r="E31" s="295"/>
      <c r="F31" s="295"/>
      <c r="G31" s="295"/>
      <c r="H31" s="269"/>
      <c r="I31" s="269"/>
      <c r="J31" s="269"/>
      <c r="K31" s="269"/>
      <c r="L31" s="269"/>
      <c r="M31" s="269"/>
      <c r="N31" s="269"/>
      <c r="O31" s="269"/>
      <c r="P31" s="269"/>
      <c r="Q31" s="553"/>
      <c r="R31" s="269"/>
      <c r="S31" s="269"/>
      <c r="T31" s="269"/>
      <c r="U31" s="269"/>
      <c r="V31" s="269"/>
      <c r="W31" s="269"/>
      <c r="X31" s="269"/>
      <c r="Y31" s="269"/>
      <c r="Z31" s="269"/>
    </row>
    <row r="32" ht="85.35" customHeight="1">
      <c r="B32" s="561" t="s">
        <v>940</v>
      </c>
      <c r="C32" s="566" t="s">
        <v>939</v>
      </c>
      <c r="D32" s="564" t="n">
        <v>44197</v>
      </c>
      <c r="E32" s="565" t="n">
        <v>44228</v>
      </c>
      <c r="F32" s="565" t="n">
        <v>44256</v>
      </c>
      <c r="G32" s="565" t="n">
        <v>44287</v>
      </c>
      <c r="H32" s="565" t="n">
        <v>44317</v>
      </c>
      <c r="I32" s="565" t="n">
        <v>44348</v>
      </c>
      <c r="J32" s="565" t="n">
        <v>44378</v>
      </c>
      <c r="K32" s="565" t="n">
        <v>44409</v>
      </c>
      <c r="L32" s="565" t="n">
        <v>44440</v>
      </c>
      <c r="M32" s="565" t="n">
        <v>44470</v>
      </c>
      <c r="N32" s="565" t="n">
        <v>44501</v>
      </c>
      <c r="O32" s="565" t="n">
        <v>44531</v>
      </c>
      <c r="P32" s="555" t="n">
        <v>44562</v>
      </c>
      <c r="Q32" s="554" t="n">
        <v>44593</v>
      </c>
      <c r="R32" s="555" t="n">
        <v>44621</v>
      </c>
      <c r="S32" s="555" t="n">
        <v>44652</v>
      </c>
      <c r="T32" s="555" t="n">
        <v>44682</v>
      </c>
      <c r="U32" s="555" t="n">
        <v>44713</v>
      </c>
      <c r="V32" s="555" t="n">
        <v>44743</v>
      </c>
      <c r="W32" s="555" t="n">
        <v>44774</v>
      </c>
      <c r="X32" s="555" t="n">
        <v>44805</v>
      </c>
      <c r="Y32" s="555" t="n">
        <v>44835</v>
      </c>
      <c r="Z32" s="555" t="n">
        <v>44866</v>
      </c>
      <c r="AA32" s="555" t="n">
        <v>44896</v>
      </c>
      <c r="AB32" s="555" t="n">
        <v>44927</v>
      </c>
      <c r="AC32" s="555" t="n">
        <v>44958</v>
      </c>
    </row>
    <row r="33" ht="19.5" customHeight="1">
      <c r="B33" s="423" t="s">
        <v>444</v>
      </c>
      <c r="C33" s="551" t="s">
        <v>445</v>
      </c>
      <c r="D33" s="63" t="n">
        <f>[1]Sheet1!B$2</f>
        <v>5154</v>
      </c>
      <c r="E33" s="63" t="n">
        <f>[1]Sheet1!C$2</f>
        <v>5157</v>
      </c>
      <c r="F33" s="63" t="n">
        <f>[1]Sheet1!D$2</f>
        <v>5170</v>
      </c>
      <c r="G33" s="63" t="n">
        <f>[1]Sheet1!E$2</f>
        <v>5173</v>
      </c>
      <c r="H33" s="63" t="n">
        <f>[1]Sheet1!F$2</f>
        <v>5231</v>
      </c>
      <c r="I33" s="63" t="n">
        <f>[1]Sheet1!G$2</f>
        <v>5251</v>
      </c>
      <c r="J33" s="63" t="n">
        <f>[1]Sheet1!H$2</f>
        <v>5241</v>
      </c>
      <c r="K33" s="63" t="n">
        <f>[1]Sheet1!I$2</f>
        <v>5226</v>
      </c>
      <c r="L33" s="63" t="n">
        <f>[1]Sheet1!J$2</f>
        <v>5224</v>
      </c>
      <c r="M33" s="63" t="n">
        <f>[1]Sheet1!K$2</f>
        <v>5224</v>
      </c>
      <c r="N33" s="63" t="n">
        <f>[1]Sheet1!L$2</f>
        <v>5220</v>
      </c>
      <c r="O33" s="63" t="n">
        <f>[1]Sheet1!M$2</f>
        <v>5237</v>
      </c>
      <c r="P33" s="63" t="n">
        <f>[1]Sheet1!N$2</f>
        <v>5219</v>
      </c>
      <c r="Q33" s="63" t="n">
        <f>[1]Sheet1!O$2</f>
        <v>5212</v>
      </c>
      <c r="R33" s="63" t="n">
        <f>[1]Sheet1!P$2</f>
        <v>5213</v>
      </c>
      <c r="S33" s="63" t="n">
        <f>[1]Sheet1!Q$2</f>
        <v>5218</v>
      </c>
      <c r="T33" s="63" t="n">
        <f>[1]Sheet1!R$2</f>
        <v>5258</v>
      </c>
      <c r="U33" s="63" t="n">
        <f>[1]Sheet1!S$2</f>
        <v>5238</v>
      </c>
      <c r="V33" s="63" t="n">
        <f>[1]Sheet1!T$2</f>
        <v>5246</v>
      </c>
      <c r="W33" s="63" t="n">
        <v>5261</v>
      </c>
      <c r="X33" s="63" t="n">
        <v>5261</v>
      </c>
      <c r="Y33" s="63" t="n">
        <v>5254</v>
      </c>
      <c r="Z33" s="269"/>
    </row>
    <row r="34" ht="18" customHeight="1">
      <c r="B34" s="300" t="s">
        <v>446</v>
      </c>
      <c r="C34" s="268" t="s">
        <v>447</v>
      </c>
      <c r="D34" s="63" t="n">
        <f>[1]Sheet1!B$3</f>
        <v>13748</v>
      </c>
      <c r="E34" s="63" t="n">
        <f>[1]Sheet1!C$3</f>
        <v>13760</v>
      </c>
      <c r="F34" s="63" t="n">
        <f>[1]Sheet1!D$3</f>
        <v>13801</v>
      </c>
      <c r="G34" s="63" t="n">
        <f>[1]Sheet1!E$3</f>
        <v>13842</v>
      </c>
      <c r="H34" s="63" t="n">
        <f>[1]Sheet1!F$3</f>
        <v>13856</v>
      </c>
      <c r="I34" s="63" t="n">
        <f>[1]Sheet1!G$3</f>
        <v>13889</v>
      </c>
      <c r="J34" s="63" t="n">
        <f>[1]Sheet1!H$3</f>
        <v>13948</v>
      </c>
      <c r="K34" s="63" t="n">
        <f>[1]Sheet1!I$3</f>
        <v>13984</v>
      </c>
      <c r="L34" s="63" t="n">
        <f>[1]Sheet1!J$3</f>
        <v>14002</v>
      </c>
      <c r="M34" s="63" t="n">
        <f>[1]Sheet1!K$3</f>
        <v>13990</v>
      </c>
      <c r="N34" s="63" t="n">
        <f>[1]Sheet1!L$3</f>
        <v>14010</v>
      </c>
      <c r="O34" s="63" t="n">
        <f>[1]Sheet1!M$3</f>
        <v>14028</v>
      </c>
      <c r="P34" s="63" t="n">
        <f>[1]Sheet1!N$3</f>
        <v>14055</v>
      </c>
      <c r="Q34" s="63" t="n">
        <f>[1]Sheet1!O$3</f>
        <v>14073</v>
      </c>
      <c r="R34" s="63" t="n">
        <f>[1]Sheet1!P$3</f>
        <v>14087</v>
      </c>
      <c r="S34" s="63" t="n">
        <f>[1]Sheet1!Q$3</f>
        <v>14091</v>
      </c>
      <c r="T34" s="63" t="n">
        <f>[1]Sheet1!R$3</f>
        <v>14105</v>
      </c>
      <c r="U34" s="63" t="n">
        <f>[1]Sheet1!S$3</f>
        <v>14084</v>
      </c>
      <c r="V34" s="63" t="n">
        <f>[1]Sheet1!T$3</f>
        <v>14157</v>
      </c>
      <c r="W34" s="63" t="n">
        <v>14201</v>
      </c>
      <c r="X34" s="63" t="n">
        <v>14194</v>
      </c>
      <c r="Y34" s="63" t="n">
        <v>14223</v>
      </c>
      <c r="Z34" s="269"/>
      <c r="AG34" s="268"/>
    </row>
    <row r="35" ht="19.5" customHeight="1">
      <c r="B35" s="542" t="s">
        <v>448</v>
      </c>
      <c r="C35" s="334" t="s">
        <v>449</v>
      </c>
      <c r="D35" s="64" t="n">
        <f>[1]Sheet1!B$4</f>
        <v>328517</v>
      </c>
      <c r="E35" s="64" t="n">
        <f>[1]Sheet1!C$4</f>
        <v>320118</v>
      </c>
      <c r="F35" s="64" t="n">
        <f>[1]Sheet1!D$4</f>
        <v>319991</v>
      </c>
      <c r="G35" s="64" t="n">
        <f>[1]Sheet1!E$4</f>
        <v>321220</v>
      </c>
      <c r="H35" s="64" t="n">
        <f>[1]Sheet1!F$4</f>
        <v>319056</v>
      </c>
      <c r="I35" s="64" t="n">
        <f>[1]Sheet1!G$4</f>
        <v>315198</v>
      </c>
      <c r="J35" s="64" t="n">
        <f>[1]Sheet1!H$4</f>
        <v>318559</v>
      </c>
      <c r="K35" s="64" t="n">
        <f>[1]Sheet1!I$4</f>
        <v>323086</v>
      </c>
      <c r="L35" s="64" t="n">
        <f>[1]Sheet1!J$4</f>
        <v>324024</v>
      </c>
      <c r="M35" s="64" t="n">
        <f>[1]Sheet1!K$4</f>
        <v>325954</v>
      </c>
      <c r="N35" s="64" t="n">
        <f>[1]Sheet1!L$4</f>
        <v>325873</v>
      </c>
      <c r="O35" s="64" t="n">
        <f>[1]Sheet1!M$4</f>
        <v>323714</v>
      </c>
      <c r="P35" s="64" t="n">
        <f>[1]Sheet1!N$4</f>
        <v>323638</v>
      </c>
      <c r="Q35" s="64" t="n">
        <f>[1]Sheet1!O$4</f>
        <v>324761</v>
      </c>
      <c r="R35" s="64" t="n">
        <f>[1]Sheet1!P$4</f>
        <v>319759</v>
      </c>
      <c r="S35" s="64" t="n">
        <v>323392</v>
      </c>
      <c r="T35" s="64" t="n">
        <v>320626</v>
      </c>
      <c r="U35" s="64" t="n">
        <f>[1]Sheet1!S$4</f>
        <v>324999</v>
      </c>
      <c r="V35" s="64" t="n">
        <v>336811</v>
      </c>
      <c r="W35" s="64" t="n">
        <v>337289</v>
      </c>
      <c r="X35" s="64" t="n">
        <v>339155</v>
      </c>
      <c r="Y35" s="64" t="n">
        <f>[1]Sheet1!W$4</f>
        <v>0</v>
      </c>
      <c r="Z35" s="269"/>
      <c r="AG35" s="268"/>
    </row>
    <row r="36" ht="15.6" customHeight="1">
      <c r="B36" s="307"/>
      <c r="C36" s="295"/>
      <c r="D36" s="295"/>
      <c r="E36" s="295"/>
      <c r="F36" s="295"/>
      <c r="G36" s="295"/>
      <c r="H36" s="269"/>
      <c r="I36" s="269"/>
      <c r="J36" s="269"/>
      <c r="Q36" s="568"/>
      <c r="R36" s="269"/>
      <c r="S36" s="269"/>
      <c r="T36" s="269"/>
      <c r="U36" s="269"/>
      <c r="V36" s="269"/>
      <c r="W36" s="269"/>
      <c r="X36" s="269"/>
      <c r="Y36" s="269"/>
      <c r="Z36" s="269"/>
      <c r="AG36" s="268"/>
    </row>
    <row r="37" ht="12.75" customHeight="1">
      <c r="AG37" s="268"/>
    </row>
    <row r="38">
      <c r="B38" s="233" t="s">
        <v>450</v>
      </c>
      <c r="C38" s="233"/>
      <c r="D38" s="233"/>
      <c r="E38" s="233"/>
      <c r="F38" s="233"/>
      <c r="G38" s="233"/>
      <c r="H38" s="233"/>
      <c r="I38" s="233"/>
      <c r="J38" s="233"/>
      <c r="K38" s="233"/>
      <c r="L38" s="233"/>
      <c r="M38" s="233"/>
      <c r="N38" s="233"/>
      <c r="O38" s="233"/>
      <c r="P38" s="233"/>
      <c r="Q38" s="233"/>
      <c r="R38" s="233"/>
      <c r="S38" s="233"/>
      <c r="T38" s="233"/>
      <c r="U38" s="233"/>
      <c r="V38" s="233"/>
      <c r="W38" s="233"/>
      <c r="X38" s="233"/>
      <c r="Y38" s="233"/>
      <c r="Z38" s="233"/>
      <c r="AA38" s="233"/>
      <c r="AB38" s="233"/>
      <c r="AC38" s="233"/>
      <c r="AG38" s="268"/>
    </row>
    <row r="39" ht="9" customHeight="1">
      <c r="B39" s="233"/>
      <c r="C39" s="233"/>
      <c r="D39" s="233"/>
      <c r="E39" s="233"/>
      <c r="F39" s="233"/>
      <c r="G39" s="233"/>
      <c r="H39" s="233"/>
      <c r="I39" s="233"/>
      <c r="J39" s="233"/>
      <c r="K39" s="233"/>
      <c r="L39" s="233"/>
      <c r="M39" s="233"/>
      <c r="N39" s="233"/>
      <c r="O39" s="233"/>
      <c r="P39" s="233"/>
      <c r="Q39" s="233"/>
      <c r="R39" s="233"/>
      <c r="S39" s="233"/>
      <c r="T39" s="233"/>
      <c r="U39" s="233"/>
      <c r="V39" s="233"/>
      <c r="W39" s="233"/>
      <c r="X39" s="233"/>
      <c r="Y39" s="233"/>
      <c r="Z39" s="233"/>
      <c r="AA39" s="233"/>
      <c r="AB39" s="233"/>
      <c r="AC39" s="233"/>
      <c r="AG39" s="268"/>
    </row>
    <row r="40" ht="14.25" customHeight="1">
      <c r="B40" s="391" t="s">
        <v>451</v>
      </c>
      <c r="C40" s="391"/>
      <c r="D40" s="391"/>
      <c r="E40" s="391"/>
      <c r="F40" s="391"/>
      <c r="G40" s="391"/>
      <c r="H40" s="391"/>
      <c r="I40" s="391"/>
      <c r="J40" s="391"/>
      <c r="K40" s="391"/>
      <c r="L40" s="391"/>
      <c r="M40" s="391"/>
      <c r="N40" s="391"/>
      <c r="O40" s="391"/>
      <c r="P40" s="391"/>
      <c r="Q40" s="391"/>
      <c r="R40" s="391"/>
      <c r="S40" s="391"/>
      <c r="T40" s="391"/>
      <c r="U40" s="391"/>
      <c r="V40" s="391"/>
      <c r="W40" s="391"/>
      <c r="X40" s="391"/>
      <c r="Y40" s="391"/>
      <c r="Z40" s="391"/>
      <c r="AA40" s="391"/>
      <c r="AB40" s="391"/>
      <c r="AC40" s="391"/>
      <c r="AG40" s="268"/>
    </row>
    <row r="41">
      <c r="B41" s="391"/>
      <c r="C41" s="391"/>
      <c r="D41" s="391"/>
      <c r="E41" s="391"/>
      <c r="F41" s="391"/>
      <c r="G41" s="391"/>
      <c r="H41" s="391"/>
      <c r="I41" s="391"/>
      <c r="J41" s="391"/>
      <c r="K41" s="391"/>
      <c r="L41" s="391"/>
      <c r="M41" s="391"/>
      <c r="N41" s="391"/>
      <c r="O41" s="391"/>
      <c r="P41" s="391"/>
      <c r="Q41" s="391"/>
      <c r="R41" s="391"/>
      <c r="S41" s="391"/>
      <c r="T41" s="391"/>
      <c r="U41" s="391"/>
      <c r="V41" s="391"/>
      <c r="W41" s="391"/>
      <c r="X41" s="391"/>
      <c r="Y41" s="391"/>
      <c r="Z41" s="391"/>
      <c r="AA41" s="391"/>
      <c r="AB41" s="391"/>
      <c r="AC41" s="391"/>
      <c r="AG41" s="268"/>
    </row>
    <row r="42" ht="8.85" customHeight="1">
      <c r="B42" s="391"/>
      <c r="C42" s="391"/>
      <c r="D42" s="391"/>
      <c r="E42" s="391"/>
      <c r="F42" s="391"/>
      <c r="G42" s="391"/>
      <c r="H42" s="391"/>
      <c r="I42" s="391"/>
      <c r="J42" s="391"/>
      <c r="K42" s="391"/>
      <c r="L42" s="391"/>
      <c r="M42" s="391"/>
      <c r="N42" s="391"/>
      <c r="O42" s="391"/>
      <c r="P42" s="391"/>
      <c r="Q42" s="391"/>
      <c r="R42" s="391"/>
      <c r="S42" s="391"/>
      <c r="T42" s="391"/>
      <c r="U42" s="391"/>
      <c r="V42" s="391"/>
      <c r="W42" s="391"/>
      <c r="X42" s="391"/>
      <c r="Y42" s="391"/>
      <c r="Z42" s="391"/>
      <c r="AA42" s="391"/>
      <c r="AB42" s="391"/>
      <c r="AC42" s="391"/>
      <c r="AG42" s="268"/>
    </row>
    <row r="43" ht="12.75" customHeight="1">
      <c r="AG43" s="268"/>
    </row>
    <row r="44" ht="30.75" customHeight="1">
      <c r="B44" s="237" t="s">
        <v>324</v>
      </c>
      <c r="C44" s="490"/>
      <c r="D44" s="247" t="s">
        <v>325</v>
      </c>
      <c r="E44" s="248"/>
      <c r="F44" s="248"/>
      <c r="G44" s="248"/>
      <c r="H44" s="248"/>
      <c r="I44" s="248"/>
      <c r="J44" s="248"/>
      <c r="K44" s="248"/>
      <c r="L44" s="248"/>
      <c r="M44" s="248"/>
      <c r="N44" s="248"/>
      <c r="O44" s="248"/>
      <c r="P44" s="248"/>
      <c r="Q44" s="332"/>
      <c r="R44" s="332"/>
      <c r="S44" s="332"/>
      <c r="T44" s="238"/>
      <c r="U44" s="251" t="s">
        <v>326</v>
      </c>
      <c r="V44" s="251"/>
      <c r="W44" s="251"/>
      <c r="X44" s="251"/>
      <c r="Y44" s="251"/>
      <c r="Z44" s="251"/>
      <c r="AA44" s="251"/>
      <c r="AB44" s="251"/>
      <c r="AC44" s="252"/>
      <c r="AG44" s="268"/>
    </row>
    <row r="45">
      <c r="B45" s="239"/>
      <c r="C45" s="491"/>
      <c r="D45" s="198" t="n">
        <v>2018</v>
      </c>
      <c r="E45" s="198" t="n">
        <v>2019</v>
      </c>
      <c r="F45" s="235"/>
      <c r="G45" s="235"/>
      <c r="H45" s="236"/>
      <c r="I45" s="198" t="n">
        <v>2020</v>
      </c>
      <c r="J45" s="235"/>
      <c r="K45" s="235"/>
      <c r="L45" s="235"/>
      <c r="M45" s="198" t="n">
        <v>2021</v>
      </c>
      <c r="N45" s="235"/>
      <c r="O45" s="235"/>
      <c r="P45" s="235"/>
      <c r="Q45" s="198" t="n">
        <v>2022</v>
      </c>
      <c r="R45" s="199"/>
      <c r="S45" s="199"/>
      <c r="T45" s="236"/>
      <c r="U45" s="241" t="n">
        <v>2023</v>
      </c>
      <c r="V45" s="242"/>
      <c r="W45" s="242"/>
      <c r="X45" s="242"/>
      <c r="Y45" s="244" t="n">
        <v>2024</v>
      </c>
      <c r="Z45" s="242"/>
      <c r="AA45" s="242"/>
      <c r="AB45" s="243"/>
      <c r="AC45" s="290" t="n">
        <v>2025</v>
      </c>
      <c r="AG45" s="268"/>
    </row>
    <row r="46">
      <c r="B46" s="319"/>
      <c r="C46" s="492"/>
      <c r="D46" s="204" t="s">
        <v>327</v>
      </c>
      <c r="E46" s="204" t="s">
        <v>328</v>
      </c>
      <c r="F46" s="217" t="s">
        <v>329</v>
      </c>
      <c r="G46" s="217" t="s">
        <v>238</v>
      </c>
      <c r="H46" s="200" t="s">
        <v>327</v>
      </c>
      <c r="I46" s="217" t="s">
        <v>328</v>
      </c>
      <c r="J46" s="217" t="s">
        <v>329</v>
      </c>
      <c r="K46" s="217" t="s">
        <v>238</v>
      </c>
      <c r="L46" s="217" t="s">
        <v>327</v>
      </c>
      <c r="M46" s="204" t="s">
        <v>328</v>
      </c>
      <c r="N46" s="217" t="s">
        <v>329</v>
      </c>
      <c r="O46" s="217" t="s">
        <v>238</v>
      </c>
      <c r="P46" s="217" t="s">
        <v>327</v>
      </c>
      <c r="Q46" s="204" t="s">
        <v>328</v>
      </c>
      <c r="R46" s="217" t="s">
        <v>329</v>
      </c>
      <c r="S46" s="217" t="s">
        <v>238</v>
      </c>
      <c r="T46" s="200" t="s">
        <v>327</v>
      </c>
      <c r="U46" s="350" t="s">
        <v>328</v>
      </c>
      <c r="V46" s="350" t="s">
        <v>329</v>
      </c>
      <c r="W46" s="350" t="s">
        <v>238</v>
      </c>
      <c r="X46" s="350" t="s">
        <v>327</v>
      </c>
      <c r="Y46" s="418" t="s">
        <v>328</v>
      </c>
      <c r="Z46" s="283" t="s">
        <v>329</v>
      </c>
      <c r="AA46" s="350" t="s">
        <v>238</v>
      </c>
      <c r="AB46" s="348" t="s">
        <v>327</v>
      </c>
      <c r="AC46" s="443" t="s">
        <v>328</v>
      </c>
      <c r="AG46" s="268"/>
    </row>
    <row r="47">
      <c r="B47" s="562" t="s">
        <v>134</v>
      </c>
      <c r="C47" s="308"/>
      <c r="D47" s="294"/>
      <c r="E47" s="545"/>
      <c r="F47" s="545"/>
      <c r="G47" s="545"/>
      <c r="H47" s="510" t="n">
        <f>Grants!H99</f>
        <v>72.367000000000004</v>
      </c>
      <c r="I47" s="510" t="n">
        <f>Grants!I99</f>
        <v>75.578999999999994</v>
      </c>
      <c r="J47" s="510" t="n">
        <f>Grants!J99</f>
        <v>76.015000000000001</v>
      </c>
      <c r="K47" s="510" t="n">
        <f>Grants!K99</f>
        <v>78.872</v>
      </c>
      <c r="L47" s="510" t="n">
        <f>Grants!L99</f>
        <v>75.819000000000003</v>
      </c>
      <c r="M47" s="510" t="n">
        <f>Grants!M99</f>
        <v>73.662000000000006</v>
      </c>
      <c r="N47" s="510" t="n">
        <f>Grants!N99</f>
        <v>75.066000000000003</v>
      </c>
      <c r="O47" s="510" t="n">
        <f>Grants!O99</f>
        <v>69.344999999999999</v>
      </c>
      <c r="P47" s="510" t="n">
        <f>Grants!P99</f>
        <v>72.477000000000004</v>
      </c>
      <c r="Q47" s="510" t="n">
        <f>Grants!Q99</f>
        <v>72.528999999999996</v>
      </c>
      <c r="R47" s="510" t="n">
        <f>Grants!R99</f>
        <v>75.340000000000018</v>
      </c>
      <c r="S47" s="546" t="n">
        <f>Grants!S99</f>
        <v>75.340000000000018</v>
      </c>
      <c r="T47" s="547" t="n">
        <f>Grants!T99</f>
        <v>76.15900000000002</v>
      </c>
      <c r="U47" s="559" t="n">
        <f>Grants!U99</f>
        <v>76.15900000000002</v>
      </c>
      <c r="V47" s="559" t="n">
        <f>Grants!V99</f>
        <v>76.15900000000002</v>
      </c>
      <c r="W47" s="559" t="n">
        <f>Grants!W99</f>
        <v>76.15900000000002</v>
      </c>
      <c r="X47" s="559" t="n">
        <f>Grants!X99</f>
        <v>77.818000000000012</v>
      </c>
      <c r="Y47" s="559" t="n">
        <f>Grants!Y99</f>
        <v>77.818000000000012</v>
      </c>
      <c r="Z47" s="559" t="n">
        <f>Grants!Z99</f>
        <v>77.818000000000012</v>
      </c>
      <c r="AA47" s="559" t="n">
        <f>Grants!AA99</f>
        <v>77.818000000000012</v>
      </c>
      <c r="AB47" s="559" t="n">
        <f>Grants!AB99</f>
        <v>79.41200000000002</v>
      </c>
      <c r="AC47" s="521" t="n">
        <f>Grants!AC99</f>
        <v>79.41200000000002</v>
      </c>
    </row>
    <row r="48">
      <c r="B48" s="541" t="s">
        <v>192</v>
      </c>
      <c r="C48" s="511"/>
      <c r="D48" s="556"/>
      <c r="E48" s="511"/>
      <c r="F48" s="511"/>
      <c r="G48" s="511"/>
      <c r="H48" s="266" t="n">
        <f>Grants!H79</f>
        <v>205.80500000000001</v>
      </c>
      <c r="I48" s="266" t="n">
        <f>Grants!I79</f>
        <v>210.29200000000003</v>
      </c>
      <c r="J48" s="266" t="n">
        <f>Grants!J79</f>
        <v>325.28399999999999</v>
      </c>
      <c r="K48" s="266" t="n">
        <f>Grants!K79</f>
        <v>297.32000000000005</v>
      </c>
      <c r="L48" s="266" t="n">
        <f>Grants!L79</f>
        <v>289.54199999999997</v>
      </c>
      <c r="M48" s="266" t="n">
        <f>Grants!M79</f>
        <v>315.67900000000003</v>
      </c>
      <c r="N48" s="266" t="n">
        <f>Grants!N79</f>
        <v>361.52700000000004</v>
      </c>
      <c r="O48" s="266" t="n">
        <f>Grants!O79</f>
        <v>374.99100000000004</v>
      </c>
      <c r="P48" s="266" t="n">
        <f>Grants!P79</f>
        <v>401.58485200000007</v>
      </c>
      <c r="Q48" s="266" t="n">
        <f>Grants!Q79</f>
        <v>438.45827479999997</v>
      </c>
      <c r="R48" s="266" t="n">
        <f>Grants!R79</f>
        <v>505.04903199999995</v>
      </c>
      <c r="S48" s="266" t="n">
        <f>Grants!S79</f>
        <v>492.38786800000003</v>
      </c>
      <c r="T48" s="548" t="n">
        <f>Grants!T79</f>
        <v>418.716928</v>
      </c>
      <c r="U48" s="284" t="n">
        <f>Grants!U79</f>
        <v>395.55067787919143</v>
      </c>
      <c r="V48" s="284" t="n">
        <f>Grants!V79</f>
        <v>399.37536121583202</v>
      </c>
      <c r="W48" s="284" t="n">
        <f>Grants!W79</f>
        <v>397.7223326820897</v>
      </c>
      <c r="X48" s="284" t="n">
        <f>Grants!X79</f>
        <v>397.59845066666662</v>
      </c>
      <c r="Y48" s="284" t="n">
        <f>Grants!Y79</f>
        <v>385.69919062635915</v>
      </c>
      <c r="Z48" s="284" t="n">
        <f>Grants!Z79</f>
        <v>365.34301490446529</v>
      </c>
      <c r="AA48" s="284" t="n">
        <f>Grants!AA79</f>
        <v>369.30407374937334</v>
      </c>
      <c r="AB48" s="284" t="n">
        <f>Grants!AB79</f>
        <v>373.5511150333333</v>
      </c>
      <c r="AC48" s="296" t="n">
        <f>Grants!AC79</f>
        <v>356.21123877141349</v>
      </c>
    </row>
    <row r="49">
      <c r="B49" s="563" t="s">
        <v>452</v>
      </c>
      <c r="C49" s="543"/>
      <c r="D49" s="542"/>
      <c r="E49" s="543"/>
      <c r="F49" s="543"/>
      <c r="G49" s="543"/>
      <c r="H49" s="518" t="n">
        <f>H47+H48</f>
        <v>278.17200000000003</v>
      </c>
      <c r="I49" s="518" t="n">
        <f t="shared" ref="I49:AC49" si="8">I47+I48</f>
        <v>285.87100000000004</v>
      </c>
      <c r="J49" s="518" t="n">
        <f t="shared" si="8"/>
        <v>401.29899999999998</v>
      </c>
      <c r="K49" s="518" t="n">
        <f t="shared" si="8"/>
        <v>376.19200000000006</v>
      </c>
      <c r="L49" s="518" t="n">
        <f t="shared" si="8"/>
        <v>365.36099999999999</v>
      </c>
      <c r="M49" s="518" t="n">
        <f t="shared" si="8"/>
        <v>389.34100000000001</v>
      </c>
      <c r="N49" s="518" t="n">
        <f t="shared" si="8"/>
        <v>436.59300000000007</v>
      </c>
      <c r="O49" s="518" t="n">
        <f t="shared" si="8"/>
        <v>444.33600000000001</v>
      </c>
      <c r="P49" s="518" t="n">
        <f t="shared" si="8"/>
        <v>474.06185200000004</v>
      </c>
      <c r="Q49" s="518" t="n">
        <f t="shared" si="8"/>
        <v>510.98727479999997</v>
      </c>
      <c r="R49" s="518" t="n">
        <f t="shared" si="8"/>
        <v>580.38903199999993</v>
      </c>
      <c r="S49" s="518" t="n">
        <f t="shared" si="8"/>
        <v>567.72786800000006</v>
      </c>
      <c r="T49" s="549" t="n">
        <f t="shared" si="8"/>
        <v>494.87592800000004</v>
      </c>
      <c r="U49" s="516" t="n">
        <f t="shared" si="8"/>
        <v>471.70967787919142</v>
      </c>
      <c r="V49" s="516" t="n">
        <f t="shared" si="8"/>
        <v>475.53436121583206</v>
      </c>
      <c r="W49" s="516" t="n">
        <f t="shared" si="8"/>
        <v>473.88133268208969</v>
      </c>
      <c r="X49" s="516" t="n">
        <f t="shared" si="8"/>
        <v>475.41645066666661</v>
      </c>
      <c r="Y49" s="516" t="n">
        <f t="shared" si="8"/>
        <v>463.51719062635914</v>
      </c>
      <c r="Z49" s="516" t="n">
        <f t="shared" si="8"/>
        <v>443.16101490446533</v>
      </c>
      <c r="AA49" s="516" t="n">
        <f t="shared" si="8"/>
        <v>447.12207374937338</v>
      </c>
      <c r="AB49" s="516" t="n">
        <f t="shared" si="8"/>
        <v>452.96311503333334</v>
      </c>
      <c r="AC49" s="517" t="n">
        <f t="shared" si="8"/>
        <v>435.62323877141353</v>
      </c>
    </row>
    <row r="53" ht="27.6" customHeight="1"/>
    <row r="54" ht="27.6" customHeight="1"/>
    <row r="55">
      <c r="S55" s="121"/>
      <c r="T55" s="121"/>
      <c r="U55" s="121"/>
      <c r="V55" s="121"/>
      <c r="W55" s="121"/>
      <c r="X55" s="121"/>
      <c r="Y55" s="121"/>
      <c r="Z55" s="121"/>
      <c r="AA55" s="121"/>
      <c r="AB55" s="121"/>
      <c r="AC55" s="121"/>
    </row>
    <row r="56">
      <c r="S56" s="121"/>
      <c r="T56" s="121"/>
      <c r="U56" s="121"/>
      <c r="V56" s="121"/>
      <c r="W56" s="121"/>
      <c r="X56" s="121"/>
      <c r="Y56" s="121"/>
      <c r="Z56" s="121"/>
      <c r="AA56" s="121"/>
      <c r="AB56" s="121"/>
      <c r="AC56" s="121"/>
    </row>
    <row r="57" ht="27.6" customHeight="1">
      <c r="S57" s="121"/>
      <c r="T57" s="121"/>
      <c r="U57" s="121"/>
      <c r="V57" s="121"/>
      <c r="W57" s="121"/>
      <c r="X57" s="121"/>
      <c r="Y57" s="121"/>
      <c r="Z57" s="121"/>
      <c r="AA57" s="121"/>
      <c r="AB57" s="121"/>
      <c r="AC57" s="121"/>
    </row>
    <row r="58" ht="27.6" customHeight="1"/>
    <row r="59" ht="27.6" customHeight="1">
      <c r="BD59" s="512"/>
      <c r="BE59" s="512"/>
      <c r="BF59" s="512"/>
    </row>
    <row r="61" ht="27.6" customHeight="1"/>
    <row r="62" ht="27.6" customHeight="1"/>
    <row r="63" ht="27.6" customHeight="1"/>
  </sheetData>
  <mergeCells count="33">
    <mergeCell ref="M45:P45"/>
    <mergeCell ref="Q21:T21"/>
    <mergeCell ref="D44:T44"/>
    <mergeCell ref="U44:AC44"/>
    <mergeCell ref="Q45:T45"/>
    <mergeCell ref="U21:X21"/>
    <mergeCell ref="U45:X45"/>
    <mergeCell ref="Y21:AB21"/>
    <mergeCell ref="Y45:AB45"/>
    <mergeCell ref="B40:AC42"/>
    <mergeCell ref="B38:AC39"/>
    <mergeCell ref="B44:C46"/>
    <mergeCell ref="I45:L45"/>
    <mergeCell ref="E21:H21"/>
    <mergeCell ref="E45:H45"/>
    <mergeCell ref="B20:C22"/>
    <mergeCell ref="I21:L21"/>
    <mergeCell ref="B15:AC15"/>
    <mergeCell ref="B16:AC18"/>
    <mergeCell ref="M7:P7"/>
    <mergeCell ref="D20:T20"/>
    <mergeCell ref="U20:AC20"/>
    <mergeCell ref="M21:P21"/>
    <mergeCell ref="B1:AC1"/>
    <mergeCell ref="B6:C8"/>
    <mergeCell ref="E7:H7"/>
    <mergeCell ref="I7:L7"/>
    <mergeCell ref="U7:X7"/>
    <mergeCell ref="Y7:AB7"/>
    <mergeCell ref="B2:AC4"/>
    <mergeCell ref="D6:T6"/>
    <mergeCell ref="U6:AC6"/>
    <mergeCell ref="Q7:T7"/>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E19" sqref="E19"/>
    </sheetView>
  </sheetViews>
  <sheetFormatPr defaultRowHeight="15.0" baseColWidth="10"/>
  <cols>
    <col min="2" max="2" width="49.42578125" hidden="0" customWidth="1"/>
    <col min="6" max="6" width="6.42578125" hidden="0" customWidth="1"/>
    <col min="7" max="7" width="6.42578125" hidden="0" customWidth="1"/>
    <col min="8" max="8" width="6.42578125" hidden="0" customWidth="1"/>
    <col min="9" max="9" width="6.42578125" hidden="0" customWidth="1"/>
    <col min="10" max="10" width="6.42578125" hidden="0" customWidth="1"/>
    <col min="11" max="11" width="6.42578125" hidden="0" customWidth="1"/>
    <col min="12" max="12" width="6.42578125" hidden="0" customWidth="1"/>
    <col min="13" max="13" width="6.42578125" hidden="0" customWidth="1"/>
    <col min="14" max="14" width="6.42578125" hidden="0" customWidth="1"/>
    <col min="15" max="15" width="6.42578125" hidden="0" customWidth="1"/>
    <col min="16" max="16" width="6.42578125" hidden="0" customWidth="1"/>
    <col min="17" max="17" width="6.42578125" hidden="0" customWidth="1"/>
    <col min="18" max="18" width="6.42578125" hidden="0" customWidth="1"/>
    <col min="19" max="19" width="6.42578125" hidden="0" customWidth="1"/>
    <col min="20" max="20" width="6.42578125" hidden="0" customWidth="1"/>
    <col min="21" max="21" width="6.42578125" hidden="0" customWidth="1"/>
    <col min="22" max="22" width="6.42578125" hidden="0" customWidth="1"/>
    <col min="23" max="23" width="6.42578125" hidden="0" customWidth="1"/>
    <col min="24" max="24" width="6.42578125" hidden="0" customWidth="1"/>
    <col min="25" max="25" width="6.42578125" hidden="0" customWidth="1"/>
    <col min="27" max="27" width="10.140625" hidden="0" customWidth="1"/>
  </cols>
  <sheetData>
    <row r="1">
      <c r="B1" s="233" t="s">
        <v>52</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85" customHeight="1">
      <c r="B2" s="234" t="s">
        <v>916</v>
      </c>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row>
    <row r="3" ht="14.85" customHeight="1">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row>
    <row r="4" ht="5.85" customHeight="1">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row>
    <row r="5" ht="1.5" customHeight="1">
      <c r="B5" s="234"/>
      <c r="C5" s="234"/>
      <c r="D5" s="234"/>
      <c r="E5" s="234"/>
      <c r="F5" s="234"/>
      <c r="G5" s="234"/>
      <c r="H5" s="234"/>
      <c r="I5" s="234"/>
      <c r="J5" s="234"/>
      <c r="K5" s="234"/>
      <c r="L5" s="234"/>
      <c r="M5" s="234"/>
      <c r="N5" s="234"/>
      <c r="O5" s="234"/>
      <c r="P5" s="234"/>
      <c r="Q5" s="234"/>
      <c r="R5" s="234"/>
      <c r="S5" s="234"/>
      <c r="T5" s="234"/>
      <c r="U5" s="234"/>
      <c r="V5" s="234"/>
      <c r="W5" s="234"/>
      <c r="X5" s="234"/>
      <c r="Y5" s="234"/>
      <c r="Z5" s="234"/>
      <c r="AA5" s="234"/>
      <c r="AB5" s="234"/>
      <c r="AC5" s="234"/>
    </row>
    <row r="6" ht="14.85" customHeight="1">
      <c r="B6" s="234"/>
      <c r="C6" s="234"/>
      <c r="D6" s="234"/>
      <c r="E6" s="234"/>
      <c r="F6" s="234"/>
      <c r="G6" s="234"/>
      <c r="H6" s="234"/>
      <c r="I6" s="234"/>
      <c r="J6" s="234"/>
      <c r="K6" s="234"/>
      <c r="L6" s="234"/>
      <c r="M6" s="234"/>
      <c r="N6" s="234"/>
      <c r="O6" s="234"/>
      <c r="P6" s="234"/>
      <c r="Q6" s="234"/>
      <c r="R6" s="234"/>
      <c r="S6" s="234"/>
      <c r="T6" s="234"/>
      <c r="U6" s="234"/>
      <c r="V6" s="234"/>
      <c r="W6" s="234"/>
      <c r="X6" s="234"/>
      <c r="Y6" s="234"/>
      <c r="Z6" s="234"/>
      <c r="AA6" s="234"/>
      <c r="AB6" s="234"/>
      <c r="AC6" s="234"/>
    </row>
    <row r="7" ht="33.75" customHeight="1">
      <c r="B7" s="97"/>
      <c r="C7" s="97"/>
      <c r="D7" s="97"/>
      <c r="E7" s="97"/>
      <c r="F7" s="97"/>
      <c r="G7" s="97"/>
      <c r="H7" s="97"/>
      <c r="I7" s="97"/>
      <c r="J7" s="97"/>
      <c r="K7" s="97"/>
      <c r="L7" s="97"/>
      <c r="M7" s="97"/>
      <c r="N7" s="97"/>
      <c r="O7" s="97"/>
      <c r="P7" s="97"/>
      <c r="Q7" s="97"/>
      <c r="R7" s="97"/>
      <c r="S7" s="97"/>
      <c r="T7" s="97"/>
      <c r="U7" s="97"/>
      <c r="V7" s="97"/>
      <c r="W7" s="97"/>
      <c r="X7" s="97"/>
      <c r="Y7" s="97"/>
    </row>
    <row r="8" ht="14.85" customHeight="1">
      <c r="B8" s="237" t="s">
        <v>453</v>
      </c>
      <c r="C8" s="238"/>
      <c r="D8" s="247" t="s">
        <v>325</v>
      </c>
      <c r="E8" s="248"/>
      <c r="F8" s="248"/>
      <c r="G8" s="248"/>
      <c r="H8" s="248"/>
      <c r="I8" s="248"/>
      <c r="J8" s="248"/>
      <c r="K8" s="248"/>
      <c r="L8" s="248"/>
      <c r="M8" s="248"/>
      <c r="N8" s="248"/>
      <c r="O8" s="248"/>
      <c r="P8" s="248"/>
      <c r="Q8" s="248"/>
      <c r="R8" s="248"/>
      <c r="S8" s="248"/>
      <c r="T8" s="249"/>
      <c r="U8" s="251" t="s">
        <v>326</v>
      </c>
      <c r="V8" s="251"/>
      <c r="W8" s="251"/>
      <c r="X8" s="251"/>
      <c r="Y8" s="251"/>
      <c r="Z8" s="251"/>
      <c r="AA8" s="251"/>
      <c r="AB8" s="251"/>
      <c r="AC8" s="252"/>
    </row>
    <row r="9">
      <c r="B9" s="239"/>
      <c r="C9" s="240"/>
      <c r="D9" s="204" t="n">
        <v>2018</v>
      </c>
      <c r="E9" s="204" t="n">
        <v>2019</v>
      </c>
      <c r="F9" s="217"/>
      <c r="G9" s="217"/>
      <c r="H9" s="200"/>
      <c r="I9" s="204" t="n">
        <v>2020</v>
      </c>
      <c r="J9" s="217"/>
      <c r="K9" s="217"/>
      <c r="L9" s="217"/>
      <c r="M9" s="204" t="n">
        <v>2021</v>
      </c>
      <c r="N9" s="217"/>
      <c r="O9" s="217"/>
      <c r="P9" s="217"/>
      <c r="Q9" s="198" t="n">
        <v>2022</v>
      </c>
      <c r="R9" s="199"/>
      <c r="S9" s="199"/>
      <c r="T9" s="236"/>
      <c r="U9" s="241" t="n">
        <v>2023</v>
      </c>
      <c r="V9" s="242"/>
      <c r="W9" s="242"/>
      <c r="X9" s="242"/>
      <c r="Y9" s="244" t="n">
        <v>2024</v>
      </c>
      <c r="Z9" s="242"/>
      <c r="AA9" s="242"/>
      <c r="AB9" s="243"/>
      <c r="AC9" s="290" t="n">
        <v>2025</v>
      </c>
    </row>
    <row r="10">
      <c r="B10" s="319"/>
      <c r="C10" s="320"/>
      <c r="D10" s="204" t="s">
        <v>327</v>
      </c>
      <c r="E10" s="204" t="s">
        <v>328</v>
      </c>
      <c r="F10" s="217" t="s">
        <v>329</v>
      </c>
      <c r="G10" s="217" t="s">
        <v>238</v>
      </c>
      <c r="H10" s="200" t="s">
        <v>327</v>
      </c>
      <c r="I10" s="217" t="s">
        <v>328</v>
      </c>
      <c r="J10" s="217" t="s">
        <v>329</v>
      </c>
      <c r="K10" s="217" t="s">
        <v>238</v>
      </c>
      <c r="L10" s="217" t="s">
        <v>327</v>
      </c>
      <c r="M10" s="204" t="s">
        <v>328</v>
      </c>
      <c r="N10" s="217" t="s">
        <v>329</v>
      </c>
      <c r="O10" s="217" t="s">
        <v>238</v>
      </c>
      <c r="P10" s="217" t="s">
        <v>327</v>
      </c>
      <c r="Q10" s="204" t="s">
        <v>328</v>
      </c>
      <c r="R10" s="217" t="s">
        <v>329</v>
      </c>
      <c r="S10" s="217" t="s">
        <v>238</v>
      </c>
      <c r="T10" s="200" t="s">
        <v>327</v>
      </c>
      <c r="U10" s="350" t="s">
        <v>328</v>
      </c>
      <c r="V10" s="350" t="s">
        <v>329</v>
      </c>
      <c r="W10" s="350" t="s">
        <v>238</v>
      </c>
      <c r="X10" s="350" t="s">
        <v>327</v>
      </c>
      <c r="Y10" s="418" t="s">
        <v>328</v>
      </c>
      <c r="Z10" s="283" t="s">
        <v>329</v>
      </c>
      <c r="AA10" s="350" t="s">
        <v>238</v>
      </c>
      <c r="AB10" s="348" t="s">
        <v>327</v>
      </c>
      <c r="AC10" s="443" t="s">
        <v>328</v>
      </c>
    </row>
    <row r="11">
      <c r="B11" s="586" t="s">
        <v>922</v>
      </c>
      <c r="C11" s="97" t="s">
        <v>572</v>
      </c>
      <c r="D11" s="570"/>
      <c r="E11" s="593"/>
      <c r="F11" s="600" t="n">
        <v>60.5</v>
      </c>
      <c r="G11" s="600" t="n">
        <v>81.400000000000006</v>
      </c>
      <c r="H11" s="600" t="n">
        <f>'Haver Pivoted'!GS42</f>
        <v>82.1</v>
      </c>
      <c r="I11" s="600" t="n">
        <f>'Haver Pivoted'!GT42</f>
        <v>80</v>
      </c>
      <c r="J11" s="600" t="n">
        <f>'Haver Pivoted'!GU42</f>
        <v>975.7</v>
      </c>
      <c r="K11" s="600" t="n">
        <f>'Haver Pivoted'!GV42</f>
        <v>1108.8</v>
      </c>
      <c r="L11" s="600" t="n">
        <f>'Haver Pivoted'!GW42</f>
        <v>462.2</v>
      </c>
      <c r="M11" s="600" t="n">
        <f>'Haver Pivoted'!GX42</f>
        <v>387.4</v>
      </c>
      <c r="N11" s="600" t="n">
        <f>'Haver Pivoted'!GY42</f>
        <v>693.9</v>
      </c>
      <c r="O11" s="600" t="n">
        <f>'Haver Pivoted'!GZ42</f>
        <v>545.6</v>
      </c>
      <c r="P11" s="600" t="n">
        <f>'Haver Pivoted'!HA42</f>
        <v>288.3</v>
      </c>
      <c r="Q11" s="600" t="n">
        <f>'Haver Pivoted'!HB42</f>
        <v>144.5</v>
      </c>
      <c r="R11" s="600" t="n">
        <f>'Haver Pivoted'!HC42</f>
        <v>122.9</v>
      </c>
      <c r="S11" s="601" t="n">
        <f>'Haver Pivoted'!HD42</f>
        <v>113.8</v>
      </c>
      <c r="T11" s="602" t="n">
        <f>'Haver Pivoted'!HE42</f>
        <v>110.8</v>
      </c>
      <c r="U11" s="619" t="n">
        <f t="shared" ref="U11:AC11" si="0">U12+U13</f>
        <v>96.021999999999991</v>
      </c>
      <c r="V11" s="619" t="n">
        <f t="shared" si="0"/>
        <v>88.50800000000001</v>
      </c>
      <c r="W11" s="619" t="n">
        <f t="shared" si="0"/>
        <v>88.50800000000001</v>
      </c>
      <c r="X11" s="619" t="n">
        <f t="shared" si="0"/>
        <v>85.631</v>
      </c>
      <c r="Y11" s="619" t="n">
        <f t="shared" si="0"/>
        <v>85.631</v>
      </c>
      <c r="Z11" s="619" t="n">
        <f t="shared" si="0"/>
        <v>85.631</v>
      </c>
      <c r="AA11" s="619" t="n">
        <f t="shared" si="0"/>
        <v>85.631</v>
      </c>
      <c r="AB11" s="619" t="n">
        <f t="shared" si="0"/>
        <v>90.463999999999999</v>
      </c>
      <c r="AC11" s="614" t="n">
        <f t="shared" si="0"/>
        <v>90.463999999999999</v>
      </c>
      <c r="AE11" s="220"/>
      <c r="AF11" s="220"/>
    </row>
    <row r="12" ht="16.5" customHeight="1">
      <c r="B12" s="458" t="s">
        <v>454</v>
      </c>
      <c r="C12" s="97"/>
      <c r="D12" s="586"/>
      <c r="E12" s="97"/>
      <c r="F12" s="96" t="n">
        <f>F11</f>
        <v>60.5</v>
      </c>
      <c r="G12" s="96" t="n">
        <f>G11</f>
        <v>81.400000000000006</v>
      </c>
      <c r="H12" s="96" t="n">
        <f t="shared" ref="H12:M12" si="1">H11-H13</f>
        <v>82.1</v>
      </c>
      <c r="I12" s="96" t="n">
        <f t="shared" si="1"/>
        <v>80</v>
      </c>
      <c r="J12" s="96" t="n">
        <f>J11-J13</f>
        <v>-13.799999999999955</v>
      </c>
      <c r="K12" s="96" t="n">
        <f t="shared" si="1"/>
        <v>-17.799999999999955</v>
      </c>
      <c r="L12" s="96" t="n">
        <f>L11-L13</f>
        <v>-76.200000000000102</v>
      </c>
      <c r="M12" s="96" t="n">
        <f t="shared" si="1"/>
        <v>79.599999999999966</v>
      </c>
      <c r="N12" s="96" t="n">
        <f t="shared" ref="N12:T12" si="2">N11-N13</f>
        <v>90.299999999999955</v>
      </c>
      <c r="O12" s="96" t="n">
        <f t="shared" si="2"/>
        <v>89.583520000000021</v>
      </c>
      <c r="P12" s="96" t="n">
        <f t="shared" si="2"/>
        <v>83.4</v>
      </c>
      <c r="Q12" s="96" t="n">
        <f t="shared" si="2"/>
        <v>83.8</v>
      </c>
      <c r="R12" s="96" t="n">
        <f t="shared" si="2"/>
        <v>69.400000000000006</v>
      </c>
      <c r="S12" s="351" t="n">
        <f t="shared" si="2"/>
        <v>71.099999999999994</v>
      </c>
      <c r="T12" s="376" t="n">
        <f t="shared" si="2"/>
        <v>78.977999999999994</v>
      </c>
      <c r="U12" s="381" t="n">
        <f t="shared" ref="U12:AC12" si="3">AVERAGE($F$11:$I$11)</f>
        <v>76</v>
      </c>
      <c r="V12" s="381" t="n">
        <f t="shared" si="3"/>
        <v>76</v>
      </c>
      <c r="W12" s="381" t="n">
        <f t="shared" si="3"/>
        <v>76</v>
      </c>
      <c r="X12" s="381" t="n">
        <f t="shared" si="3"/>
        <v>76</v>
      </c>
      <c r="Y12" s="381" t="n">
        <f t="shared" si="3"/>
        <v>76</v>
      </c>
      <c r="Z12" s="381" t="n">
        <f t="shared" si="3"/>
        <v>76</v>
      </c>
      <c r="AA12" s="381" t="n">
        <f t="shared" si="3"/>
        <v>76</v>
      </c>
      <c r="AB12" s="381" t="n">
        <f t="shared" si="3"/>
        <v>76</v>
      </c>
      <c r="AC12" s="446" t="n">
        <f t="shared" si="3"/>
        <v>76</v>
      </c>
      <c r="AE12" s="220"/>
      <c r="AF12" s="220"/>
    </row>
    <row r="13">
      <c r="B13" s="457" t="s">
        <v>455</v>
      </c>
      <c r="C13" s="97"/>
      <c r="D13" s="586"/>
      <c r="E13" s="97"/>
      <c r="F13" s="598"/>
      <c r="G13" s="598"/>
      <c r="H13" s="96" t="n">
        <f>SUM(H16:H25)</f>
        <v>0</v>
      </c>
      <c r="I13" s="96" t="n">
        <f>SUM(I16:I25)</f>
        <v>0</v>
      </c>
      <c r="J13" s="96" t="n">
        <f t="shared" ref="J13:S13" si="4">SUM(J16:J25)+J14</f>
        <v>989.5</v>
      </c>
      <c r="K13" s="96" t="n">
        <f t="shared" si="4"/>
        <v>1126.5999999999999</v>
      </c>
      <c r="L13" s="96" t="n">
        <f t="shared" si="4"/>
        <v>538.40000000000009</v>
      </c>
      <c r="M13" s="96" t="n">
        <f t="shared" si="4"/>
        <v>307.8</v>
      </c>
      <c r="N13" s="78" t="n">
        <f t="shared" si="4"/>
        <v>603.6</v>
      </c>
      <c r="O13" s="78" t="n">
        <f>SUM(O16:O25)+O14</f>
        <v>456.01648</v>
      </c>
      <c r="P13" s="78" t="n">
        <f>SUM(P16:P25)+P14</f>
        <v>204.9</v>
      </c>
      <c r="Q13" s="78" t="n">
        <f t="shared" si="4"/>
        <v>60.7</v>
      </c>
      <c r="R13" s="78" t="n">
        <f t="shared" si="4"/>
        <v>53.5</v>
      </c>
      <c r="S13" s="78" t="n">
        <f t="shared" si="4"/>
        <v>42.7</v>
      </c>
      <c r="T13" s="353" t="n">
        <f t="shared" ref="T13:AC13" si="5">SUM(T16:T27)+T14</f>
        <v>31.822000000000003</v>
      </c>
      <c r="U13" s="381" t="n">
        <f t="shared" si="5"/>
        <v>20.021999999999998</v>
      </c>
      <c r="V13" s="381" t="n">
        <f t="shared" si="5"/>
        <v>12.508000000000003</v>
      </c>
      <c r="W13" s="381" t="n">
        <f t="shared" si="5"/>
        <v>12.508000000000003</v>
      </c>
      <c r="X13" s="381" t="n">
        <f t="shared" si="5"/>
        <v>9.6310000000000002</v>
      </c>
      <c r="Y13" s="381" t="n">
        <f t="shared" si="5"/>
        <v>9.6310000000000002</v>
      </c>
      <c r="Z13" s="381" t="n">
        <f t="shared" si="5"/>
        <v>9.6310000000000002</v>
      </c>
      <c r="AA13" s="381" t="n">
        <f t="shared" si="5"/>
        <v>9.6310000000000002</v>
      </c>
      <c r="AB13" s="381" t="n">
        <f t="shared" si="5"/>
        <v>14.464</v>
      </c>
      <c r="AC13" s="446" t="n">
        <f t="shared" si="5"/>
        <v>14.464</v>
      </c>
      <c r="AE13" s="220"/>
      <c r="AF13" s="220"/>
    </row>
    <row r="14">
      <c r="B14" s="347" t="s">
        <v>50</v>
      </c>
      <c r="C14" s="77" t="s">
        <v>376</v>
      </c>
      <c r="D14" s="335"/>
      <c r="E14" s="77"/>
      <c r="F14" s="96"/>
      <c r="G14" s="96"/>
      <c r="H14" s="96" t="n">
        <f>'Haver Pivoted'!GS49</f>
        <v>0</v>
      </c>
      <c r="I14" s="96" t="n">
        <f>'Haver Pivoted'!GT49</f>
        <v>0</v>
      </c>
      <c r="J14" s="96" t="n">
        <f>'Haver Pivoted'!GU49</f>
        <v>576.9</v>
      </c>
      <c r="K14" s="96" t="n">
        <f>'Haver Pivoted'!GV49</f>
        <v>819.5</v>
      </c>
      <c r="L14" s="96" t="n">
        <f>'Haver Pivoted'!GW49</f>
        <v>246.3</v>
      </c>
      <c r="M14" s="96" t="n">
        <f>'Haver Pivoted'!GX49</f>
        <v>197</v>
      </c>
      <c r="N14" s="96" t="n">
        <f>'Haver Pivoted'!GY49</f>
        <v>441.2</v>
      </c>
      <c r="O14" s="96" t="n">
        <f>'Haver Pivoted'!GZ49</f>
        <v>276.7</v>
      </c>
      <c r="P14" s="96" t="n">
        <f>'Haver Pivoted'!HA49</f>
        <v>28.2</v>
      </c>
      <c r="Q14" s="96" t="n">
        <f>'Haver Pivoted'!HB49</f>
        <v>0</v>
      </c>
      <c r="R14" s="96" t="n">
        <f>'Haver Pivoted'!HC49</f>
        <v>0</v>
      </c>
      <c r="S14" s="351" t="n">
        <f>'Haver Pivoted'!HD49</f>
        <v>0</v>
      </c>
      <c r="T14" s="376" t="n">
        <f>'Haver Pivoted'!HE49</f>
        <v>0</v>
      </c>
      <c r="U14" s="381"/>
      <c r="V14" s="381"/>
      <c r="W14" s="381"/>
      <c r="X14" s="381"/>
      <c r="Y14" s="381"/>
      <c r="Z14" s="607"/>
      <c r="AA14" s="607"/>
      <c r="AB14" s="607"/>
      <c r="AC14" s="615"/>
      <c r="AE14" s="220"/>
      <c r="AF14" s="220"/>
    </row>
    <row r="15">
      <c r="B15" s="457" t="s">
        <v>456</v>
      </c>
      <c r="C15" s="97"/>
      <c r="D15" s="586"/>
      <c r="E15" s="97"/>
      <c r="F15" s="598"/>
      <c r="G15" s="598"/>
      <c r="H15" s="96" t="n">
        <f t="shared" ref="H15:AC15" si="6">SUM(H16:H25)</f>
        <v>0</v>
      </c>
      <c r="I15" s="96" t="n">
        <f t="shared" si="6"/>
        <v>0</v>
      </c>
      <c r="J15" s="96" t="n">
        <f t="shared" si="6"/>
        <v>412.6</v>
      </c>
      <c r="K15" s="96" t="n">
        <f t="shared" si="6"/>
        <v>307.10000000000002</v>
      </c>
      <c r="L15" s="96" t="n">
        <f t="shared" si="6"/>
        <v>292.10000000000002</v>
      </c>
      <c r="M15" s="96" t="n">
        <f t="shared" si="6"/>
        <v>110.8</v>
      </c>
      <c r="N15" s="96" t="n">
        <f t="shared" si="6"/>
        <v>162.4</v>
      </c>
      <c r="O15" s="96" t="n">
        <f t="shared" si="6"/>
        <v>179.31648000000001</v>
      </c>
      <c r="P15" s="96" t="n">
        <f>SUM(P16:P25)</f>
        <v>176.70000000000002</v>
      </c>
      <c r="Q15" s="96" t="n">
        <f t="shared" si="6"/>
        <v>60.7</v>
      </c>
      <c r="R15" s="96" t="n">
        <f t="shared" si="6"/>
        <v>53.5</v>
      </c>
      <c r="S15" s="96" t="n">
        <f t="shared" si="6"/>
        <v>42.7</v>
      </c>
      <c r="T15" s="603" t="n">
        <f t="shared" si="6"/>
        <v>28.200000000000003</v>
      </c>
      <c r="U15" s="608" t="n">
        <f t="shared" si="6"/>
        <v>16.399999999999999</v>
      </c>
      <c r="V15" s="608" t="n">
        <f t="shared" si="6"/>
        <v>8.886000000000001</v>
      </c>
      <c r="W15" s="608" t="n">
        <f t="shared" si="6"/>
        <v>8.886000000000001</v>
      </c>
      <c r="X15" s="608" t="n">
        <f t="shared" si="6"/>
        <v>0.2</v>
      </c>
      <c r="Y15" s="608" t="n">
        <f t="shared" si="6"/>
        <v>0.2</v>
      </c>
      <c r="Z15" s="608" t="n">
        <f t="shared" si="6"/>
        <v>0.2</v>
      </c>
      <c r="AA15" s="608" t="n">
        <f t="shared" si="6"/>
        <v>0.2</v>
      </c>
      <c r="AB15" s="608" t="n">
        <f t="shared" si="6"/>
        <v>0</v>
      </c>
      <c r="AC15" s="621" t="n">
        <f t="shared" si="6"/>
        <v>0</v>
      </c>
      <c r="AE15" s="220"/>
      <c r="AF15" s="220"/>
    </row>
    <row r="16">
      <c r="B16" s="574" t="s">
        <v>145</v>
      </c>
      <c r="C16" s="80" t="s">
        <v>457</v>
      </c>
      <c r="D16" s="467"/>
      <c r="E16" s="80"/>
      <c r="F16" s="96"/>
      <c r="G16" s="96"/>
      <c r="H16" s="96" t="n">
        <f>'Haver Pivoted'!GS53</f>
        <v>0</v>
      </c>
      <c r="I16" s="96" t="n">
        <f>'Haver Pivoted'!GT53</f>
        <v>0</v>
      </c>
      <c r="J16" s="96" t="n">
        <f>'Haver Pivoted'!GU53</f>
        <v>16.899999999999999</v>
      </c>
      <c r="K16" s="96" t="n">
        <f>'Haver Pivoted'!GV53</f>
        <v>18.399999999999999</v>
      </c>
      <c r="L16" s="96" t="n">
        <f>'Haver Pivoted'!GW53</f>
        <v>46.2</v>
      </c>
      <c r="M16" s="96" t="n">
        <f>'Haver Pivoted'!GX53</f>
        <v>0.9</v>
      </c>
      <c r="N16" s="96" t="n">
        <f>'Haver Pivoted'!GY53</f>
        <v>14.1</v>
      </c>
      <c r="O16" s="96" t="n">
        <f>'Haver Pivoted'!GZ53</f>
        <v>8.6</v>
      </c>
      <c r="P16" s="96" t="n">
        <f>'Haver Pivoted'!HA53</f>
        <v>1.2</v>
      </c>
      <c r="Q16" s="96" t="n">
        <f>'Haver Pivoted'!HB53</f>
        <v>0.6</v>
      </c>
      <c r="R16" s="96" t="n">
        <f>'Haver Pivoted'!HC53</f>
        <v>0</v>
      </c>
      <c r="S16" s="351" t="n">
        <f>'Haver Pivoted'!HD53</f>
        <v>0</v>
      </c>
      <c r="T16" s="376" t="n">
        <f>'Haver Pivoted'!HE53</f>
        <v>0</v>
      </c>
      <c r="U16" s="381"/>
      <c r="V16" s="609"/>
      <c r="W16" s="609"/>
      <c r="X16" s="609"/>
      <c r="Y16" s="609"/>
      <c r="Z16" s="607"/>
      <c r="AA16" s="607"/>
      <c r="AB16" s="607"/>
      <c r="AC16" s="615"/>
      <c r="AE16" s="220"/>
      <c r="AF16" s="220"/>
    </row>
    <row r="17">
      <c r="B17" s="574" t="s">
        <v>143</v>
      </c>
      <c r="C17" s="80" t="s">
        <v>458</v>
      </c>
      <c r="D17" s="467"/>
      <c r="E17" s="80"/>
      <c r="F17" s="96"/>
      <c r="G17" s="96"/>
      <c r="H17" s="96" t="n">
        <f>'Haver Pivoted'!GS51</f>
        <v>0</v>
      </c>
      <c r="I17" s="96" t="n">
        <f>'Haver Pivoted'!GT51</f>
        <v>0</v>
      </c>
      <c r="J17" s="96" t="n">
        <f>'Haver Pivoted'!GU51</f>
        <v>73.3</v>
      </c>
      <c r="K17" s="96" t="n">
        <f>'Haver Pivoted'!GV51</f>
        <v>73.3</v>
      </c>
      <c r="L17" s="96" t="n">
        <f>'Haver Pivoted'!GW51</f>
        <v>73.3</v>
      </c>
      <c r="M17" s="96" t="n">
        <f>'Haver Pivoted'!GX51</f>
        <v>39.799999999999997</v>
      </c>
      <c r="N17" s="96" t="n">
        <f>'Haver Pivoted'!GY51</f>
        <v>43</v>
      </c>
      <c r="O17" s="96" t="n">
        <f>'Haver Pivoted'!GZ51</f>
        <v>45.7</v>
      </c>
      <c r="P17" s="96" t="n">
        <f>'Haver Pivoted'!HA51</f>
        <v>51.5</v>
      </c>
      <c r="Q17" s="96" t="n">
        <f>'Haver Pivoted'!HB51</f>
        <v>0</v>
      </c>
      <c r="R17" s="96" t="n">
        <f>'Haver Pivoted'!HC51</f>
        <v>0</v>
      </c>
      <c r="S17" s="351" t="n">
        <f>'Haver Pivoted'!HD51</f>
        <v>0</v>
      </c>
      <c r="T17" s="376" t="n">
        <f>'Haver Pivoted'!HE51</f>
        <v>0</v>
      </c>
      <c r="U17" s="381" t="n">
        <f t="shared" ref="U17:AC17" si="7">T17</f>
        <v>0</v>
      </c>
      <c r="V17" s="381" t="n">
        <f t="shared" si="7"/>
        <v>0</v>
      </c>
      <c r="W17" s="381" t="n">
        <f t="shared" si="7"/>
        <v>0</v>
      </c>
      <c r="X17" s="381" t="n">
        <f t="shared" si="7"/>
        <v>0</v>
      </c>
      <c r="Y17" s="381" t="n">
        <f t="shared" si="7"/>
        <v>0</v>
      </c>
      <c r="Z17" s="381" t="n">
        <f t="shared" si="7"/>
        <v>0</v>
      </c>
      <c r="AA17" s="381" t="n">
        <f t="shared" si="7"/>
        <v>0</v>
      </c>
      <c r="AB17" s="381" t="n">
        <f t="shared" si="7"/>
        <v>0</v>
      </c>
      <c r="AC17" s="446" t="n">
        <f t="shared" si="7"/>
        <v>0</v>
      </c>
      <c r="AE17" s="220"/>
      <c r="AF17" s="220"/>
    </row>
    <row r="18">
      <c r="B18" s="574" t="s">
        <v>142</v>
      </c>
      <c r="C18" s="77" t="s">
        <v>459</v>
      </c>
      <c r="D18" s="335"/>
      <c r="E18" s="77"/>
      <c r="F18" s="96"/>
      <c r="G18" s="96"/>
      <c r="H18" s="96" t="n">
        <f>'Haver Pivoted'!GS50</f>
        <v>0</v>
      </c>
      <c r="I18" s="96" t="n">
        <f>'Haver Pivoted'!GT50</f>
        <v>0</v>
      </c>
      <c r="J18" s="96" t="n">
        <f>'Haver Pivoted'!GU50</f>
        <v>63.8</v>
      </c>
      <c r="K18" s="96" t="n">
        <f>'Haver Pivoted'!GV50</f>
        <v>15</v>
      </c>
      <c r="L18" s="96" t="n">
        <f>'Haver Pivoted'!GW50</f>
        <v>0.1</v>
      </c>
      <c r="M18" s="96" t="n">
        <f>'Haver Pivoted'!GX50</f>
        <v>38</v>
      </c>
      <c r="N18" s="96" t="n">
        <f>'Haver Pivoted'!GY50</f>
        <v>47.3</v>
      </c>
      <c r="O18" s="96" t="n">
        <f>'Haver Pivoted'!GZ50</f>
        <v>0.7</v>
      </c>
      <c r="P18" s="96" t="n">
        <f>'Haver Pivoted'!HA50</f>
        <v>0</v>
      </c>
      <c r="Q18" s="96" t="n">
        <f>'Haver Pivoted'!HB50</f>
        <v>0.3</v>
      </c>
      <c r="R18" s="96" t="n">
        <f>'Haver Pivoted'!HC50</f>
        <v>0.2</v>
      </c>
      <c r="S18" s="351" t="n">
        <f>'Haver Pivoted'!HD50</f>
        <v>0.3</v>
      </c>
      <c r="T18" s="376" t="n">
        <f>'Haver Pivoted'!HE50</f>
        <v>0.4</v>
      </c>
      <c r="U18" s="381" t="n">
        <f t="shared" ref="U18:AC18" si="8">U30</f>
        <v>0</v>
      </c>
      <c r="V18" s="381" t="n">
        <f t="shared" si="8"/>
        <v>0</v>
      </c>
      <c r="W18" s="381" t="n">
        <f t="shared" si="8"/>
        <v>0</v>
      </c>
      <c r="X18" s="381" t="n">
        <f t="shared" si="8"/>
        <v>0</v>
      </c>
      <c r="Y18" s="381" t="n">
        <f t="shared" si="8"/>
        <v>0</v>
      </c>
      <c r="Z18" s="381" t="n">
        <f t="shared" si="8"/>
        <v>0</v>
      </c>
      <c r="AA18" s="381" t="n">
        <f t="shared" si="8"/>
        <v>0</v>
      </c>
      <c r="AB18" s="381" t="n">
        <f t="shared" si="8"/>
        <v>0</v>
      </c>
      <c r="AC18" s="446" t="n">
        <f t="shared" si="8"/>
        <v>0</v>
      </c>
      <c r="AE18" s="220"/>
      <c r="AF18" s="220"/>
    </row>
    <row r="19">
      <c r="B19" s="574" t="s">
        <v>460</v>
      </c>
      <c r="C19" s="77" t="s">
        <v>356</v>
      </c>
      <c r="D19" s="335"/>
      <c r="E19" s="77"/>
      <c r="F19" s="96"/>
      <c r="G19" s="96"/>
      <c r="H19" s="96" t="n">
        <f>'Haver Pivoted'!GS54</f>
        <v>0</v>
      </c>
      <c r="I19" s="96" t="n">
        <f>'Haver Pivoted'!GT54</f>
        <v>0</v>
      </c>
      <c r="J19" s="96" t="n">
        <f>'Haver Pivoted'!GU54</f>
        <v>96.6</v>
      </c>
      <c r="K19" s="96" t="n">
        <f>'Haver Pivoted'!GV54</f>
        <v>35.1</v>
      </c>
      <c r="L19" s="96" t="n">
        <f>'Haver Pivoted'!GW54</f>
        <v>20.7</v>
      </c>
      <c r="M19" s="96" t="n">
        <f>'Haver Pivoted'!GX54</f>
        <v>15.4</v>
      </c>
      <c r="N19" s="96" t="n">
        <f>'Haver Pivoted'!GY54</f>
        <v>9.6</v>
      </c>
      <c r="O19" s="96" t="n">
        <f>'Haver Pivoted'!GZ54</f>
        <v>13.5</v>
      </c>
      <c r="P19" s="96" t="n">
        <f>'Haver Pivoted'!HA54</f>
        <v>23.2</v>
      </c>
      <c r="Q19" s="96" t="n">
        <f>'Haver Pivoted'!HB54</f>
        <v>19.3</v>
      </c>
      <c r="R19" s="96" t="n">
        <f>'Haver Pivoted'!HC54</f>
        <v>14.4</v>
      </c>
      <c r="S19" s="351" t="n">
        <f>'Haver Pivoted'!HD54</f>
        <v>5.9</v>
      </c>
      <c r="T19" s="376" t="n">
        <f>'Haver Pivoted'!HE54</f>
        <v>3.6</v>
      </c>
      <c r="U19" s="381"/>
      <c r="V19" s="381"/>
      <c r="W19" s="381"/>
      <c r="X19" s="381"/>
      <c r="Y19" s="381"/>
      <c r="Z19" s="607"/>
      <c r="AA19" s="607"/>
      <c r="AB19" s="607"/>
      <c r="AC19" s="615"/>
      <c r="AE19" s="220"/>
      <c r="AF19" s="220"/>
    </row>
    <row r="20">
      <c r="B20" s="574" t="s">
        <v>144</v>
      </c>
      <c r="C20" s="77" t="s">
        <v>461</v>
      </c>
      <c r="D20" s="335"/>
      <c r="E20" s="77"/>
      <c r="F20" s="96"/>
      <c r="G20" s="96"/>
      <c r="H20" s="96" t="n">
        <f>'Haver Pivoted'!GS52</f>
        <v>0</v>
      </c>
      <c r="I20" s="96" t="n">
        <f>'Haver Pivoted'!GT52</f>
        <v>0</v>
      </c>
      <c r="J20" s="96" t="n">
        <f>'Haver Pivoted'!GU52</f>
        <v>22</v>
      </c>
      <c r="K20" s="96" t="n">
        <f>'Haver Pivoted'!GV52</f>
        <v>25.3</v>
      </c>
      <c r="L20" s="96" t="n">
        <f>'Haver Pivoted'!GW52</f>
        <v>11.8</v>
      </c>
      <c r="M20" s="96" t="n">
        <f>'Haver Pivoted'!GX52</f>
        <v>11.9</v>
      </c>
      <c r="N20" s="96" t="n">
        <f>'Haver Pivoted'!GY52</f>
        <v>11.3</v>
      </c>
      <c r="O20" s="96" t="n">
        <f>'Haver Pivoted'!GZ52</f>
        <v>13.6</v>
      </c>
      <c r="P20" s="96" t="n">
        <f>'Haver Pivoted'!HA52</f>
        <v>19</v>
      </c>
      <c r="Q20" s="96" t="n">
        <f>'Haver Pivoted'!HB52</f>
        <v>21.8</v>
      </c>
      <c r="R20" s="96" t="n">
        <f>'Haver Pivoted'!HC52</f>
        <v>22.3</v>
      </c>
      <c r="S20" s="351" t="n">
        <f>'Haver Pivoted'!HD52</f>
        <v>20.2</v>
      </c>
      <c r="T20" s="376" t="n">
        <f>'Haver Pivoted'!HE52</f>
        <v>15.8</v>
      </c>
      <c r="U20" s="381" t="n">
        <v>8</v>
      </c>
      <c r="V20" s="381" t="n">
        <f t="shared" ref="V20:AC20" si="9">V37</f>
        <v>0.48599999999999993</v>
      </c>
      <c r="W20" s="381" t="n">
        <f t="shared" si="9"/>
        <v>0.48599999999999993</v>
      </c>
      <c r="X20" s="381" t="n">
        <f t="shared" si="9"/>
        <v>0</v>
      </c>
      <c r="Y20" s="381" t="n">
        <f t="shared" si="9"/>
        <v>0</v>
      </c>
      <c r="Z20" s="381" t="n">
        <f t="shared" si="9"/>
        <v>0</v>
      </c>
      <c r="AA20" s="381" t="n">
        <f t="shared" si="9"/>
        <v>0</v>
      </c>
      <c r="AB20" s="381" t="n">
        <f t="shared" si="9"/>
        <v>0</v>
      </c>
      <c r="AC20" s="446" t="n">
        <f t="shared" si="9"/>
        <v>0</v>
      </c>
      <c r="AE20" s="220"/>
      <c r="AF20" s="220"/>
      <c r="AH20" s="220"/>
    </row>
    <row r="21">
      <c r="B21" s="574" t="s">
        <v>148</v>
      </c>
      <c r="C21" s="77" t="s">
        <v>462</v>
      </c>
      <c r="D21" s="335"/>
      <c r="E21" s="77"/>
      <c r="F21" s="96"/>
      <c r="G21" s="96"/>
      <c r="H21" s="96" t="n">
        <f>'Haver Pivoted'!GS55</f>
        <v>0</v>
      </c>
      <c r="I21" s="96" t="n">
        <f>'Haver Pivoted'!GT55</f>
        <v>0</v>
      </c>
      <c r="J21" s="96" t="n">
        <f>'Haver Pivoted'!GU55</f>
        <v>140</v>
      </c>
      <c r="K21" s="96" t="n">
        <f>'Haver Pivoted'!GV55</f>
        <v>140</v>
      </c>
      <c r="L21" s="96" t="n">
        <f>'Haver Pivoted'!GW55</f>
        <v>140</v>
      </c>
      <c r="M21" s="96" t="n">
        <f>'Haver Pivoted'!GX55</f>
        <v>4.8</v>
      </c>
      <c r="N21" s="96" t="n">
        <f>'Haver Pivoted'!GY55</f>
        <v>4.4000000000000004</v>
      </c>
      <c r="O21" s="96" t="n">
        <f>'Haver Pivoted'!GZ55</f>
        <v>5.3</v>
      </c>
      <c r="P21" s="96" t="n">
        <f>'Haver Pivoted'!HA55</f>
        <v>4.7</v>
      </c>
      <c r="Q21" s="96" t="n">
        <f>'Haver Pivoted'!HB55</f>
        <v>0</v>
      </c>
      <c r="R21" s="96" t="n">
        <f>'Haver Pivoted'!HC55</f>
        <v>0</v>
      </c>
      <c r="S21" s="351" t="n">
        <f>'Haver Pivoted'!HD55</f>
        <v>0</v>
      </c>
      <c r="T21" s="376" t="n">
        <f>'Haver Pivoted'!HE55</f>
        <v>0</v>
      </c>
      <c r="U21" s="381" t="n">
        <f t="shared" ref="U21:AC21" si="10">T21</f>
        <v>0</v>
      </c>
      <c r="V21" s="381" t="n">
        <f t="shared" si="10"/>
        <v>0</v>
      </c>
      <c r="W21" s="381" t="n">
        <f t="shared" si="10"/>
        <v>0</v>
      </c>
      <c r="X21" s="381" t="n">
        <f t="shared" si="10"/>
        <v>0</v>
      </c>
      <c r="Y21" s="381" t="n">
        <f t="shared" si="10"/>
        <v>0</v>
      </c>
      <c r="Z21" s="381" t="n">
        <f t="shared" si="10"/>
        <v>0</v>
      </c>
      <c r="AA21" s="381" t="n">
        <f t="shared" si="10"/>
        <v>0</v>
      </c>
      <c r="AB21" s="381" t="n">
        <f t="shared" si="10"/>
        <v>0</v>
      </c>
      <c r="AC21" s="446" t="n">
        <f t="shared" si="10"/>
        <v>0</v>
      </c>
      <c r="AE21" s="220"/>
      <c r="AF21" s="220"/>
    </row>
    <row r="22">
      <c r="B22" s="574" t="s">
        <v>463</v>
      </c>
      <c r="C22" s="77" t="s">
        <v>840</v>
      </c>
      <c r="D22" s="378"/>
      <c r="E22" s="96"/>
      <c r="F22" s="96"/>
      <c r="G22" s="96"/>
      <c r="H22" s="96"/>
      <c r="I22" s="96"/>
      <c r="J22" s="96"/>
      <c r="K22" s="96"/>
      <c r="L22" s="96"/>
      <c r="M22" s="96"/>
      <c r="N22" s="96" t="n">
        <f>'Haver Pivoted'!GY87</f>
        <v>11.3</v>
      </c>
      <c r="O22" s="96" t="n">
        <f>'Haver Pivoted'!GZ87</f>
        <v>10.4</v>
      </c>
      <c r="P22" s="96" t="n">
        <f>'Haver Pivoted'!HA87</f>
        <v>5.3</v>
      </c>
      <c r="Q22" s="96" t="n">
        <f>'Haver Pivoted'!HB87</f>
        <v>2.4</v>
      </c>
      <c r="R22" s="96" t="n">
        <f>'Haver Pivoted'!HC87</f>
        <v>0.3</v>
      </c>
      <c r="S22" s="351" t="n">
        <f>'Haver Pivoted'!HD87</f>
        <v>0</v>
      </c>
      <c r="T22" s="376" t="n">
        <f>'Haver Pivoted'!HE87</f>
        <v>0</v>
      </c>
      <c r="U22" s="381" t="n">
        <v>0</v>
      </c>
      <c r="V22" s="381" t="n">
        <v>0</v>
      </c>
      <c r="W22" s="381" t="n">
        <v>0</v>
      </c>
      <c r="X22" s="381" t="n">
        <v>0</v>
      </c>
      <c r="Y22" s="381" t="n">
        <v>0</v>
      </c>
      <c r="Z22" s="381" t="n">
        <v>0</v>
      </c>
      <c r="AA22" s="381" t="n">
        <v>0</v>
      </c>
      <c r="AB22" s="381" t="n">
        <v>0</v>
      </c>
      <c r="AC22" s="446" t="n">
        <v>0</v>
      </c>
      <c r="AE22" s="220"/>
      <c r="AF22" s="220"/>
    </row>
    <row r="23">
      <c r="B23" s="574" t="s">
        <v>464</v>
      </c>
      <c r="C23" s="77" t="s">
        <v>839</v>
      </c>
      <c r="D23" s="335"/>
      <c r="E23" s="77"/>
      <c r="F23" s="96"/>
      <c r="G23" s="599"/>
      <c r="H23" s="96"/>
      <c r="I23" s="96"/>
      <c r="J23" s="96"/>
      <c r="K23" s="96"/>
      <c r="L23" s="96"/>
      <c r="M23" s="96"/>
      <c r="N23" s="96" t="n">
        <f>'Haver Pivoted'!GY86</f>
        <v>21.4</v>
      </c>
      <c r="O23" s="96" t="n">
        <f>'Haver Pivoted'!GZ86</f>
        <v>57</v>
      </c>
      <c r="P23" s="96" t="n">
        <f>'Haver Pivoted'!HA86</f>
        <v>35.5</v>
      </c>
      <c r="Q23" s="96" t="n">
        <f>'Haver Pivoted'!HB86</f>
        <v>0</v>
      </c>
      <c r="R23" s="96" t="n">
        <f>'Haver Pivoted'!HC86</f>
        <v>0</v>
      </c>
      <c r="S23" s="351" t="n">
        <f>'Haver Pivoted'!HD86</f>
        <v>0</v>
      </c>
      <c r="T23" s="376" t="n">
        <f>'Haver Pivoted'!HE86</f>
        <v>0</v>
      </c>
      <c r="U23" s="381" t="n">
        <f t="shared" ref="U23:AC23" si="11">T23</f>
        <v>0</v>
      </c>
      <c r="V23" s="381" t="n">
        <f t="shared" si="11"/>
        <v>0</v>
      </c>
      <c r="W23" s="381" t="n">
        <f t="shared" si="11"/>
        <v>0</v>
      </c>
      <c r="X23" s="381" t="n">
        <f t="shared" si="11"/>
        <v>0</v>
      </c>
      <c r="Y23" s="381" t="n">
        <f t="shared" si="11"/>
        <v>0</v>
      </c>
      <c r="Z23" s="381" t="n">
        <f t="shared" si="11"/>
        <v>0</v>
      </c>
      <c r="AA23" s="381" t="n">
        <f t="shared" si="11"/>
        <v>0</v>
      </c>
      <c r="AB23" s="381" t="n">
        <f t="shared" si="11"/>
        <v>0</v>
      </c>
      <c r="AC23" s="446" t="n">
        <f t="shared" si="11"/>
        <v>0</v>
      </c>
      <c r="AE23" s="220"/>
      <c r="AF23" s="220"/>
    </row>
    <row r="24">
      <c r="B24" s="574" t="s">
        <v>465</v>
      </c>
      <c r="C24" s="77"/>
      <c r="D24" s="335"/>
      <c r="E24" s="77"/>
      <c r="F24" s="96"/>
      <c r="G24" s="96"/>
      <c r="H24" s="96"/>
      <c r="I24" s="96"/>
      <c r="J24" s="96"/>
      <c r="K24" s="96"/>
      <c r="L24" s="96"/>
      <c r="M24" s="96"/>
      <c r="N24" s="96"/>
      <c r="O24" s="78" t="n">
        <f>O41+O42</f>
        <v>12.51648</v>
      </c>
      <c r="P24" s="78" t="n">
        <f>P41+P42</f>
        <v>11.3</v>
      </c>
      <c r="Q24" s="78" t="n">
        <f t="shared" ref="Q24:AC24" si="12">Q41+Q42</f>
        <v>11.3</v>
      </c>
      <c r="R24" s="78" t="n">
        <f t="shared" si="12"/>
        <v>11.3</v>
      </c>
      <c r="S24" s="78" t="n">
        <f t="shared" si="12"/>
        <v>11.3</v>
      </c>
      <c r="T24" s="353" t="n">
        <f t="shared" si="12"/>
        <v>8.4</v>
      </c>
      <c r="U24" s="381" t="n">
        <f t="shared" si="12"/>
        <v>8.4</v>
      </c>
      <c r="V24" s="381" t="n">
        <f t="shared" si="12"/>
        <v>8.4</v>
      </c>
      <c r="W24" s="381" t="n">
        <f t="shared" si="12"/>
        <v>8.4</v>
      </c>
      <c r="X24" s="381" t="n">
        <f t="shared" si="12"/>
        <v>0.2</v>
      </c>
      <c r="Y24" s="381" t="n">
        <f t="shared" si="12"/>
        <v>0.2</v>
      </c>
      <c r="Z24" s="381" t="n">
        <f t="shared" si="12"/>
        <v>0.2</v>
      </c>
      <c r="AA24" s="381" t="n">
        <f t="shared" si="12"/>
        <v>0.2</v>
      </c>
      <c r="AB24" s="381" t="n">
        <f t="shared" si="12"/>
        <v>0</v>
      </c>
      <c r="AC24" s="446" t="n">
        <f t="shared" si="12"/>
        <v>0</v>
      </c>
      <c r="AE24" s="220"/>
      <c r="AF24" s="220"/>
    </row>
    <row r="25">
      <c r="B25" s="574" t="s">
        <v>466</v>
      </c>
      <c r="C25" s="77"/>
      <c r="D25" s="335"/>
      <c r="E25" s="77"/>
      <c r="F25" s="78"/>
      <c r="G25" s="78"/>
      <c r="H25" s="267"/>
      <c r="I25" s="267"/>
      <c r="J25" s="267"/>
      <c r="K25" s="267"/>
      <c r="L25" s="267"/>
      <c r="M25" s="267"/>
      <c r="N25" s="78"/>
      <c r="O25" s="78" t="n">
        <f>O34</f>
        <v>12</v>
      </c>
      <c r="P25" s="78" t="n">
        <v>25</v>
      </c>
      <c r="Q25" s="78" t="n">
        <v>5</v>
      </c>
      <c r="R25" s="78" t="n">
        <v>5</v>
      </c>
      <c r="S25" s="78" t="n">
        <v>5</v>
      </c>
      <c r="T25" s="353" t="n">
        <f t="shared" ref="T25:AC25" si="13">T34</f>
        <v>0</v>
      </c>
      <c r="U25" s="381" t="n">
        <f t="shared" si="13"/>
        <v>0</v>
      </c>
      <c r="V25" s="381" t="n">
        <f t="shared" si="13"/>
        <v>0</v>
      </c>
      <c r="W25" s="381" t="n">
        <f t="shared" si="13"/>
        <v>0</v>
      </c>
      <c r="X25" s="381" t="n">
        <f t="shared" si="13"/>
        <v>0</v>
      </c>
      <c r="Y25" s="381" t="n">
        <f t="shared" si="13"/>
        <v>0</v>
      </c>
      <c r="Z25" s="381" t="n">
        <f t="shared" si="13"/>
        <v>0</v>
      </c>
      <c r="AA25" s="381" t="n">
        <f t="shared" si="13"/>
        <v>0</v>
      </c>
      <c r="AB25" s="381" t="n">
        <f t="shared" si="13"/>
        <v>0</v>
      </c>
      <c r="AC25" s="446" t="n">
        <f t="shared" si="13"/>
        <v>0</v>
      </c>
      <c r="AE25" s="220"/>
      <c r="AF25" s="220"/>
    </row>
    <row r="26">
      <c r="B26" s="574" t="s">
        <v>1453</v>
      </c>
      <c r="C26" s="77"/>
      <c r="D26" s="335"/>
      <c r="E26" s="77"/>
      <c r="F26" s="78"/>
      <c r="G26" s="78"/>
      <c r="H26" s="267"/>
      <c r="I26" s="267"/>
      <c r="J26" s="267"/>
      <c r="K26" s="267"/>
      <c r="L26" s="267"/>
      <c r="M26" s="267"/>
      <c r="N26" s="78"/>
      <c r="O26" s="78"/>
      <c r="P26" s="78"/>
      <c r="Q26" s="78"/>
      <c r="R26" s="78"/>
      <c r="S26" s="575" t="n">
        <f>'IRA and CHIPS'!E198</f>
        <v>0</v>
      </c>
      <c r="T26" s="576" t="n">
        <f>'IRA and CHIPS'!F198</f>
        <v>2.3250000000000002</v>
      </c>
      <c r="U26" s="580" t="n">
        <f>'IRA and CHIPS'!G198</f>
        <v>2.3250000000000002</v>
      </c>
      <c r="V26" s="580" t="n">
        <f>'IRA and CHIPS'!H198</f>
        <v>2.3250000000000002</v>
      </c>
      <c r="W26" s="580" t="n">
        <f>'IRA and CHIPS'!I198</f>
        <v>2.3250000000000002</v>
      </c>
      <c r="X26" s="580" t="n">
        <f>'IRA and CHIPS'!J198</f>
        <v>5.5830000000000002</v>
      </c>
      <c r="Y26" s="580" t="n">
        <f>'IRA and CHIPS'!K198</f>
        <v>5.5830000000000002</v>
      </c>
      <c r="Z26" s="580" t="n">
        <f>'IRA and CHIPS'!L198</f>
        <v>5.5830000000000002</v>
      </c>
      <c r="AA26" s="580" t="n">
        <f>'IRA and CHIPS'!M198</f>
        <v>5.5830000000000002</v>
      </c>
      <c r="AB26" s="580" t="n">
        <f>'IRA and CHIPS'!N198</f>
        <v>8.0220000000000002</v>
      </c>
      <c r="AC26" s="581" t="n">
        <f>'IRA and CHIPS'!O198</f>
        <v>8.0220000000000002</v>
      </c>
      <c r="AE26" s="220"/>
      <c r="AF26" s="220"/>
    </row>
    <row r="27">
      <c r="B27" s="574" t="s">
        <v>1261</v>
      </c>
      <c r="C27" s="405"/>
      <c r="D27" s="403"/>
      <c r="E27" s="405"/>
      <c r="F27" s="410"/>
      <c r="G27" s="410"/>
      <c r="H27" s="577"/>
      <c r="I27" s="577"/>
      <c r="J27" s="577"/>
      <c r="K27" s="577"/>
      <c r="L27" s="577"/>
      <c r="M27" s="577"/>
      <c r="N27" s="410"/>
      <c r="O27" s="410"/>
      <c r="P27" s="410"/>
      <c r="Q27" s="410"/>
      <c r="R27" s="410"/>
      <c r="S27" s="578" t="n">
        <f>'IRA and CHIPS'!E187</f>
        <v>0</v>
      </c>
      <c r="T27" s="579" t="n">
        <f>'IRA and CHIPS'!F187</f>
        <v>1.2969999999999999</v>
      </c>
      <c r="U27" s="582" t="n">
        <f>'IRA and CHIPS'!G187</f>
        <v>1.2969999999999999</v>
      </c>
      <c r="V27" s="582" t="n">
        <f>'IRA and CHIPS'!H187</f>
        <v>1.2969999999999999</v>
      </c>
      <c r="W27" s="582" t="n">
        <f>'IRA and CHIPS'!I187</f>
        <v>1.2969999999999999</v>
      </c>
      <c r="X27" s="582" t="n">
        <f>'IRA and CHIPS'!J187</f>
        <v>3.8479999999999999</v>
      </c>
      <c r="Y27" s="582" t="n">
        <f>'IRA and CHIPS'!K187</f>
        <v>3.8479999999999999</v>
      </c>
      <c r="Z27" s="582" t="n">
        <f>'IRA and CHIPS'!L187</f>
        <v>3.8479999999999999</v>
      </c>
      <c r="AA27" s="582" t="n">
        <f>'IRA and CHIPS'!M187</f>
        <v>3.8479999999999999</v>
      </c>
      <c r="AB27" s="582" t="n">
        <f>'IRA and CHIPS'!N187</f>
        <v>6.4420000000000002</v>
      </c>
      <c r="AC27" s="583" t="n">
        <f>'IRA and CHIPS'!O187</f>
        <v>6.4420000000000002</v>
      </c>
      <c r="AE27" s="220"/>
      <c r="AF27" s="220"/>
    </row>
    <row r="28" ht="15" customHeight="1">
      <c r="B28" s="572" t="s">
        <v>467</v>
      </c>
      <c r="C28" s="573"/>
      <c r="D28" s="585"/>
      <c r="E28" s="573"/>
      <c r="F28" s="573"/>
      <c r="G28" s="573"/>
      <c r="H28" s="78"/>
      <c r="I28" s="78"/>
      <c r="J28" s="78"/>
      <c r="K28" s="78"/>
      <c r="L28" s="78"/>
      <c r="M28" s="78"/>
      <c r="N28" s="78"/>
      <c r="O28" s="78"/>
      <c r="P28" s="597"/>
      <c r="Q28" s="78"/>
      <c r="R28" s="78"/>
      <c r="S28" s="78"/>
      <c r="T28" s="353"/>
      <c r="U28" s="381"/>
      <c r="V28" s="607"/>
      <c r="W28" s="607"/>
      <c r="X28" s="607"/>
      <c r="Y28" s="607"/>
      <c r="Z28" s="607"/>
      <c r="AA28" s="607"/>
      <c r="AB28" s="607"/>
      <c r="AC28" s="615"/>
      <c r="AE28" s="220"/>
      <c r="AF28" s="220"/>
    </row>
    <row r="29">
      <c r="B29" s="457" t="s">
        <v>468</v>
      </c>
      <c r="C29" s="540"/>
      <c r="D29" s="541"/>
      <c r="E29" s="540"/>
      <c r="F29" s="267"/>
      <c r="G29" s="267"/>
      <c r="H29" s="78"/>
      <c r="I29" s="78"/>
      <c r="J29" s="78"/>
      <c r="K29" s="78"/>
      <c r="L29" s="78"/>
      <c r="M29" s="78"/>
      <c r="N29" s="78" t="n">
        <f>SUM(N30:N34)</f>
        <v>23</v>
      </c>
      <c r="O29" s="78" t="n">
        <f>SUM(O30:O34)</f>
        <v>162</v>
      </c>
      <c r="P29" s="78"/>
      <c r="Q29" s="78"/>
      <c r="R29" s="78"/>
      <c r="S29" s="78"/>
      <c r="T29" s="353"/>
      <c r="U29" s="381"/>
      <c r="V29" s="607"/>
      <c r="W29" s="607"/>
      <c r="X29" s="607"/>
      <c r="Y29" s="607"/>
      <c r="Z29" s="607"/>
      <c r="AA29" s="607"/>
      <c r="AB29" s="607"/>
      <c r="AC29" s="615"/>
      <c r="AE29" s="220"/>
      <c r="AF29" s="220"/>
    </row>
    <row r="30">
      <c r="B30" s="347" t="s">
        <v>469</v>
      </c>
      <c r="C30" s="540"/>
      <c r="D30" s="541"/>
      <c r="E30" s="540"/>
      <c r="F30" s="267"/>
      <c r="G30" s="267"/>
      <c r="H30" s="78"/>
      <c r="I30" s="78"/>
      <c r="J30" s="78"/>
      <c r="K30" s="78"/>
      <c r="L30" s="589"/>
      <c r="M30" s="78"/>
      <c r="N30" s="78" t="n">
        <f>(4*'Response and Relief Act Score'!$F$15-$M$18)/2</f>
        <v>11</v>
      </c>
      <c r="O30" s="78" t="n">
        <f>(4*'Response and Relief Act Score'!$F$15-$M$18)/2</f>
        <v>11</v>
      </c>
      <c r="P30" s="78"/>
      <c r="Q30" s="78"/>
      <c r="R30" s="78"/>
      <c r="S30" s="78"/>
      <c r="T30" s="353"/>
      <c r="U30" s="381"/>
      <c r="V30" s="607"/>
      <c r="W30" s="607"/>
      <c r="X30" s="607"/>
      <c r="Y30" s="607"/>
      <c r="Z30" s="607"/>
      <c r="AA30" s="607"/>
      <c r="AB30" s="607"/>
      <c r="AC30" s="615"/>
      <c r="AE30" s="220"/>
      <c r="AF30" s="220"/>
    </row>
    <row r="31">
      <c r="B31" s="347" t="s">
        <v>466</v>
      </c>
      <c r="C31" s="540"/>
      <c r="D31" s="541"/>
      <c r="E31" s="540"/>
      <c r="F31" s="267"/>
      <c r="G31" s="267"/>
      <c r="H31" s="78"/>
      <c r="I31" s="78"/>
      <c r="J31" s="78"/>
      <c r="K31" s="78"/>
      <c r="L31" s="589"/>
      <c r="M31" s="78"/>
      <c r="N31" s="78"/>
      <c r="O31" s="78"/>
      <c r="P31" s="78"/>
      <c r="Q31" s="78"/>
      <c r="R31" s="78"/>
      <c r="S31" s="78"/>
      <c r="T31" s="353"/>
      <c r="U31" s="381"/>
      <c r="V31" s="607"/>
      <c r="W31" s="607"/>
      <c r="X31" s="607"/>
      <c r="Y31" s="607"/>
      <c r="Z31" s="607"/>
      <c r="AA31" s="607"/>
      <c r="AB31" s="607"/>
      <c r="AC31" s="615"/>
      <c r="AE31" s="220"/>
      <c r="AF31" s="220"/>
    </row>
    <row r="32">
      <c r="B32" s="616" t="s">
        <v>463</v>
      </c>
      <c r="C32" s="540"/>
      <c r="D32" s="541"/>
      <c r="E32" s="540"/>
      <c r="F32" s="267"/>
      <c r="G32" s="267"/>
      <c r="H32" s="78"/>
      <c r="I32" s="78"/>
      <c r="J32" s="78"/>
      <c r="K32" s="78"/>
      <c r="L32" s="78"/>
      <c r="M32" s="78"/>
      <c r="N32" s="78"/>
      <c r="O32" s="78" t="n">
        <v>79</v>
      </c>
      <c r="P32" s="78"/>
      <c r="Q32" s="420"/>
      <c r="R32" s="420"/>
      <c r="S32" s="420"/>
      <c r="T32" s="462"/>
      <c r="U32" s="450"/>
      <c r="V32" s="607"/>
      <c r="W32" s="607"/>
      <c r="X32" s="607"/>
      <c r="Y32" s="607"/>
      <c r="Z32" s="607"/>
      <c r="AA32" s="607"/>
      <c r="AB32" s="607"/>
      <c r="AC32" s="615"/>
      <c r="AE32" s="220"/>
      <c r="AF32" s="220"/>
    </row>
    <row r="33">
      <c r="B33" s="617" t="s">
        <v>470</v>
      </c>
      <c r="C33" s="540"/>
      <c r="D33" s="541"/>
      <c r="E33" s="540"/>
      <c r="F33" s="267"/>
      <c r="G33" s="267"/>
      <c r="H33" s="78"/>
      <c r="I33" s="78"/>
      <c r="J33" s="78"/>
      <c r="K33" s="78"/>
      <c r="L33" s="78"/>
      <c r="M33" s="78"/>
      <c r="N33" s="78"/>
      <c r="O33" s="78" t="n">
        <f>'Response and Relief Act Score'!F13*4</f>
        <v>60</v>
      </c>
      <c r="P33" s="78"/>
      <c r="Q33" s="420"/>
      <c r="R33" s="420"/>
      <c r="S33" s="420"/>
      <c r="T33" s="462"/>
      <c r="U33" s="450"/>
      <c r="V33" s="607"/>
      <c r="W33" s="607"/>
      <c r="X33" s="607"/>
      <c r="Y33" s="607"/>
      <c r="Z33" s="607"/>
      <c r="AA33" s="607"/>
      <c r="AB33" s="607"/>
      <c r="AC33" s="615"/>
      <c r="AE33" s="220"/>
      <c r="AF33" s="220"/>
    </row>
    <row r="34" ht="27.6" customHeight="1">
      <c r="B34" s="617" t="s">
        <v>471</v>
      </c>
      <c r="C34" s="540"/>
      <c r="D34" s="587"/>
      <c r="E34" s="588"/>
      <c r="F34" s="577"/>
      <c r="G34" s="577"/>
      <c r="H34" s="410"/>
      <c r="I34" s="410"/>
      <c r="J34" s="410"/>
      <c r="K34" s="410"/>
      <c r="L34" s="596"/>
      <c r="M34" s="410"/>
      <c r="N34" s="410" t="n">
        <f>'Response and Relief Act Score'!F14*4/2</f>
        <v>12</v>
      </c>
      <c r="O34" s="410" t="n">
        <f>'Response and Relief Act Score'!F14*4/2</f>
        <v>12</v>
      </c>
      <c r="P34" s="410"/>
      <c r="Q34" s="410"/>
      <c r="R34" s="410"/>
      <c r="S34" s="410"/>
      <c r="T34" s="394"/>
      <c r="U34" s="381"/>
      <c r="V34" s="607"/>
      <c r="W34" s="607"/>
      <c r="X34" s="607"/>
      <c r="Y34" s="607"/>
      <c r="Z34" s="607"/>
      <c r="AA34" s="607"/>
      <c r="AB34" s="607"/>
      <c r="AC34" s="615"/>
      <c r="AE34" s="220"/>
      <c r="AF34" s="220"/>
    </row>
    <row r="35" ht="15" customHeight="1">
      <c r="B35" s="570" t="s">
        <v>472</v>
      </c>
      <c r="C35" s="571"/>
      <c r="D35" s="541"/>
      <c r="E35" s="540"/>
      <c r="F35" s="267"/>
      <c r="G35" s="267"/>
      <c r="H35" s="78"/>
      <c r="I35" s="78"/>
      <c r="J35" s="78"/>
      <c r="K35" s="78"/>
      <c r="L35" s="589"/>
      <c r="M35" s="78"/>
      <c r="N35" s="78"/>
      <c r="O35" s="78"/>
      <c r="P35" s="78"/>
      <c r="Q35" s="78"/>
      <c r="R35" s="78"/>
      <c r="S35" s="78"/>
      <c r="T35" s="353"/>
      <c r="U35" s="619"/>
      <c r="V35" s="620"/>
      <c r="W35" s="620"/>
      <c r="X35" s="620"/>
      <c r="Y35" s="620"/>
      <c r="Z35" s="620"/>
      <c r="AA35" s="620"/>
      <c r="AB35" s="620"/>
      <c r="AC35" s="604"/>
      <c r="AE35" s="220"/>
      <c r="AF35" s="220"/>
    </row>
    <row r="36" ht="13.5" customHeight="1">
      <c r="B36" s="617" t="s">
        <v>143</v>
      </c>
      <c r="C36" s="540"/>
      <c r="D36" s="541"/>
      <c r="E36" s="540"/>
      <c r="F36" s="267"/>
      <c r="G36" s="267"/>
      <c r="H36" s="78"/>
      <c r="I36" s="78"/>
      <c r="J36" s="78"/>
      <c r="K36" s="78"/>
      <c r="L36" s="589"/>
      <c r="M36" s="78" t="n">
        <f>'ARP Quarterly'!C18</f>
        <v>0</v>
      </c>
      <c r="N36" s="78" t="n">
        <f>'ARP Quarterly'!D18</f>
        <v>2.2132800000000001</v>
      </c>
      <c r="O36" s="78" t="n">
        <f>'ARP Quarterly'!E18</f>
        <v>10.082720000000002</v>
      </c>
      <c r="P36" s="78" t="n">
        <f>'ARP Quarterly'!F18</f>
        <v>7.1439999999999992</v>
      </c>
      <c r="Q36" s="78" t="n">
        <f>'ARP Quarterly'!G18</f>
        <v>7.1439999999999992</v>
      </c>
      <c r="R36" s="78" t="n">
        <f>'ARP Quarterly'!H18</f>
        <v>7.1439999999999992</v>
      </c>
      <c r="S36" s="78" t="n">
        <f>'ARP Quarterly'!I18</f>
        <v>7.1439999999999992</v>
      </c>
      <c r="T36" s="353" t="n">
        <f>'ARP Quarterly'!J18</f>
        <v>0</v>
      </c>
      <c r="U36" s="381" t="n">
        <f>'ARP Quarterly'!K18</f>
        <v>0</v>
      </c>
      <c r="V36" s="381" t="n">
        <f>'ARP Quarterly'!L18</f>
        <v>0</v>
      </c>
      <c r="W36" s="381" t="n">
        <f>'ARP Quarterly'!M18</f>
        <v>0</v>
      </c>
      <c r="X36" s="381" t="n">
        <f>'ARP Quarterly'!N18</f>
        <v>0</v>
      </c>
      <c r="Y36" s="381" t="n">
        <f>'ARP Quarterly'!O18</f>
        <v>0</v>
      </c>
      <c r="Z36" s="381" t="n">
        <f>'ARP Quarterly'!P18</f>
        <v>0</v>
      </c>
      <c r="AA36" s="381" t="n">
        <f>'ARP Quarterly'!Q18</f>
        <v>0</v>
      </c>
      <c r="AB36" s="381" t="n">
        <f>'ARP Quarterly'!R18</f>
        <v>0</v>
      </c>
      <c r="AC36" s="446" t="n">
        <f>'ARP Quarterly'!S18</f>
        <v>0</v>
      </c>
      <c r="AE36" s="220"/>
      <c r="AF36" s="220"/>
    </row>
    <row r="37">
      <c r="B37" s="617" t="s">
        <v>473</v>
      </c>
      <c r="C37" s="540"/>
      <c r="D37" s="541"/>
      <c r="E37" s="540"/>
      <c r="F37" s="267"/>
      <c r="G37" s="267"/>
      <c r="H37" s="78"/>
      <c r="I37" s="78"/>
      <c r="J37" s="78"/>
      <c r="K37" s="78"/>
      <c r="L37" s="589"/>
      <c r="M37" s="78" t="n">
        <f>'ARP Quarterly'!C19</f>
        <v>0</v>
      </c>
      <c r="N37" s="78" t="n">
        <f>'ARP Quarterly'!D19</f>
        <v>15.128640000000001</v>
      </c>
      <c r="O37" s="78" t="n">
        <f>'ARP Quarterly'!E19</f>
        <v>68.919360000000012</v>
      </c>
      <c r="P37" s="78" t="n">
        <f>'ARP Quarterly'!F19</f>
        <v>5.6120000000000001</v>
      </c>
      <c r="Q37" s="78" t="n">
        <f>'ARP Quarterly'!G19</f>
        <v>5.6120000000000001</v>
      </c>
      <c r="R37" s="78" t="n">
        <f>'ARP Quarterly'!H19</f>
        <v>5.6120000000000001</v>
      </c>
      <c r="S37" s="78" t="n">
        <f>'ARP Quarterly'!I19</f>
        <v>5.6120000000000001</v>
      </c>
      <c r="T37" s="353" t="n">
        <f>'ARP Quarterly'!J19</f>
        <v>0.48599999999999993</v>
      </c>
      <c r="U37" s="381" t="n">
        <f>'ARP Quarterly'!K19</f>
        <v>0.48599999999999993</v>
      </c>
      <c r="V37" s="381" t="n">
        <f>'ARP Quarterly'!L19</f>
        <v>0.48599999999999993</v>
      </c>
      <c r="W37" s="381" t="n">
        <f>'ARP Quarterly'!M19</f>
        <v>0.48599999999999993</v>
      </c>
      <c r="X37" s="381" t="n">
        <f>'ARP Quarterly'!N19</f>
        <v>0</v>
      </c>
      <c r="Y37" s="381" t="n">
        <f>'ARP Quarterly'!O19</f>
        <v>0</v>
      </c>
      <c r="Z37" s="381" t="n">
        <f>'ARP Quarterly'!P19</f>
        <v>0</v>
      </c>
      <c r="AA37" s="381" t="n">
        <f>'ARP Quarterly'!Q19</f>
        <v>0</v>
      </c>
      <c r="AB37" s="381" t="n">
        <f>'ARP Quarterly'!R19</f>
        <v>0</v>
      </c>
      <c r="AC37" s="446" t="n">
        <f>'ARP Quarterly'!S19</f>
        <v>0</v>
      </c>
      <c r="AE37" s="220"/>
      <c r="AF37" s="220"/>
    </row>
    <row r="38">
      <c r="B38" s="617" t="s">
        <v>148</v>
      </c>
      <c r="C38" s="540"/>
      <c r="D38" s="541"/>
      <c r="E38" s="540"/>
      <c r="F38" s="267"/>
      <c r="G38" s="267"/>
      <c r="H38" s="78"/>
      <c r="I38" s="78"/>
      <c r="J38" s="78"/>
      <c r="K38" s="78"/>
      <c r="L38" s="589"/>
      <c r="M38" s="78" t="n">
        <f>'ARP Quarterly'!C20</f>
        <v>0</v>
      </c>
      <c r="N38" s="78" t="n">
        <f>'ARP Quarterly'!D20</f>
        <v>3.2479199999999997</v>
      </c>
      <c r="O38" s="78" t="n">
        <f>'ARP Quarterly'!E20</f>
        <v>14.796080000000002</v>
      </c>
      <c r="P38" s="78" t="n">
        <f>'ARP Quarterly'!F20</f>
        <v>1.7329999999999999</v>
      </c>
      <c r="Q38" s="78" t="n">
        <f>'ARP Quarterly'!G20</f>
        <v>1.7329999999999999</v>
      </c>
      <c r="R38" s="78" t="n">
        <f>'ARP Quarterly'!H20</f>
        <v>1.7329999999999999</v>
      </c>
      <c r="S38" s="78" t="n">
        <f>'ARP Quarterly'!I20</f>
        <v>1.7329999999999999</v>
      </c>
      <c r="T38" s="353" t="n">
        <f>'ARP Quarterly'!J20</f>
        <v>0</v>
      </c>
      <c r="U38" s="381" t="n">
        <f>'ARP Quarterly'!K20</f>
        <v>0</v>
      </c>
      <c r="V38" s="381" t="n">
        <f>'ARP Quarterly'!L20</f>
        <v>0</v>
      </c>
      <c r="W38" s="381" t="n">
        <f>'ARP Quarterly'!M20</f>
        <v>0</v>
      </c>
      <c r="X38" s="381" t="n">
        <f>'ARP Quarterly'!N20</f>
        <v>0</v>
      </c>
      <c r="Y38" s="381" t="n">
        <f>'ARP Quarterly'!O20</f>
        <v>0</v>
      </c>
      <c r="Z38" s="381" t="n">
        <f>'ARP Quarterly'!P20</f>
        <v>0</v>
      </c>
      <c r="AA38" s="381" t="n">
        <f>'ARP Quarterly'!Q20</f>
        <v>0</v>
      </c>
      <c r="AB38" s="381" t="n">
        <f>'ARP Quarterly'!R20</f>
        <v>0</v>
      </c>
      <c r="AC38" s="446" t="n">
        <f>'ARP Quarterly'!S20</f>
        <v>0</v>
      </c>
      <c r="AE38" s="220"/>
      <c r="AF38" s="220"/>
    </row>
    <row r="39">
      <c r="B39" s="617" t="s">
        <v>463</v>
      </c>
      <c r="C39" s="540"/>
      <c r="D39" s="541"/>
      <c r="E39" s="540"/>
      <c r="F39" s="267"/>
      <c r="G39" s="267"/>
      <c r="H39" s="78"/>
      <c r="I39" s="78"/>
      <c r="J39" s="78"/>
      <c r="K39" s="78"/>
      <c r="L39" s="589"/>
      <c r="M39" s="78" t="n">
        <f>'ARP Quarterly'!C21</f>
        <v>0</v>
      </c>
      <c r="N39" s="78" t="n">
        <f>'ARP Quarterly'!D21</f>
        <v>13.2921</v>
      </c>
      <c r="O39" s="78" t="n">
        <f>'ARP Quarterly'!E21</f>
        <v>60.552900000000008</v>
      </c>
      <c r="P39" s="78" t="n">
        <f>'ARP Quarterly'!F21</f>
        <v>1.0687500000000001</v>
      </c>
      <c r="Q39" s="78" t="n">
        <f>'ARP Quarterly'!G21</f>
        <v>1.0687500000000001</v>
      </c>
      <c r="R39" s="78" t="n">
        <f>'ARP Quarterly'!H21</f>
        <v>1.0687500000000001</v>
      </c>
      <c r="S39" s="78" t="n">
        <f>'ARP Quarterly'!I21</f>
        <v>1.0687500000000001</v>
      </c>
      <c r="T39" s="353" t="n">
        <f>'ARP Quarterly'!J21</f>
        <v>0.78750000000000009</v>
      </c>
      <c r="U39" s="381" t="n">
        <f>'ARP Quarterly'!K21</f>
        <v>0.78750000000000009</v>
      </c>
      <c r="V39" s="381" t="n">
        <f>'ARP Quarterly'!L21</f>
        <v>0.78750000000000009</v>
      </c>
      <c r="W39" s="381" t="n">
        <f>'ARP Quarterly'!M21</f>
        <v>0.78750000000000009</v>
      </c>
      <c r="X39" s="381" t="n">
        <f>'ARP Quarterly'!N21</f>
        <v>0</v>
      </c>
      <c r="Y39" s="381" t="n">
        <f>'ARP Quarterly'!O21</f>
        <v>0</v>
      </c>
      <c r="Z39" s="381" t="n">
        <f>'ARP Quarterly'!P21</f>
        <v>0</v>
      </c>
      <c r="AA39" s="381" t="n">
        <f>'ARP Quarterly'!Q21</f>
        <v>0</v>
      </c>
      <c r="AB39" s="381" t="n">
        <f>'ARP Quarterly'!R21</f>
        <v>0</v>
      </c>
      <c r="AC39" s="446" t="n">
        <f>'ARP Quarterly'!S21</f>
        <v>0</v>
      </c>
      <c r="AE39" s="220"/>
      <c r="AF39" s="220"/>
    </row>
    <row r="40" ht="30" customHeight="1">
      <c r="B40" s="617" t="s">
        <v>474</v>
      </c>
      <c r="C40" s="540"/>
      <c r="D40" s="541"/>
      <c r="E40" s="540"/>
      <c r="F40" s="267"/>
      <c r="G40" s="267"/>
      <c r="H40" s="78"/>
      <c r="I40" s="78"/>
      <c r="J40" s="78"/>
      <c r="K40" s="78"/>
      <c r="L40" s="589"/>
      <c r="M40" s="78" t="n">
        <f>'ARP Quarterly'!C22</f>
        <v>0</v>
      </c>
      <c r="N40" s="78" t="n">
        <f>'ARP Quarterly'!D22</f>
        <v>22.153499999999998</v>
      </c>
      <c r="O40" s="78" t="n">
        <f>'ARP Quarterly'!E22</f>
        <v>100.92150000000002</v>
      </c>
      <c r="P40" s="78" t="n">
        <f>'ARP Quarterly'!F22</f>
        <v>1.7812500000000002</v>
      </c>
      <c r="Q40" s="78" t="n">
        <f>'ARP Quarterly'!G22</f>
        <v>1.7812500000000002</v>
      </c>
      <c r="R40" s="78" t="n">
        <f>'ARP Quarterly'!H22</f>
        <v>1.7812500000000002</v>
      </c>
      <c r="S40" s="78" t="n">
        <f>'ARP Quarterly'!I22</f>
        <v>1.7812500000000002</v>
      </c>
      <c r="T40" s="353" t="n">
        <f>'ARP Quarterly'!J22</f>
        <v>1.3125000000000002</v>
      </c>
      <c r="U40" s="381" t="n">
        <f>'ARP Quarterly'!K22</f>
        <v>1.3125000000000002</v>
      </c>
      <c r="V40" s="381" t="n">
        <f>'ARP Quarterly'!L22</f>
        <v>1.3125000000000002</v>
      </c>
      <c r="W40" s="381" t="n">
        <f>'ARP Quarterly'!M22</f>
        <v>1.3125000000000002</v>
      </c>
      <c r="X40" s="381" t="n">
        <f>'ARP Quarterly'!N22</f>
        <v>0</v>
      </c>
      <c r="Y40" s="381" t="n">
        <f>'ARP Quarterly'!O22</f>
        <v>0</v>
      </c>
      <c r="Z40" s="381" t="n">
        <f>'ARP Quarterly'!P22</f>
        <v>0</v>
      </c>
      <c r="AA40" s="381" t="n">
        <f>'ARP Quarterly'!Q22</f>
        <v>0</v>
      </c>
      <c r="AB40" s="381" t="n">
        <f>'ARP Quarterly'!R22</f>
        <v>0</v>
      </c>
      <c r="AC40" s="446" t="n">
        <f>'ARP Quarterly'!S22</f>
        <v>0</v>
      </c>
      <c r="AE40" s="220"/>
      <c r="AF40" s="220"/>
    </row>
    <row r="41">
      <c r="B41" s="617" t="s">
        <v>475</v>
      </c>
      <c r="C41" s="540"/>
      <c r="D41" s="541"/>
      <c r="E41" s="540"/>
      <c r="F41" s="267"/>
      <c r="G41" s="267"/>
      <c r="H41" s="78"/>
      <c r="I41" s="78"/>
      <c r="J41" s="78"/>
      <c r="K41" s="78"/>
      <c r="L41" s="589"/>
      <c r="M41" s="78" t="n">
        <f>'ARP Quarterly'!C23</f>
        <v>0</v>
      </c>
      <c r="N41" s="78" t="n">
        <f>'ARP Quarterly'!D23</f>
        <v>2.9519999999999995</v>
      </c>
      <c r="O41" s="78" t="n">
        <f>'ARP Quarterly'!E23</f>
        <v>13.448</v>
      </c>
      <c r="P41" s="78" t="n">
        <f>'ARP Quarterly'!F23</f>
        <v>11.3</v>
      </c>
      <c r="Q41" s="78" t="n">
        <f>'ARP Quarterly'!G23</f>
        <v>11.3</v>
      </c>
      <c r="R41" s="78" t="n">
        <f>'ARP Quarterly'!H23</f>
        <v>11.3</v>
      </c>
      <c r="S41" s="78" t="n">
        <f>'ARP Quarterly'!I23</f>
        <v>11.3</v>
      </c>
      <c r="T41" s="353" t="n">
        <f>'ARP Quarterly'!J23</f>
        <v>8.4</v>
      </c>
      <c r="U41" s="381" t="n">
        <f>'ARP Quarterly'!K23</f>
        <v>8.4</v>
      </c>
      <c r="V41" s="381" t="n">
        <f>'ARP Quarterly'!L23</f>
        <v>8.4</v>
      </c>
      <c r="W41" s="381" t="n">
        <f>'ARP Quarterly'!M23</f>
        <v>8.4</v>
      </c>
      <c r="X41" s="381" t="n">
        <f>'ARP Quarterly'!N23</f>
        <v>0.2</v>
      </c>
      <c r="Y41" s="381" t="n">
        <f>'ARP Quarterly'!O23</f>
        <v>0.2</v>
      </c>
      <c r="Z41" s="381" t="n">
        <f>'ARP Quarterly'!P23</f>
        <v>0.2</v>
      </c>
      <c r="AA41" s="381" t="n">
        <f>'ARP Quarterly'!Q23</f>
        <v>0.2</v>
      </c>
      <c r="AB41" s="381" t="n">
        <f>'ARP Quarterly'!R23</f>
        <v>0</v>
      </c>
      <c r="AC41" s="446" t="n">
        <f>'ARP Quarterly'!S23</f>
        <v>0</v>
      </c>
      <c r="AE41" s="220"/>
      <c r="AF41" s="220"/>
    </row>
    <row r="42">
      <c r="B42" s="617" t="s">
        <v>476</v>
      </c>
      <c r="C42" s="540"/>
      <c r="D42" s="541"/>
      <c r="E42" s="540"/>
      <c r="F42" s="267"/>
      <c r="G42" s="267"/>
      <c r="H42" s="78"/>
      <c r="I42" s="78"/>
      <c r="J42" s="78"/>
      <c r="K42" s="78"/>
      <c r="L42" s="589"/>
      <c r="M42" s="78" t="n">
        <f>'ARP Quarterly'!C24</f>
        <v>0</v>
      </c>
      <c r="N42" s="78" t="n">
        <f>'ARP Quarterly'!D24</f>
        <v>-0.20447999999999997</v>
      </c>
      <c r="O42" s="78" t="n">
        <f>'ARP Quarterly'!E24</f>
        <v>-0.93152000000000001</v>
      </c>
      <c r="P42" s="78" t="n">
        <v>0</v>
      </c>
      <c r="Q42" s="78" t="n">
        <v>0</v>
      </c>
      <c r="R42" s="78" t="n">
        <v>0</v>
      </c>
      <c r="S42" s="78" t="n">
        <v>0</v>
      </c>
      <c r="T42" s="353" t="n">
        <v>0</v>
      </c>
      <c r="U42" s="381" t="n">
        <v>0</v>
      </c>
      <c r="V42" s="381" t="n">
        <v>0</v>
      </c>
      <c r="W42" s="381" t="n">
        <v>0</v>
      </c>
      <c r="X42" s="381" t="n">
        <v>0</v>
      </c>
      <c r="Y42" s="381" t="n">
        <v>0</v>
      </c>
      <c r="Z42" s="381" t="n">
        <v>0</v>
      </c>
      <c r="AA42" s="381" t="n">
        <v>0</v>
      </c>
      <c r="AB42" s="381" t="n">
        <v>0</v>
      </c>
      <c r="AC42" s="446" t="n">
        <v>0</v>
      </c>
      <c r="AE42" s="220"/>
      <c r="AF42" s="220"/>
    </row>
    <row r="43">
      <c r="B43" s="617" t="s">
        <v>359</v>
      </c>
      <c r="C43" s="540"/>
      <c r="D43" s="587"/>
      <c r="E43" s="588"/>
      <c r="F43" s="577"/>
      <c r="G43" s="577"/>
      <c r="H43" s="410"/>
      <c r="I43" s="410"/>
      <c r="J43" s="410"/>
      <c r="K43" s="410"/>
      <c r="L43" s="596"/>
      <c r="M43" s="410" t="n">
        <f>'ARP Quarterly'!C25</f>
        <v>0</v>
      </c>
      <c r="N43" s="410" t="n">
        <f>'ARP Quarterly'!D25</f>
        <v>58.782959999999996</v>
      </c>
      <c r="O43" s="410" t="n">
        <f>'ARP Quarterly'!E25</f>
        <v>267.78904000000006</v>
      </c>
      <c r="P43" s="410" t="n">
        <f>'ARP Quarterly'!F25</f>
        <v>110.24799999999999</v>
      </c>
      <c r="Q43" s="410" t="n">
        <f>'ARP Quarterly'!G25</f>
        <v>110.24799999999999</v>
      </c>
      <c r="R43" s="410" t="n">
        <f>'ARP Quarterly'!H25</f>
        <v>110.24799999999999</v>
      </c>
      <c r="S43" s="410" t="n">
        <f>'ARP Quarterly'!I25</f>
        <v>110.24799999999999</v>
      </c>
      <c r="T43" s="394" t="n">
        <f>'ARP Quarterly'!J25</f>
        <v>12.362</v>
      </c>
      <c r="U43" s="381" t="n">
        <f>'ARP Quarterly'!K25</f>
        <v>12.362</v>
      </c>
      <c r="V43" s="381" t="n">
        <f>'ARP Quarterly'!L25</f>
        <v>12.362</v>
      </c>
      <c r="W43" s="381" t="n">
        <f>'ARP Quarterly'!M25</f>
        <v>12.362</v>
      </c>
      <c r="X43" s="381" t="n">
        <f>'ARP Quarterly'!N25</f>
        <v>-0.67500000000000004</v>
      </c>
      <c r="Y43" s="381" t="n">
        <f>'ARP Quarterly'!O25</f>
        <v>-0.67500000000000004</v>
      </c>
      <c r="Z43" s="381" t="n">
        <f>'ARP Quarterly'!P25</f>
        <v>-0.67500000000000004</v>
      </c>
      <c r="AA43" s="381" t="n">
        <f>'ARP Quarterly'!Q25</f>
        <v>-0.67500000000000004</v>
      </c>
      <c r="AB43" s="381" t="n">
        <f>'ARP Quarterly'!R25</f>
        <v>0</v>
      </c>
      <c r="AC43" s="446" t="n">
        <f>'ARP Quarterly'!S25</f>
        <v>0</v>
      </c>
      <c r="AE43" s="220"/>
      <c r="AF43" s="220"/>
    </row>
    <row r="44" ht="15" customHeight="1">
      <c r="B44" s="570" t="s">
        <v>477</v>
      </c>
      <c r="C44" s="571"/>
      <c r="D44" s="586"/>
      <c r="E44" s="97"/>
      <c r="F44" s="267"/>
      <c r="G44" s="267"/>
      <c r="H44" s="78"/>
      <c r="I44" s="78"/>
      <c r="J44" s="78"/>
      <c r="K44" s="78"/>
      <c r="L44" s="589"/>
      <c r="M44" s="78"/>
      <c r="N44" s="78"/>
      <c r="O44" s="78"/>
      <c r="P44" s="78"/>
      <c r="Q44" s="78"/>
      <c r="R44" s="78"/>
      <c r="S44" s="78"/>
      <c r="T44" s="353"/>
      <c r="U44" s="619"/>
      <c r="V44" s="620"/>
      <c r="W44" s="620"/>
      <c r="X44" s="620"/>
      <c r="Y44" s="620"/>
      <c r="Z44" s="620"/>
      <c r="AA44" s="620"/>
      <c r="AB44" s="620"/>
      <c r="AC44" s="604"/>
      <c r="AE44" s="220"/>
      <c r="AF44" s="220"/>
    </row>
    <row r="45" ht="21" customHeight="1">
      <c r="B45" s="465" t="s">
        <v>478</v>
      </c>
      <c r="C45" s="590"/>
      <c r="D45" s="465"/>
      <c r="E45" s="590"/>
      <c r="F45" s="372"/>
      <c r="G45" s="372"/>
      <c r="H45" s="591"/>
      <c r="I45" s="591"/>
      <c r="J45" s="591"/>
      <c r="K45" s="591"/>
      <c r="L45" s="592"/>
      <c r="M45" s="591" t="n">
        <f>'ARP Quarterly'!C6</f>
        <v>0</v>
      </c>
      <c r="N45" s="591" t="n">
        <f>'ARP Quarterly'!D6</f>
        <v>58.782959999999989</v>
      </c>
      <c r="O45" s="591" t="n">
        <f>'ARP Quarterly'!E6</f>
        <v>267.78904</v>
      </c>
      <c r="P45" s="591" t="n">
        <f>'ARP Quarterly'!F6</f>
        <v>110.24799999999999</v>
      </c>
      <c r="Q45" s="591" t="n">
        <f>'ARP Quarterly'!G6</f>
        <v>110.24799999999999</v>
      </c>
      <c r="R45" s="591" t="n">
        <f>'ARP Quarterly'!H6</f>
        <v>110.24799999999999</v>
      </c>
      <c r="S45" s="591" t="n">
        <f>'ARP Quarterly'!I6</f>
        <v>110.24799999999999</v>
      </c>
      <c r="T45" s="594" t="n">
        <f>'ARP Quarterly'!J6</f>
        <v>12.726000000000001</v>
      </c>
      <c r="U45" s="611" t="n">
        <f>'ARP Quarterly'!K6</f>
        <v>12.726000000000001</v>
      </c>
      <c r="V45" s="611" t="n">
        <f>'ARP Quarterly'!L6</f>
        <v>12.726000000000001</v>
      </c>
      <c r="W45" s="611" t="n">
        <f>'ARP Quarterly'!M6</f>
        <v>12.726000000000001</v>
      </c>
      <c r="X45" s="611" t="n">
        <f>'ARP Quarterly'!N6</f>
        <v>1.365</v>
      </c>
      <c r="Y45" s="611" t="n">
        <f>'ARP Quarterly'!O6</f>
        <v>1.365</v>
      </c>
      <c r="Z45" s="611" t="n">
        <f>'ARP Quarterly'!P6</f>
        <v>1.365</v>
      </c>
      <c r="AA45" s="611" t="n">
        <f>'ARP Quarterly'!Q6</f>
        <v>1.365</v>
      </c>
      <c r="AB45" s="611" t="n">
        <f>'ARP Quarterly'!R6</f>
        <v>-0.90100000000000025</v>
      </c>
      <c r="AC45" s="622" t="n">
        <f>'ARP Quarterly'!S6</f>
        <v>-0.90100000000000025</v>
      </c>
      <c r="AE45" s="220"/>
      <c r="AF45" s="220"/>
    </row>
    <row r="46" ht="19.5" customHeight="1">
      <c r="A46" s="618"/>
      <c r="B46" s="605" t="s">
        <v>199</v>
      </c>
      <c r="C46" s="606"/>
      <c r="D46" s="605"/>
      <c r="E46" s="606"/>
      <c r="F46" s="623" t="n">
        <f>F11-F45</f>
        <v>60.5</v>
      </c>
      <c r="G46" s="623" t="n">
        <f>G11-G45</f>
        <v>81.400000000000006</v>
      </c>
      <c r="H46" s="623" t="n">
        <f t="shared" ref="H46:AC46" si="14">H11-H45</f>
        <v>82.1</v>
      </c>
      <c r="I46" s="623" t="n">
        <f>I11-I45</f>
        <v>80</v>
      </c>
      <c r="J46" s="623" t="n">
        <f t="shared" si="14"/>
        <v>975.7</v>
      </c>
      <c r="K46" s="623" t="n">
        <f t="shared" si="14"/>
        <v>1108.8</v>
      </c>
      <c r="L46" s="623" t="n">
        <f>L11-L45</f>
        <v>462.2</v>
      </c>
      <c r="M46" s="623" t="n">
        <f>M11-M45</f>
        <v>387.4</v>
      </c>
      <c r="N46" s="623" t="n">
        <f t="shared" si="14"/>
        <v>635.11703999999997</v>
      </c>
      <c r="O46" s="623" t="n">
        <f>O11-O45</f>
        <v>277.81096000000002</v>
      </c>
      <c r="P46" s="623" t="n">
        <f>P11-P45</f>
        <v>178.05200000000002</v>
      </c>
      <c r="Q46" s="623" t="n">
        <f t="shared" si="14"/>
        <v>34.25200000000001</v>
      </c>
      <c r="R46" s="623" t="n">
        <f t="shared" si="14"/>
        <v>12.652000000000015</v>
      </c>
      <c r="S46" s="623" t="n">
        <f t="shared" si="14"/>
        <v>3.5520000000000067</v>
      </c>
      <c r="T46" s="595" t="n">
        <f t="shared" si="14"/>
        <v>98.073999999999998</v>
      </c>
      <c r="U46" s="612" t="n">
        <f t="shared" si="14"/>
        <v>83.295999999999992</v>
      </c>
      <c r="V46" s="612" t="n">
        <f t="shared" si="14"/>
        <v>75.782000000000011</v>
      </c>
      <c r="W46" s="612" t="n">
        <f t="shared" si="14"/>
        <v>75.782000000000011</v>
      </c>
      <c r="X46" s="612" t="n">
        <f t="shared" si="14"/>
        <v>84.266000000000005</v>
      </c>
      <c r="Y46" s="612" t="n">
        <f t="shared" si="14"/>
        <v>84.266000000000005</v>
      </c>
      <c r="Z46" s="612" t="n">
        <f t="shared" si="14"/>
        <v>84.266000000000005</v>
      </c>
      <c r="AA46" s="612" t="n">
        <f t="shared" si="14"/>
        <v>84.266000000000005</v>
      </c>
      <c r="AB46" s="612" t="n">
        <f t="shared" si="14"/>
        <v>91.364999999999995</v>
      </c>
      <c r="AC46" s="613" t="n">
        <f t="shared" si="14"/>
        <v>91.364999999999995</v>
      </c>
      <c r="AE46" s="220"/>
      <c r="AF46" s="220"/>
      <c r="AG46" s="618"/>
      <c r="AH46" s="618"/>
      <c r="AI46" s="618"/>
      <c r="AJ46" s="618"/>
      <c r="AK46" s="618"/>
      <c r="AL46" s="618"/>
      <c r="AM46" s="618"/>
      <c r="AN46" s="618"/>
      <c r="AO46" s="618"/>
      <c r="AP46" s="618"/>
      <c r="AQ46" s="618"/>
      <c r="AR46" s="618"/>
      <c r="AS46" s="618"/>
      <c r="AT46" s="618"/>
      <c r="AU46" s="618"/>
      <c r="AV46" s="618"/>
      <c r="AW46" s="618"/>
      <c r="AX46" s="618"/>
      <c r="AY46" s="618"/>
      <c r="AZ46" s="618"/>
      <c r="BA46" s="618"/>
      <c r="BB46" s="618"/>
      <c r="BC46" s="618"/>
      <c r="BD46" s="618"/>
      <c r="BE46" s="618"/>
      <c r="BF46" s="618"/>
      <c r="BG46" s="618"/>
      <c r="BH46" s="618"/>
      <c r="BI46" s="618"/>
      <c r="BJ46" s="618"/>
      <c r="BK46" s="618"/>
      <c r="BL46" s="618"/>
      <c r="BM46" s="618"/>
      <c r="BN46" s="618"/>
      <c r="BO46" s="618"/>
      <c r="BP46" s="618"/>
      <c r="BQ46" s="618"/>
      <c r="BR46" s="618"/>
      <c r="BS46" s="618"/>
      <c r="BT46" s="618"/>
      <c r="BU46" s="618"/>
      <c r="BV46" s="618"/>
      <c r="BW46" s="618"/>
      <c r="BX46" s="618"/>
      <c r="BY46" s="618"/>
      <c r="BZ46" s="618"/>
    </row>
    <row r="47" ht="19.5" customHeight="1">
      <c r="A47" s="618"/>
      <c r="B47" s="289"/>
      <c r="C47" s="289"/>
      <c r="D47" s="289"/>
      <c r="E47" s="289"/>
      <c r="F47" s="610"/>
      <c r="G47" s="610"/>
      <c r="H47" s="610"/>
      <c r="I47" s="610"/>
      <c r="J47" s="610"/>
      <c r="K47" s="610"/>
      <c r="L47" s="610"/>
      <c r="M47" s="610"/>
      <c r="N47" s="610"/>
      <c r="O47" s="610"/>
      <c r="P47" s="610"/>
      <c r="Q47" s="610"/>
      <c r="R47" s="610"/>
      <c r="S47" s="610"/>
      <c r="T47" s="610"/>
      <c r="U47" s="610"/>
      <c r="V47" s="610"/>
      <c r="W47" s="610"/>
      <c r="X47" s="610"/>
      <c r="Y47" s="610"/>
      <c r="Z47" s="610"/>
      <c r="AA47" s="610"/>
      <c r="AB47" s="610"/>
      <c r="AC47" s="610"/>
      <c r="AG47" s="618"/>
      <c r="AH47" s="618"/>
      <c r="AI47" s="618"/>
      <c r="AJ47" s="618"/>
      <c r="AK47" s="618"/>
      <c r="AL47" s="618"/>
      <c r="AM47" s="618"/>
      <c r="AN47" s="618"/>
      <c r="AO47" s="618"/>
      <c r="AP47" s="618"/>
      <c r="AQ47" s="618"/>
      <c r="AR47" s="618"/>
      <c r="AS47" s="618"/>
      <c r="AT47" s="618"/>
      <c r="AU47" s="618"/>
      <c r="AV47" s="618"/>
      <c r="AW47" s="618"/>
      <c r="AX47" s="618"/>
      <c r="AY47" s="618"/>
      <c r="AZ47" s="618"/>
      <c r="BA47" s="618"/>
      <c r="BB47" s="618"/>
      <c r="BC47" s="618"/>
      <c r="BD47" s="618"/>
      <c r="BE47" s="618"/>
      <c r="BF47" s="618"/>
      <c r="BG47" s="618"/>
      <c r="BH47" s="618"/>
      <c r="BI47" s="618"/>
      <c r="BJ47" s="618"/>
      <c r="BK47" s="618"/>
      <c r="BL47" s="618"/>
      <c r="BM47" s="618"/>
      <c r="BN47" s="618"/>
      <c r="BO47" s="618"/>
      <c r="BP47" s="618"/>
      <c r="BQ47" s="618"/>
      <c r="BR47" s="618"/>
      <c r="BS47" s="618"/>
      <c r="BT47" s="618"/>
      <c r="BU47" s="618"/>
      <c r="BV47" s="618"/>
      <c r="BW47" s="618"/>
      <c r="BX47" s="618"/>
      <c r="BY47" s="618"/>
      <c r="BZ47" s="618"/>
    </row>
    <row r="48" ht="19.5" customHeight="1">
      <c r="A48" s="618"/>
      <c r="B48" s="289"/>
      <c r="C48" s="289"/>
      <c r="D48" s="289"/>
      <c r="E48" s="289"/>
      <c r="F48" s="610"/>
      <c r="G48" s="610"/>
      <c r="H48" s="610"/>
      <c r="I48" s="610"/>
      <c r="J48" s="610"/>
      <c r="K48" s="610"/>
      <c r="L48" s="610"/>
      <c r="M48" s="610"/>
      <c r="N48" s="610"/>
      <c r="O48" s="610"/>
      <c r="P48" s="610"/>
      <c r="Q48" s="610"/>
      <c r="R48" s="610"/>
      <c r="S48" s="610"/>
      <c r="T48" s="610"/>
      <c r="U48" s="610"/>
      <c r="V48" s="610"/>
      <c r="W48" s="610"/>
      <c r="X48" s="610"/>
      <c r="Y48" s="610"/>
      <c r="Z48" s="610"/>
      <c r="AA48" s="610"/>
      <c r="AB48" s="610"/>
      <c r="AC48" s="610"/>
      <c r="AG48" s="618"/>
      <c r="AH48" s="618"/>
      <c r="AI48" s="618"/>
      <c r="AJ48" s="618"/>
      <c r="AK48" s="618"/>
      <c r="AL48" s="618"/>
      <c r="AM48" s="618"/>
      <c r="AN48" s="618"/>
      <c r="AO48" s="618"/>
      <c r="AP48" s="618"/>
      <c r="AQ48" s="618"/>
      <c r="AR48" s="618"/>
      <c r="AS48" s="618"/>
      <c r="AT48" s="618"/>
      <c r="AU48" s="618"/>
      <c r="AV48" s="618"/>
      <c r="AW48" s="618"/>
      <c r="AX48" s="618"/>
      <c r="AY48" s="618"/>
      <c r="AZ48" s="618"/>
      <c r="BA48" s="618"/>
      <c r="BB48" s="618"/>
      <c r="BC48" s="618"/>
      <c r="BD48" s="618"/>
      <c r="BE48" s="618"/>
      <c r="BF48" s="618"/>
      <c r="BG48" s="618"/>
      <c r="BH48" s="618"/>
      <c r="BI48" s="618"/>
      <c r="BJ48" s="618"/>
      <c r="BK48" s="618"/>
      <c r="BL48" s="618"/>
      <c r="BM48" s="618"/>
      <c r="BN48" s="618"/>
      <c r="BO48" s="618"/>
      <c r="BP48" s="618"/>
      <c r="BQ48" s="618"/>
      <c r="BR48" s="618"/>
      <c r="BS48" s="618"/>
      <c r="BT48" s="618"/>
      <c r="BU48" s="618"/>
      <c r="BV48" s="618"/>
      <c r="BW48" s="618"/>
      <c r="BX48" s="618"/>
      <c r="BY48" s="618"/>
      <c r="BZ48" s="618"/>
    </row>
    <row r="49">
      <c r="B49" s="584"/>
      <c r="C49" s="268"/>
      <c r="D49" s="268"/>
      <c r="E49" s="268"/>
      <c r="F49" s="268"/>
      <c r="G49" s="268"/>
      <c r="H49" s="268"/>
      <c r="I49" s="268"/>
      <c r="J49" s="268"/>
      <c r="K49" s="268"/>
      <c r="L49" s="268"/>
      <c r="M49" s="268"/>
      <c r="N49" s="268"/>
      <c r="O49" s="268"/>
      <c r="P49" s="552"/>
      <c r="Q49" s="552"/>
      <c r="R49" s="552"/>
      <c r="S49" s="552"/>
      <c r="T49" s="552"/>
      <c r="U49" s="552"/>
      <c r="V49" s="552"/>
      <c r="W49" s="552"/>
      <c r="X49" s="552"/>
      <c r="Y49" s="552"/>
      <c r="Z49" s="552"/>
      <c r="AA49" s="552"/>
      <c r="AB49" s="552"/>
      <c r="AC49" s="552"/>
    </row>
    <row r="51">
      <c r="S51" s="63"/>
    </row>
  </sheetData>
  <mergeCells count="14">
    <mergeCell ref="Q9:T9"/>
    <mergeCell ref="B1:AC1"/>
    <mergeCell ref="B44:C44"/>
    <mergeCell ref="U9:X9"/>
    <mergeCell ref="B28:C28"/>
    <mergeCell ref="B8:C10"/>
    <mergeCell ref="I9:L9"/>
    <mergeCell ref="E9:H9"/>
    <mergeCell ref="B35:C35"/>
    <mergeCell ref="Y9:AB9"/>
    <mergeCell ref="M9:P9"/>
    <mergeCell ref="B2:AC6"/>
    <mergeCell ref="D8:T8"/>
    <mergeCell ref="U8:AC8"/>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5" zoomScale="90" zoomScaleNormal="90" workbookViewId="0">
      <selection activeCell="L17" sqref="L17"/>
    </sheetView>
  </sheetViews>
  <sheetFormatPr defaultRowHeight="15.0" baseColWidth="10"/>
  <cols>
    <col min="2" max="2" width="31.85546875" hidden="0" customWidth="1"/>
    <col min="6" max="6" width="9" hidden="0" customWidth="1"/>
    <col min="7" max="7" width="10.140625" hidden="0" customWidth="1"/>
    <col min="8" max="8" width="7.42578125" hidden="0" customWidth="1"/>
    <col min="9" max="9" width="7.42578125" hidden="0" customWidth="1"/>
    <col min="10" max="10" width="7.42578125" hidden="0" customWidth="1"/>
    <col min="11" max="11" width="7.42578125" hidden="0" customWidth="1"/>
    <col min="13" max="13" width="8.42578125" hidden="0" customWidth="1"/>
    <col min="14" max="14" width="9.140625" hidden="0" customWidth="1"/>
    <col min="15" max="15" width="9.140625" hidden="0" customWidth="1"/>
    <col min="16" max="16" width="9.140625" hidden="0" customWidth="1"/>
    <col min="17" max="17" width="9.140625" hidden="0" customWidth="1"/>
    <col min="18" max="18" width="9.140625" hidden="0" customWidth="1"/>
    <col min="19" max="19" width="9.140625" hidden="0" customWidth="1"/>
    <col min="20" max="20" width="9.140625" hidden="0" customWidth="1"/>
    <col min="21" max="21" width="9.140625" hidden="0" customWidth="1"/>
    <col min="22" max="22" width="9.140625" hidden="0" customWidth="1"/>
    <col min="23" max="23" width="9.140625" hidden="0" customWidth="1"/>
    <col min="24" max="24" width="9.140625" hidden="0" customWidth="1"/>
    <col min="25" max="25" width="9.140625" hidden="0" customWidth="1"/>
    <col min="26" max="26" width="9.140625" hidden="0" customWidth="1"/>
    <col min="27" max="27" width="9.140625" hidden="0" customWidth="1"/>
    <col min="28" max="28" width="13" hidden="0" customWidth="1"/>
  </cols>
  <sheetData>
    <row r="1">
      <c r="B1" s="233" t="s">
        <v>54</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25" customHeight="1">
      <c r="B2" s="97" t="s">
        <v>917</v>
      </c>
      <c r="C2" s="97"/>
      <c r="D2" s="97"/>
      <c r="E2" s="97"/>
      <c r="F2" s="97"/>
      <c r="G2" s="97"/>
      <c r="H2" s="97"/>
      <c r="I2" s="97"/>
      <c r="J2" s="97"/>
      <c r="K2" s="97"/>
      <c r="L2" s="97"/>
      <c r="M2" s="97"/>
      <c r="N2" s="97"/>
      <c r="O2" s="97"/>
      <c r="P2" s="97"/>
      <c r="Q2" s="97"/>
      <c r="R2" s="97"/>
      <c r="S2" s="97"/>
      <c r="T2" s="97"/>
      <c r="U2" s="97"/>
      <c r="V2" s="624" t="s">
        <v>984</v>
      </c>
      <c r="W2" s="624"/>
      <c r="X2" s="624"/>
      <c r="Y2" s="624"/>
      <c r="Z2" s="624"/>
      <c r="AA2" s="624"/>
      <c r="AB2" s="624"/>
      <c r="AC2" s="691"/>
    </row>
    <row r="3" ht="59.85" customHeight="1">
      <c r="B3" s="97"/>
      <c r="C3" s="97"/>
      <c r="D3" s="97"/>
      <c r="E3" s="97"/>
      <c r="F3" s="97"/>
      <c r="G3" s="97"/>
      <c r="H3" s="97"/>
      <c r="I3" s="97"/>
      <c r="J3" s="97"/>
      <c r="K3" s="97"/>
      <c r="L3" s="97"/>
      <c r="M3" s="97"/>
      <c r="N3" s="97"/>
      <c r="O3" s="97"/>
      <c r="P3" s="97"/>
      <c r="Q3" s="97"/>
      <c r="R3" s="97"/>
      <c r="S3" s="97"/>
      <c r="T3" s="97"/>
      <c r="U3" s="97"/>
      <c r="V3" s="624"/>
      <c r="W3" s="624"/>
      <c r="X3" s="624"/>
      <c r="Y3" s="624"/>
      <c r="Z3" s="624"/>
      <c r="AA3" s="624"/>
      <c r="AB3" s="624"/>
      <c r="AC3" s="691"/>
    </row>
    <row r="4" ht="88.5" customHeight="1">
      <c r="B4" s="97"/>
      <c r="C4" s="97"/>
      <c r="D4" s="97"/>
      <c r="E4" s="97"/>
      <c r="F4" s="97"/>
      <c r="G4" s="97"/>
      <c r="H4" s="97"/>
      <c r="I4" s="97"/>
      <c r="J4" s="97"/>
      <c r="K4" s="97"/>
      <c r="L4" s="97"/>
      <c r="M4" s="97"/>
      <c r="N4" s="97"/>
      <c r="O4" s="97"/>
      <c r="P4" s="97"/>
      <c r="Q4" s="97"/>
      <c r="R4" s="97"/>
      <c r="S4" s="97"/>
      <c r="T4" s="97"/>
      <c r="U4" s="97"/>
      <c r="V4" s="624"/>
      <c r="W4" s="624"/>
      <c r="X4" s="624"/>
      <c r="Y4" s="624"/>
      <c r="Z4" s="624"/>
      <c r="AA4" s="624"/>
      <c r="AB4" s="624"/>
      <c r="AC4" s="691"/>
    </row>
    <row r="5" ht="33" customHeight="1">
      <c r="B5" s="691"/>
      <c r="C5" s="691"/>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1"/>
    </row>
    <row r="6">
      <c r="B6" s="691"/>
      <c r="C6" s="691"/>
      <c r="D6" s="691"/>
      <c r="E6" s="691"/>
      <c r="F6" s="691"/>
      <c r="G6" s="691"/>
      <c r="H6" s="691"/>
      <c r="I6" s="691"/>
      <c r="J6" s="691"/>
      <c r="K6" s="691"/>
      <c r="L6" s="691"/>
      <c r="M6" s="691"/>
      <c r="N6" s="691"/>
      <c r="O6" s="691"/>
      <c r="P6" s="691"/>
      <c r="Q6" s="691"/>
      <c r="R6" s="691"/>
      <c r="S6" s="691"/>
      <c r="T6" s="691"/>
      <c r="U6" s="691"/>
      <c r="V6" s="691"/>
      <c r="W6" s="691"/>
      <c r="X6" s="691"/>
      <c r="Y6" s="691"/>
      <c r="Z6" s="691"/>
      <c r="AA6" s="691"/>
      <c r="AB6" s="691"/>
      <c r="AC6" s="691"/>
    </row>
    <row r="7" ht="14.85" customHeight="1">
      <c r="B7" s="237" t="s">
        <v>453</v>
      </c>
      <c r="C7" s="238"/>
      <c r="D7" s="247" t="s">
        <v>325</v>
      </c>
      <c r="E7" s="248"/>
      <c r="F7" s="248"/>
      <c r="G7" s="248"/>
      <c r="H7" s="248"/>
      <c r="I7" s="248"/>
      <c r="J7" s="248"/>
      <c r="K7" s="248"/>
      <c r="L7" s="248"/>
      <c r="M7" s="248"/>
      <c r="N7" s="248"/>
      <c r="O7" s="248"/>
      <c r="P7" s="248"/>
      <c r="Q7" s="332"/>
      <c r="R7" s="332"/>
      <c r="S7" s="332"/>
      <c r="T7" s="238"/>
      <c r="U7" s="251" t="s">
        <v>326</v>
      </c>
      <c r="V7" s="251"/>
      <c r="W7" s="251"/>
      <c r="X7" s="251"/>
      <c r="Y7" s="251"/>
      <c r="Z7" s="251"/>
      <c r="AA7" s="251"/>
      <c r="AB7" s="251"/>
      <c r="AC7" s="252"/>
    </row>
    <row r="8">
      <c r="B8" s="239"/>
      <c r="C8" s="491"/>
      <c r="D8" s="198" t="n">
        <v>2018</v>
      </c>
      <c r="E8" s="198" t="n">
        <v>2019</v>
      </c>
      <c r="F8" s="235"/>
      <c r="G8" s="235"/>
      <c r="H8" s="236"/>
      <c r="I8" s="198" t="n">
        <v>2020</v>
      </c>
      <c r="J8" s="235"/>
      <c r="K8" s="235"/>
      <c r="L8" s="235"/>
      <c r="M8" s="198" t="n">
        <v>2021</v>
      </c>
      <c r="N8" s="235"/>
      <c r="O8" s="235"/>
      <c r="P8" s="235"/>
      <c r="Q8" s="198" t="n">
        <v>2022</v>
      </c>
      <c r="R8" s="199"/>
      <c r="S8" s="199"/>
      <c r="T8" s="236"/>
      <c r="U8" s="241" t="n">
        <v>2023</v>
      </c>
      <c r="V8" s="242"/>
      <c r="W8" s="242"/>
      <c r="X8" s="242"/>
      <c r="Y8" s="244" t="n">
        <v>2024</v>
      </c>
      <c r="Z8" s="242"/>
      <c r="AA8" s="242"/>
      <c r="AB8" s="243"/>
      <c r="AC8" s="290" t="n">
        <v>2025</v>
      </c>
    </row>
    <row r="9">
      <c r="B9" s="239"/>
      <c r="C9" s="491"/>
      <c r="D9" s="204" t="s">
        <v>327</v>
      </c>
      <c r="E9" s="204" t="s">
        <v>328</v>
      </c>
      <c r="F9" s="217" t="s">
        <v>329</v>
      </c>
      <c r="G9" s="217" t="s">
        <v>238</v>
      </c>
      <c r="H9" s="200" t="s">
        <v>327</v>
      </c>
      <c r="I9" s="217" t="s">
        <v>328</v>
      </c>
      <c r="J9" s="217" t="s">
        <v>329</v>
      </c>
      <c r="K9" s="217" t="s">
        <v>238</v>
      </c>
      <c r="L9" s="217" t="s">
        <v>327</v>
      </c>
      <c r="M9" s="204" t="s">
        <v>328</v>
      </c>
      <c r="N9" s="217" t="s">
        <v>329</v>
      </c>
      <c r="O9" s="217" t="s">
        <v>238</v>
      </c>
      <c r="P9" s="217" t="s">
        <v>327</v>
      </c>
      <c r="Q9" s="204" t="s">
        <v>328</v>
      </c>
      <c r="R9" s="217" t="s">
        <v>329</v>
      </c>
      <c r="S9" s="217" t="s">
        <v>238</v>
      </c>
      <c r="T9" s="200" t="s">
        <v>327</v>
      </c>
      <c r="U9" s="350" t="s">
        <v>328</v>
      </c>
      <c r="V9" s="350" t="s">
        <v>329</v>
      </c>
      <c r="W9" s="350" t="s">
        <v>238</v>
      </c>
      <c r="X9" s="350" t="s">
        <v>327</v>
      </c>
      <c r="Y9" s="418" t="s">
        <v>328</v>
      </c>
      <c r="Z9" s="283" t="s">
        <v>329</v>
      </c>
      <c r="AA9" s="350" t="s">
        <v>238</v>
      </c>
      <c r="AB9" s="348" t="s">
        <v>327</v>
      </c>
      <c r="AC9" s="443" t="s">
        <v>328</v>
      </c>
    </row>
    <row r="10">
      <c r="B10" s="671" t="s">
        <v>101</v>
      </c>
      <c r="C10" s="551" t="s">
        <v>479</v>
      </c>
      <c r="D10" s="653" t="n">
        <f>'Haver Pivoted'!GO13</f>
        <v>589.5</v>
      </c>
      <c r="E10" s="654" t="n">
        <f>'Haver Pivoted'!GP13</f>
        <v>598.70000000000005</v>
      </c>
      <c r="F10" s="654" t="n">
        <f>'Haver Pivoted'!GQ13</f>
        <v>614.4</v>
      </c>
      <c r="G10" s="654" t="n">
        <f>'Haver Pivoted'!GR13</f>
        <v>622.4</v>
      </c>
      <c r="H10" s="654" t="n">
        <f>'Haver Pivoted'!GS13</f>
        <v>620.70000000000005</v>
      </c>
      <c r="I10" s="654" t="n">
        <f>'Haver Pivoted'!GT13</f>
        <v>606.6</v>
      </c>
      <c r="J10" s="654" t="n">
        <f>'Haver Pivoted'!GU13</f>
        <v>654.70000000000005</v>
      </c>
      <c r="K10" s="654" t="n">
        <f>'Haver Pivoted'!GV13</f>
        <v>690.7</v>
      </c>
      <c r="L10" s="654" t="n">
        <f>'Haver Pivoted'!GW13</f>
        <v>678.3</v>
      </c>
      <c r="M10" s="654" t="n">
        <f>'Haver Pivoted'!GX13</f>
        <v>704.4</v>
      </c>
      <c r="N10" s="654" t="n">
        <f>'Haver Pivoted'!GY13</f>
        <v>744.8</v>
      </c>
      <c r="O10" s="654" t="n">
        <f>'Haver Pivoted'!GZ13</f>
        <v>748.2</v>
      </c>
      <c r="P10" s="654" t="n">
        <f>'Haver Pivoted'!HA13</f>
        <v>745</v>
      </c>
      <c r="Q10" s="654" t="n">
        <f>'Haver Pivoted'!HB13</f>
        <v>763.1</v>
      </c>
      <c r="R10" s="654" t="n">
        <f>'Haver Pivoted'!HC13</f>
        <v>789.5</v>
      </c>
      <c r="S10" s="655" t="n">
        <f>'Haver Pivoted'!HD13</f>
        <v>786.1</v>
      </c>
      <c r="T10" s="656" t="n">
        <f>'Haver Pivoted'!HE13</f>
        <v>793.3</v>
      </c>
      <c r="U10" s="242"/>
      <c r="V10" s="242"/>
      <c r="W10" s="242"/>
      <c r="X10" s="242"/>
      <c r="Y10" s="242"/>
      <c r="Z10" s="242"/>
      <c r="AA10" s="242"/>
      <c r="AB10" s="242"/>
      <c r="AC10" s="243"/>
    </row>
    <row r="11">
      <c r="B11" s="649" t="s">
        <v>480</v>
      </c>
      <c r="C11" s="268" t="s">
        <v>386</v>
      </c>
      <c r="D11" s="687" t="n">
        <f>'Haver Pivoted'!GO40</f>
        <v>390.53500000000003</v>
      </c>
      <c r="E11" s="650" t="n">
        <f>'Haver Pivoted'!GP40</f>
        <v>407.62099999999998</v>
      </c>
      <c r="F11" s="650" t="n">
        <f>'Haver Pivoted'!GQ40</f>
        <v>416.459</v>
      </c>
      <c r="G11" s="650" t="n">
        <f>'Haver Pivoted'!GR40</f>
        <v>418.661</v>
      </c>
      <c r="H11" s="650" t="n">
        <f>'Haver Pivoted'!GS40</f>
        <v>411.69499999999999</v>
      </c>
      <c r="I11" s="650" t="n">
        <f>'Haver Pivoted'!GT40</f>
        <v>428.30799999999999</v>
      </c>
      <c r="J11" s="650" t="n">
        <f>'Haver Pivoted'!GU40</f>
        <v>506.81599999999997</v>
      </c>
      <c r="K11" s="650" t="n">
        <f>'Haver Pivoted'!GV40</f>
        <v>484.78</v>
      </c>
      <c r="L11" s="650" t="n">
        <f>'Haver Pivoted'!GW40</f>
        <v>500.25799999999998</v>
      </c>
      <c r="M11" s="650" t="n">
        <f>'Haver Pivoted'!GX40</f>
        <v>509.42099999999999</v>
      </c>
      <c r="N11" s="650" t="n">
        <f>'Haver Pivoted'!GY40</f>
        <v>527.01700000000005</v>
      </c>
      <c r="O11" s="650" t="n">
        <f>'Haver Pivoted'!GZ40</f>
        <v>542.85299999999995</v>
      </c>
      <c r="P11" s="650" t="n">
        <f>'Haver Pivoted'!HA40</f>
        <v>553.86500000000001</v>
      </c>
      <c r="Q11" s="650" t="n">
        <f>'Haver Pivoted'!HB40</f>
        <v>592.26700000000005</v>
      </c>
      <c r="R11" s="650" t="n">
        <f>'Haver Pivoted'!HC40</f>
        <v>590.13</v>
      </c>
      <c r="S11" s="651" t="n">
        <f>'Haver Pivoted'!HD40</f>
        <v>605.63699999999994</v>
      </c>
      <c r="T11" s="652" t="n">
        <f>'Haver Pivoted'!HE40</f>
        <v>604.87400000000002</v>
      </c>
      <c r="U11" s="350"/>
      <c r="V11" s="350"/>
      <c r="W11" s="350"/>
      <c r="X11" s="350"/>
      <c r="Y11" s="350"/>
      <c r="Z11" s="350"/>
      <c r="AA11" s="350"/>
      <c r="AB11" s="350"/>
      <c r="AC11" s="348"/>
    </row>
    <row r="12" ht="27.6" customHeight="1">
      <c r="B12" s="587" t="s">
        <v>954</v>
      </c>
      <c r="C12" s="64"/>
      <c r="D12" s="690" t="n">
        <f t="shared" ref="D12:N12" si="0">D11/D10</f>
        <v>0.66248515691263787</v>
      </c>
      <c r="E12" s="670" t="n">
        <f t="shared" si="0"/>
        <v>0.68084349423751456</v>
      </c>
      <c r="F12" s="670" t="n">
        <f t="shared" si="0"/>
        <v>0.67783040364583336</v>
      </c>
      <c r="G12" s="670" t="n">
        <f t="shared" si="0"/>
        <v>0.6726558483290489</v>
      </c>
      <c r="H12" s="670" t="n">
        <f t="shared" si="0"/>
        <v>0.66327533429998387</v>
      </c>
      <c r="I12" s="670" t="n">
        <f t="shared" si="0"/>
        <v>0.70607978898780077</v>
      </c>
      <c r="J12" s="670" t="n">
        <f t="shared" si="0"/>
        <v>0.77411944402016186</v>
      </c>
      <c r="K12" s="670" t="n">
        <f t="shared" si="0"/>
        <v>0.70186767047922394</v>
      </c>
      <c r="L12" s="670" t="n">
        <f t="shared" si="0"/>
        <v>0.73751732271856119</v>
      </c>
      <c r="M12" s="670" t="n">
        <f t="shared" si="0"/>
        <v>0.72319846678023847</v>
      </c>
      <c r="N12" s="670" t="n">
        <f t="shared" si="0"/>
        <v>0.70759532760472621</v>
      </c>
      <c r="O12" s="670" t="n">
        <f t="shared" ref="O12:T12" si="1">O11/O10</f>
        <v>0.72554530874097822</v>
      </c>
      <c r="P12" s="670" t="n">
        <f t="shared" si="1"/>
        <v>0.74344295302013419</v>
      </c>
      <c r="Q12" s="670" t="n">
        <f t="shared" si="1"/>
        <v>0.77613287904599659</v>
      </c>
      <c r="R12" s="670" t="n">
        <f t="shared" si="1"/>
        <v>0.74747308423052561</v>
      </c>
      <c r="S12" s="657" t="n">
        <f t="shared" si="1"/>
        <v>0.77043251494720766</v>
      </c>
      <c r="T12" s="667" t="n">
        <f t="shared" si="1"/>
        <v>0.76247825538888192</v>
      </c>
      <c r="U12" s="693" t="n">
        <f t="shared" ref="U12:Y12" si="2">T12</f>
        <v>0.76247825538888192</v>
      </c>
      <c r="V12" s="693" t="n">
        <v>0.73699999999999999</v>
      </c>
      <c r="W12" s="693" t="n">
        <f>U12-0.05</f>
        <v>0.71247825538888188</v>
      </c>
      <c r="X12" s="693" t="n">
        <f>W12++(I44-H44)</f>
        <v>0.71193453023272057</v>
      </c>
      <c r="Y12" s="693" t="n">
        <f t="shared" si="2"/>
        <v>0.71193453023272057</v>
      </c>
      <c r="Z12" s="693" t="n">
        <f t="shared" ref="Z12" si="3">Y12</f>
        <v>0.71193453023272057</v>
      </c>
      <c r="AA12" s="693" t="n">
        <f t="shared" ref="AA12" si="4">Z12</f>
        <v>0.71193453023272057</v>
      </c>
      <c r="AB12" s="693" t="n">
        <f>AA12+(J44-I44)</f>
        <v>0.70706797713788805</v>
      </c>
      <c r="AC12" s="694" t="n">
        <f t="shared" ref="AC12" si="5">AB12</f>
        <v>0.70706797713788805</v>
      </c>
    </row>
    <row r="13" ht="27.6" customHeight="1"/>
    <row r="15">
      <c r="B15" s="584" t="s">
        <v>399</v>
      </c>
    </row>
    <row r="16" ht="25.35" customHeight="1">
      <c r="B16" s="644" t="s">
        <v>481</v>
      </c>
      <c r="C16" s="645" t="n">
        <v>2020</v>
      </c>
      <c r="D16" s="645" t="n">
        <v>2021</v>
      </c>
      <c r="E16" s="645" t="n">
        <v>2022</v>
      </c>
      <c r="F16" s="645" t="n">
        <v>2023</v>
      </c>
      <c r="G16" s="646" t="n">
        <v>2024</v>
      </c>
      <c r="H16" s="264"/>
      <c r="I16" s="264"/>
      <c r="J16" s="264"/>
    </row>
    <row r="17" ht="31.5" customHeight="1">
      <c r="B17" s="689" t="s">
        <v>1915</v>
      </c>
      <c r="C17" s="639" t="n">
        <v>458.46800000000002</v>
      </c>
      <c r="D17" s="298" t="n">
        <v>520.58799999999997</v>
      </c>
      <c r="E17" s="298" t="n">
        <v>591.95000000000005</v>
      </c>
      <c r="F17" s="298" t="n">
        <v>589.41600000000005</v>
      </c>
      <c r="G17" s="641" t="n">
        <v>538.94399999999996</v>
      </c>
    </row>
    <row r="18">
      <c r="B18" s="649" t="s">
        <v>482</v>
      </c>
      <c r="C18" s="640" t="n">
        <f>AVERAGE(H12:K12)</f>
        <v>0.7113355594467925</v>
      </c>
      <c r="D18" s="640" t="n">
        <f>AVERAGE(L12:O12)</f>
        <v>0.72346410646112602</v>
      </c>
      <c r="E18" s="640" t="n">
        <f>AVERAGE(P12:S12)</f>
        <v>0.75937035781096596</v>
      </c>
      <c r="F18" s="640" t="n">
        <f>AVERAGE(T12:W12)</f>
        <v>0.74360869154166143</v>
      </c>
      <c r="G18" s="668" t="n">
        <f>AVERAGE(X12:AA12)</f>
        <v>0.71193453023272057</v>
      </c>
    </row>
    <row r="19">
      <c r="B19" s="649" t="s">
        <v>483</v>
      </c>
      <c r="C19" s="264" t="n">
        <f>C17/C18</f>
        <v>644.51719573326511</v>
      </c>
      <c r="D19" s="264" t="n">
        <f>D17/D18</f>
        <v>719.5768184637268</v>
      </c>
      <c r="E19" s="264" t="n">
        <f>E17/E18</f>
        <v>779.52739912894685</v>
      </c>
      <c r="F19" s="264" t="n">
        <f>F17/F18</f>
        <v>792.64269864572634</v>
      </c>
      <c r="G19" s="647" t="n">
        <f>G17/G18</f>
        <v>757.0134290632418</v>
      </c>
    </row>
    <row r="20" ht="32.25" customHeight="1">
      <c r="B20" s="587" t="s">
        <v>484</v>
      </c>
      <c r="C20" s="642"/>
      <c r="D20" s="670" t="n">
        <f>D19/C19-1</f>
        <v>0.11645868136235937</v>
      </c>
      <c r="E20" s="670" t="n">
        <f t="shared" ref="E20:G20" si="6">E19/D19-1</f>
        <v>8.3313663151646011E-2</v>
      </c>
      <c r="F20" s="670" t="n">
        <f>F19/E19-1</f>
        <v>1.6824680609603515E-2</v>
      </c>
      <c r="G20" s="692" t="n">
        <f t="shared" si="6"/>
        <v>-4.4949975119128793E-2</v>
      </c>
      <c r="I20" s="674"/>
      <c r="J20" s="674"/>
      <c r="K20" s="674"/>
      <c r="L20" s="674"/>
      <c r="R20" s="63"/>
      <c r="S20" s="669"/>
      <c r="T20" s="669"/>
      <c r="U20" s="669"/>
    </row>
    <row r="22">
      <c r="B22" s="584" t="s">
        <v>412</v>
      </c>
    </row>
    <row r="23">
      <c r="B23" s="237" t="s">
        <v>485</v>
      </c>
      <c r="C23" s="490"/>
      <c r="D23" s="247" t="s">
        <v>325</v>
      </c>
      <c r="E23" s="248"/>
      <c r="F23" s="248"/>
      <c r="G23" s="248"/>
      <c r="H23" s="248"/>
      <c r="I23" s="248"/>
      <c r="J23" s="248"/>
      <c r="K23" s="248"/>
      <c r="L23" s="248"/>
      <c r="M23" s="248"/>
      <c r="N23" s="248"/>
      <c r="O23" s="248"/>
      <c r="P23" s="248"/>
      <c r="Q23" s="332"/>
      <c r="R23" s="332"/>
      <c r="S23" s="332"/>
      <c r="T23" s="238"/>
      <c r="U23" s="251" t="s">
        <v>326</v>
      </c>
      <c r="V23" s="251"/>
      <c r="W23" s="251"/>
      <c r="X23" s="251"/>
      <c r="Y23" s="251"/>
      <c r="Z23" s="251"/>
      <c r="AA23" s="251"/>
      <c r="AB23" s="251"/>
      <c r="AC23" s="252"/>
    </row>
    <row r="24">
      <c r="B24" s="239"/>
      <c r="C24" s="491"/>
      <c r="D24" s="198" t="n">
        <v>2018</v>
      </c>
      <c r="E24" s="198" t="n">
        <v>2019</v>
      </c>
      <c r="F24" s="235"/>
      <c r="G24" s="235"/>
      <c r="H24" s="236"/>
      <c r="I24" s="198" t="n">
        <v>2020</v>
      </c>
      <c r="J24" s="235"/>
      <c r="K24" s="235"/>
      <c r="L24" s="235"/>
      <c r="M24" s="198" t="n">
        <v>2021</v>
      </c>
      <c r="N24" s="235"/>
      <c r="O24" s="235"/>
      <c r="P24" s="235"/>
      <c r="Q24" s="198" t="n">
        <v>2022</v>
      </c>
      <c r="R24" s="199"/>
      <c r="S24" s="199"/>
      <c r="T24" s="236"/>
      <c r="U24" s="241" t="n">
        <v>2023</v>
      </c>
      <c r="V24" s="242"/>
      <c r="W24" s="242"/>
      <c r="X24" s="242"/>
      <c r="Y24" s="244" t="n">
        <v>2024</v>
      </c>
      <c r="Z24" s="242"/>
      <c r="AA24" s="242"/>
      <c r="AB24" s="243"/>
      <c r="AC24" s="290" t="n">
        <v>2025</v>
      </c>
    </row>
    <row r="25">
      <c r="B25" s="319"/>
      <c r="C25" s="492"/>
      <c r="D25" s="204" t="s">
        <v>327</v>
      </c>
      <c r="E25" s="204" t="s">
        <v>328</v>
      </c>
      <c r="F25" s="217" t="s">
        <v>329</v>
      </c>
      <c r="G25" s="217" t="s">
        <v>238</v>
      </c>
      <c r="H25" s="200" t="s">
        <v>327</v>
      </c>
      <c r="I25" s="217" t="s">
        <v>328</v>
      </c>
      <c r="J25" s="217" t="s">
        <v>329</v>
      </c>
      <c r="K25" s="217" t="s">
        <v>238</v>
      </c>
      <c r="L25" s="217" t="s">
        <v>327</v>
      </c>
      <c r="M25" s="204" t="s">
        <v>328</v>
      </c>
      <c r="N25" s="217" t="s">
        <v>329</v>
      </c>
      <c r="O25" s="217" t="s">
        <v>238</v>
      </c>
      <c r="P25" s="217" t="s">
        <v>327</v>
      </c>
      <c r="Q25" s="204" t="s">
        <v>328</v>
      </c>
      <c r="R25" s="217" t="s">
        <v>329</v>
      </c>
      <c r="S25" s="217" t="s">
        <v>238</v>
      </c>
      <c r="T25" s="200" t="s">
        <v>327</v>
      </c>
      <c r="U25" s="350" t="s">
        <v>328</v>
      </c>
      <c r="V25" s="350" t="s">
        <v>329</v>
      </c>
      <c r="W25" s="350" t="s">
        <v>238</v>
      </c>
      <c r="X25" s="350" t="s">
        <v>327</v>
      </c>
      <c r="Y25" s="418" t="s">
        <v>328</v>
      </c>
      <c r="Z25" s="283" t="s">
        <v>329</v>
      </c>
      <c r="AA25" s="350" t="s">
        <v>238</v>
      </c>
      <c r="AB25" s="348" t="s">
        <v>327</v>
      </c>
      <c r="AC25" s="443" t="s">
        <v>328</v>
      </c>
    </row>
    <row r="26" ht="19.5" customHeight="1">
      <c r="B26" s="684" t="s">
        <v>486</v>
      </c>
      <c r="C26" s="685"/>
      <c r="D26" s="660" t="n">
        <f t="shared" ref="D26:T26" si="7">D10</f>
        <v>589.5</v>
      </c>
      <c r="E26" s="661" t="n">
        <f t="shared" si="7"/>
        <v>598.70000000000005</v>
      </c>
      <c r="F26" s="661" t="n">
        <f t="shared" si="7"/>
        <v>614.4</v>
      </c>
      <c r="G26" s="661" t="n">
        <f t="shared" si="7"/>
        <v>622.4</v>
      </c>
      <c r="H26" s="661" t="n">
        <f t="shared" si="7"/>
        <v>620.70000000000005</v>
      </c>
      <c r="I26" s="661" t="n">
        <f t="shared" si="7"/>
        <v>606.6</v>
      </c>
      <c r="J26" s="661" t="n">
        <f t="shared" si="7"/>
        <v>654.70000000000005</v>
      </c>
      <c r="K26" s="661" t="n">
        <f t="shared" si="7"/>
        <v>690.7</v>
      </c>
      <c r="L26" s="661" t="n">
        <f t="shared" si="7"/>
        <v>678.3</v>
      </c>
      <c r="M26" s="661" t="n">
        <f t="shared" si="7"/>
        <v>704.4</v>
      </c>
      <c r="N26" s="661" t="n">
        <f t="shared" si="7"/>
        <v>744.8</v>
      </c>
      <c r="O26" s="661" t="n">
        <f t="shared" si="7"/>
        <v>748.2</v>
      </c>
      <c r="P26" s="661" t="n">
        <f t="shared" si="7"/>
        <v>745</v>
      </c>
      <c r="Q26" s="661" t="n">
        <f t="shared" si="7"/>
        <v>763.1</v>
      </c>
      <c r="R26" s="661" t="n">
        <f t="shared" si="7"/>
        <v>789.5</v>
      </c>
      <c r="S26" s="662" t="n">
        <f t="shared" si="7"/>
        <v>786.1</v>
      </c>
      <c r="T26" s="663" t="n">
        <f t="shared" si="7"/>
        <v>793.3</v>
      </c>
      <c r="U26" s="683" t="n">
        <f>T26*(1+$F$20)^0.25</f>
        <v>796.61590660115485</v>
      </c>
      <c r="V26" s="683" t="n">
        <f>U26*(1+$F$20)^0.25</f>
        <v>799.94567332658505</v>
      </c>
      <c r="W26" s="683" t="n">
        <f>V26*(1+$F$20)^0.25</f>
        <v>803.28935811008296</v>
      </c>
      <c r="X26" s="683" t="n">
        <f t="shared" ref="X26:AC26" si="8">W26*(1+$G$20)^0.25</f>
        <v>794.10612096664613</v>
      </c>
      <c r="Y26" s="683" t="n">
        <f t="shared" si="8"/>
        <v>785.02786696979422</v>
      </c>
      <c r="Z26" s="683" t="n">
        <f t="shared" si="8"/>
        <v>776.05339594785642</v>
      </c>
      <c r="AA26" s="683" t="n">
        <f t="shared" si="8"/>
        <v>767.18152144957389</v>
      </c>
      <c r="AB26" s="683" t="n">
        <f t="shared" si="8"/>
        <v>758.41107058724765</v>
      </c>
      <c r="AC26" s="673" t="n">
        <f t="shared" si="8"/>
        <v>749.74088388167945</v>
      </c>
    </row>
    <row r="27" ht="19.5" customHeight="1">
      <c r="B27" s="672" t="s">
        <v>1789</v>
      </c>
      <c r="C27" s="289"/>
      <c r="D27" s="686"/>
      <c r="E27" s="658"/>
      <c r="F27" s="658"/>
      <c r="G27" s="658"/>
      <c r="H27" s="658"/>
      <c r="I27" s="658"/>
      <c r="J27" s="658"/>
      <c r="K27" s="658"/>
      <c r="L27" s="658"/>
      <c r="M27" s="658"/>
      <c r="N27" s="658"/>
      <c r="O27" s="658"/>
      <c r="P27" s="658"/>
      <c r="Q27" s="658"/>
      <c r="R27" s="658"/>
      <c r="S27" s="659"/>
      <c r="T27" s="695"/>
      <c r="U27" s="666"/>
      <c r="V27" s="666"/>
      <c r="W27" s="666"/>
      <c r="X27" s="666"/>
      <c r="Y27" s="666"/>
      <c r="Z27" s="666"/>
      <c r="AA27" s="666"/>
      <c r="AB27" s="666"/>
      <c r="AC27" s="666"/>
    </row>
    <row r="28" ht="19.350000000000001" customHeight="1">
      <c r="B28" s="672" t="s">
        <v>207</v>
      </c>
      <c r="C28" s="289"/>
      <c r="D28" s="686" t="n">
        <f t="shared" ref="D28:Q28" si="9">D10*D12</f>
        <v>390.53500000000003</v>
      </c>
      <c r="E28" s="658" t="n">
        <f t="shared" si="9"/>
        <v>407.62099999999998</v>
      </c>
      <c r="F28" s="658" t="n">
        <f t="shared" si="9"/>
        <v>416.459</v>
      </c>
      <c r="G28" s="658" t="n">
        <f t="shared" si="9"/>
        <v>418.661</v>
      </c>
      <c r="H28" s="658" t="n">
        <f t="shared" si="9"/>
        <v>411.69499999999999</v>
      </c>
      <c r="I28" s="658" t="n">
        <f t="shared" si="9"/>
        <v>428.30799999999994</v>
      </c>
      <c r="J28" s="658" t="n">
        <f t="shared" si="9"/>
        <v>506.81600000000003</v>
      </c>
      <c r="K28" s="658" t="n">
        <f t="shared" si="9"/>
        <v>484.78000000000003</v>
      </c>
      <c r="L28" s="658" t="n">
        <f t="shared" si="9"/>
        <v>500.25800000000004</v>
      </c>
      <c r="M28" s="658" t="n">
        <f t="shared" si="9"/>
        <v>509.42099999999994</v>
      </c>
      <c r="N28" s="658" t="n">
        <f t="shared" si="9"/>
        <v>527.01700000000005</v>
      </c>
      <c r="O28" s="658" t="n">
        <f t="shared" si="9"/>
        <v>542.85299999999995</v>
      </c>
      <c r="P28" s="658" t="n">
        <f t="shared" si="9"/>
        <v>553.86500000000001</v>
      </c>
      <c r="Q28" s="658" t="n">
        <f t="shared" si="9"/>
        <v>592.26700000000005</v>
      </c>
      <c r="R28" s="658" t="n">
        <f t="shared" ref="R28:AC28" si="10">R26*R12</f>
        <v>590.13</v>
      </c>
      <c r="S28" s="658" t="n">
        <f t="shared" si="10"/>
        <v>605.63699999999994</v>
      </c>
      <c r="T28" s="664" t="n">
        <f t="shared" si="10"/>
        <v>604.87400000000002</v>
      </c>
      <c r="U28" s="666" t="n">
        <f t="shared" si="10"/>
        <v>607.40230668028107</v>
      </c>
      <c r="V28" s="666" t="n">
        <f t="shared" si="10"/>
        <v>589.55996124169314</v>
      </c>
      <c r="W28" s="666" t="n">
        <f t="shared" si="10"/>
        <v>572.32620043872669</v>
      </c>
      <c r="X28" s="666" t="n">
        <f t="shared" si="10"/>
        <v>565.35156818531721</v>
      </c>
      <c r="Y28" s="666" t="n">
        <f t="shared" si="10"/>
        <v>558.88844569073513</v>
      </c>
      <c r="Z28" s="666" t="n">
        <f t="shared" si="10"/>
        <v>552.4992098796447</v>
      </c>
      <c r="AA28" s="666" t="n">
        <f t="shared" si="10"/>
        <v>546.18301607642627</v>
      </c>
      <c r="AB28" s="666" t="n">
        <f t="shared" si="10"/>
        <v>536.24818151910517</v>
      </c>
      <c r="AC28" s="666" t="n">
        <f t="shared" si="10"/>
        <v>530.11777014379129</v>
      </c>
    </row>
    <row r="29" ht="19.350000000000001" customHeight="1">
      <c r="B29" s="333" t="s">
        <v>487</v>
      </c>
      <c r="C29" s="334"/>
      <c r="D29" s="688" t="n">
        <f t="shared" ref="D29:G29" si="11">D26-D28</f>
        <v>198.96499999999997</v>
      </c>
      <c r="E29" s="643" t="n">
        <f t="shared" si="11"/>
        <v>191.07900000000006</v>
      </c>
      <c r="F29" s="643" t="n">
        <f t="shared" si="11"/>
        <v>197.94099999999997</v>
      </c>
      <c r="G29" s="643" t="n">
        <f t="shared" si="11"/>
        <v>203.73899999999998</v>
      </c>
      <c r="H29" s="643" t="n">
        <f t="shared" ref="H29:AC29" si="12">H26-H28</f>
        <v>209.00500000000005</v>
      </c>
      <c r="I29" s="643" t="n">
        <f t="shared" si="12"/>
        <v>178.29200000000009</v>
      </c>
      <c r="J29" s="643" t="n">
        <f t="shared" si="12"/>
        <v>147.88400000000001</v>
      </c>
      <c r="K29" s="643" t="n">
        <f t="shared" si="12"/>
        <v>205.92000000000002</v>
      </c>
      <c r="L29" s="643" t="n">
        <f t="shared" si="12"/>
        <v>178.04199999999992</v>
      </c>
      <c r="M29" s="643" t="n">
        <f t="shared" si="12"/>
        <v>194.97900000000004</v>
      </c>
      <c r="N29" s="643" t="n">
        <f t="shared" si="12"/>
        <v>217.7829999999999</v>
      </c>
      <c r="O29" s="643" t="n">
        <f>O26-O28</f>
        <v>205.34700000000009</v>
      </c>
      <c r="P29" s="643" t="n">
        <f>P26-P28</f>
        <v>191.13499999999999</v>
      </c>
      <c r="Q29" s="643" t="n">
        <f t="shared" si="12"/>
        <v>170.83299999999997</v>
      </c>
      <c r="R29" s="643" t="n">
        <f t="shared" si="12"/>
        <v>199.37</v>
      </c>
      <c r="S29" s="643" t="n">
        <f t="shared" si="12"/>
        <v>180.46300000000008</v>
      </c>
      <c r="T29" s="665" t="n">
        <f t="shared" si="12"/>
        <v>188.42599999999993</v>
      </c>
      <c r="U29" s="681" t="n">
        <f t="shared" si="12"/>
        <v>189.21359992087378</v>
      </c>
      <c r="V29" s="681" t="n">
        <f t="shared" si="12"/>
        <v>210.38571208489191</v>
      </c>
      <c r="W29" s="681" t="n">
        <f t="shared" si="12"/>
        <v>230.96315767135627</v>
      </c>
      <c r="X29" s="681" t="n">
        <f t="shared" si="12"/>
        <v>228.75455278132893</v>
      </c>
      <c r="Y29" s="681" t="n">
        <f t="shared" si="12"/>
        <v>226.13942127905909</v>
      </c>
      <c r="Z29" s="681" t="n">
        <f t="shared" si="12"/>
        <v>223.55418606821172</v>
      </c>
      <c r="AA29" s="681" t="n">
        <f t="shared" si="12"/>
        <v>220.99850537314762</v>
      </c>
      <c r="AB29" s="681" t="n">
        <f t="shared" si="12"/>
        <v>222.16288906814248</v>
      </c>
      <c r="AC29" s="682" t="n">
        <f t="shared" si="12"/>
        <v>219.62311373788816</v>
      </c>
    </row>
    <row r="30" ht="19.350000000000001" customHeight="1">
      <c r="B30" s="268"/>
      <c r="C30" s="268"/>
      <c r="D30" s="650"/>
      <c r="E30" s="650"/>
      <c r="F30" s="650"/>
      <c r="G30" s="650"/>
      <c r="H30" s="650"/>
      <c r="I30" s="650"/>
      <c r="J30" s="650"/>
      <c r="K30" s="650"/>
      <c r="L30" s="650"/>
      <c r="M30" s="650"/>
      <c r="N30" s="650"/>
      <c r="O30" s="650"/>
      <c r="P30" s="650"/>
      <c r="Q30" s="650"/>
      <c r="R30" s="650"/>
      <c r="S30" s="650"/>
      <c r="T30" s="650"/>
      <c r="U30" s="650"/>
      <c r="V30" s="650"/>
      <c r="W30" s="650"/>
      <c r="X30" s="650"/>
      <c r="Y30" s="650"/>
      <c r="Z30" s="650"/>
      <c r="AA30" s="650"/>
      <c r="AB30" s="650"/>
      <c r="AC30" s="650"/>
    </row>
    <row r="31" ht="14.85" customHeight="1">
      <c r="H31" s="302"/>
      <c r="I31" s="302"/>
      <c r="J31" s="302"/>
      <c r="K31" s="302"/>
      <c r="L31" s="302"/>
      <c r="M31" s="675"/>
      <c r="N31" s="302"/>
      <c r="O31" s="302"/>
    </row>
    <row r="32" ht="14.85" customHeight="1">
      <c r="B32" s="676" t="s">
        <v>488</v>
      </c>
      <c r="C32" s="677"/>
      <c r="D32" s="677"/>
      <c r="E32" s="678"/>
      <c r="F32" s="679" t="n">
        <v>2021</v>
      </c>
      <c r="G32" s="679" t="n">
        <v>2022</v>
      </c>
      <c r="H32" s="679" t="n">
        <v>2023</v>
      </c>
      <c r="I32" s="679" t="n">
        <v>2024</v>
      </c>
      <c r="J32" s="679" t="n">
        <v>2025</v>
      </c>
      <c r="K32" s="679" t="n">
        <v>2025</v>
      </c>
      <c r="L32" s="679" t="n">
        <v>2027</v>
      </c>
      <c r="M32" s="679" t="n">
        <v>2028</v>
      </c>
      <c r="N32" s="679" t="n">
        <v>2029</v>
      </c>
      <c r="O32" s="679" t="n">
        <v>2030</v>
      </c>
      <c r="P32" s="680" t="n">
        <v>2031</v>
      </c>
    </row>
    <row r="33" ht="15" customHeight="1">
      <c r="B33" s="636" t="s">
        <v>489</v>
      </c>
      <c r="C33" s="637"/>
      <c r="D33" s="637"/>
      <c r="E33" s="638"/>
      <c r="F33" s="264" t="n">
        <v>287</v>
      </c>
      <c r="G33" s="264" t="n">
        <v>534</v>
      </c>
      <c r="H33" s="264" t="n">
        <v>247</v>
      </c>
      <c r="I33" s="264" t="n">
        <v>63</v>
      </c>
      <c r="J33" s="264"/>
      <c r="K33" s="264"/>
      <c r="L33" s="264"/>
      <c r="M33" s="264"/>
      <c r="N33" s="264"/>
      <c r="O33" s="264"/>
      <c r="P33" s="647"/>
    </row>
    <row r="34" ht="15" customHeight="1">
      <c r="B34" s="629" t="s">
        <v>490</v>
      </c>
      <c r="C34" s="630"/>
      <c r="D34" s="630"/>
      <c r="E34" s="631"/>
      <c r="F34" s="264" t="n">
        <v>0</v>
      </c>
      <c r="G34" s="264" t="n">
        <v>0</v>
      </c>
      <c r="H34" s="264" t="n">
        <v>756</v>
      </c>
      <c r="I34" s="264" t="n">
        <v>1249</v>
      </c>
      <c r="J34" s="264" t="n">
        <v>1417</v>
      </c>
      <c r="K34" s="264" t="n">
        <v>1522</v>
      </c>
      <c r="L34" s="264" t="n">
        <v>1107</v>
      </c>
      <c r="M34" s="264"/>
      <c r="N34" s="264"/>
      <c r="O34" s="264"/>
      <c r="P34" s="647"/>
    </row>
    <row r="35">
      <c r="B35" s="629" t="s">
        <v>491</v>
      </c>
      <c r="C35" s="630"/>
      <c r="D35" s="630"/>
      <c r="E35" s="631"/>
      <c r="F35" s="264" t="n">
        <v>0</v>
      </c>
      <c r="G35" s="264" t="n">
        <v>5</v>
      </c>
      <c r="H35" s="264" t="n">
        <v>77</v>
      </c>
      <c r="I35" s="264" t="n">
        <v>307</v>
      </c>
      <c r="J35" s="264" t="n">
        <v>332</v>
      </c>
      <c r="K35" s="264" t="n">
        <v>270</v>
      </c>
      <c r="L35" s="264" t="n">
        <v>25</v>
      </c>
      <c r="M35" s="264" t="n">
        <v>32</v>
      </c>
      <c r="N35" s="264" t="n">
        <v>40</v>
      </c>
      <c r="O35" s="264" t="n">
        <v>49</v>
      </c>
      <c r="P35" s="647" t="n">
        <v>58</v>
      </c>
    </row>
    <row r="36" ht="32.85" customHeight="1">
      <c r="B36" s="633" t="s">
        <v>492</v>
      </c>
      <c r="C36" s="634"/>
      <c r="D36" s="634"/>
      <c r="E36" s="635"/>
      <c r="F36" s="264" t="n">
        <v>0</v>
      </c>
      <c r="G36" s="264" t="n">
        <v>0</v>
      </c>
      <c r="H36" s="264" t="n">
        <v>3768</v>
      </c>
      <c r="I36" s="264" t="n">
        <v>3428</v>
      </c>
      <c r="J36" s="264" t="n">
        <v>2176</v>
      </c>
      <c r="K36" s="264" t="n">
        <v>2304</v>
      </c>
      <c r="L36" s="264" t="n">
        <v>2129</v>
      </c>
      <c r="M36" s="264" t="n">
        <v>1335</v>
      </c>
      <c r="N36" s="264" t="n">
        <v>478</v>
      </c>
      <c r="O36" s="264" t="n">
        <v>531</v>
      </c>
      <c r="P36" s="647" t="n">
        <v>212</v>
      </c>
    </row>
    <row r="37" ht="32.85" customHeight="1">
      <c r="B37" s="633" t="s">
        <v>493</v>
      </c>
      <c r="C37" s="634"/>
      <c r="D37" s="634"/>
      <c r="E37" s="635"/>
      <c r="F37" s="264" t="n">
        <v>38</v>
      </c>
      <c r="G37" s="264" t="n">
        <v>81</v>
      </c>
      <c r="H37" s="264" t="n">
        <v>43</v>
      </c>
      <c r="I37" s="264"/>
      <c r="J37" s="264"/>
      <c r="K37" s="264"/>
      <c r="L37" s="264"/>
      <c r="M37" s="264"/>
      <c r="N37" s="264"/>
      <c r="O37" s="264"/>
      <c r="P37" s="647"/>
    </row>
    <row r="38">
      <c r="B38" s="629" t="s">
        <v>494</v>
      </c>
      <c r="C38" s="630"/>
      <c r="D38" s="630"/>
      <c r="E38" s="631"/>
      <c r="F38" s="264"/>
      <c r="G38" s="264"/>
      <c r="H38" s="264"/>
      <c r="I38" s="264" t="n">
        <v>-184</v>
      </c>
      <c r="J38" s="264" t="n">
        <v>-1830</v>
      </c>
      <c r="K38" s="264" t="n">
        <v>-2406</v>
      </c>
      <c r="L38" s="264" t="n">
        <v>-2419</v>
      </c>
      <c r="M38" s="264" t="n">
        <v>-2467</v>
      </c>
      <c r="N38" s="264" t="n">
        <v>-2531</v>
      </c>
      <c r="O38" s="264" t="n">
        <v>-2667</v>
      </c>
      <c r="P38" s="647" t="n">
        <v>-2809</v>
      </c>
    </row>
    <row r="39" ht="15.75" customHeight="1">
      <c r="B39" s="626" t="s">
        <v>495</v>
      </c>
      <c r="C39" s="627"/>
      <c r="D39" s="627"/>
      <c r="E39" s="628"/>
      <c r="F39" s="264" t="n">
        <v>6524</v>
      </c>
      <c r="G39" s="264" t="n">
        <v>6143</v>
      </c>
      <c r="H39" s="264"/>
      <c r="I39" s="264"/>
      <c r="J39" s="264"/>
      <c r="K39" s="264"/>
      <c r="L39" s="264"/>
      <c r="M39" s="264"/>
      <c r="N39" s="264"/>
      <c r="O39" s="264"/>
      <c r="P39" s="647"/>
    </row>
    <row r="40">
      <c r="B40" s="629" t="s">
        <v>496</v>
      </c>
      <c r="C40" s="630"/>
      <c r="D40" s="630"/>
      <c r="E40" s="631"/>
      <c r="F40" s="264" t="n">
        <v>50</v>
      </c>
      <c r="G40" s="264" t="n">
        <v>175</v>
      </c>
      <c r="H40" s="264" t="n">
        <v>25</v>
      </c>
      <c r="I40" s="264"/>
      <c r="J40" s="264"/>
      <c r="K40" s="264"/>
      <c r="L40" s="264"/>
      <c r="M40" s="264"/>
      <c r="N40" s="264"/>
      <c r="O40" s="264"/>
      <c r="P40" s="647"/>
    </row>
    <row r="41">
      <c r="B41" s="629" t="s">
        <v>497</v>
      </c>
      <c r="C41" s="630"/>
      <c r="D41" s="630"/>
      <c r="E41" s="631"/>
      <c r="F41" s="264" t="n">
        <v>829</v>
      </c>
      <c r="G41" s="264" t="n">
        <v>844</v>
      </c>
      <c r="H41" s="264"/>
      <c r="I41" s="264"/>
      <c r="J41" s="264"/>
      <c r="K41" s="264"/>
      <c r="L41" s="264"/>
      <c r="M41" s="264"/>
      <c r="N41" s="264"/>
      <c r="O41" s="264"/>
      <c r="P41" s="647"/>
    </row>
    <row r="42">
      <c r="B42" s="300" t="s">
        <v>498</v>
      </c>
      <c r="C42" s="295"/>
      <c r="D42" s="295"/>
      <c r="E42" s="632"/>
      <c r="F42" s="264" t="n">
        <f t="shared" ref="F42:P42" si="13">SUM(F33:F41)</f>
        <v>7728</v>
      </c>
      <c r="G42" s="264" t="n">
        <f t="shared" si="13"/>
        <v>7782</v>
      </c>
      <c r="H42" s="264" t="n">
        <f t="shared" si="13"/>
        <v>4916</v>
      </c>
      <c r="I42" s="264" t="n">
        <f t="shared" si="13"/>
        <v>4863</v>
      </c>
      <c r="J42" s="264" t="n">
        <f t="shared" si="13"/>
        <v>2095</v>
      </c>
      <c r="K42" s="264" t="n">
        <f t="shared" si="13"/>
        <v>1690</v>
      </c>
      <c r="L42" s="264" t="n">
        <f t="shared" si="13"/>
        <v>842</v>
      </c>
      <c r="M42" s="264" t="n">
        <f t="shared" si="13"/>
        <v>-1100</v>
      </c>
      <c r="N42" s="264" t="n">
        <f t="shared" si="13"/>
        <v>-2013</v>
      </c>
      <c r="O42" s="264" t="n">
        <f t="shared" si="13"/>
        <v>-2087</v>
      </c>
      <c r="P42" s="647" t="n">
        <f t="shared" si="13"/>
        <v>-2539</v>
      </c>
    </row>
    <row r="43">
      <c r="B43" s="626" t="s">
        <v>499</v>
      </c>
      <c r="C43" s="627"/>
      <c r="D43" s="627"/>
      <c r="E43" s="628"/>
      <c r="F43" s="264" t="n">
        <f t="shared" ref="F43:P43" si="14">F39+F37+F36</f>
        <v>6562</v>
      </c>
      <c r="G43" s="264" t="n">
        <f t="shared" si="14"/>
        <v>6224</v>
      </c>
      <c r="H43" s="264" t="n">
        <f t="shared" si="14"/>
        <v>3811</v>
      </c>
      <c r="I43" s="264" t="n">
        <f t="shared" si="14"/>
        <v>3428</v>
      </c>
      <c r="J43" s="264" t="n">
        <f t="shared" si="14"/>
        <v>2176</v>
      </c>
      <c r="K43" s="264" t="n">
        <f t="shared" si="14"/>
        <v>2304</v>
      </c>
      <c r="L43" s="264" t="n">
        <f t="shared" si="14"/>
        <v>2129</v>
      </c>
      <c r="M43" s="264" t="n">
        <f t="shared" si="14"/>
        <v>1335</v>
      </c>
      <c r="N43" s="264" t="n">
        <f t="shared" si="14"/>
        <v>478</v>
      </c>
      <c r="O43" s="264" t="n">
        <f t="shared" si="14"/>
        <v>531</v>
      </c>
      <c r="P43" s="647" t="n">
        <f t="shared" si="14"/>
        <v>212</v>
      </c>
      <c r="Q43" s="268" t="s">
        <v>500</v>
      </c>
    </row>
    <row r="44">
      <c r="B44" s="629" t="s">
        <v>501</v>
      </c>
      <c r="C44" s="630"/>
      <c r="D44" s="630"/>
      <c r="E44" s="631"/>
      <c r="F44" s="264" t="n">
        <f>(F43/1000)/M26</f>
        <v>9.315729699034641E-3</v>
      </c>
      <c r="G44" s="264" t="n">
        <f>(G43/F43)*F44</f>
        <v>8.8358886996024993E-3</v>
      </c>
      <c r="H44" s="264" t="n">
        <f>(H43/G43)*G44+H45</f>
        <v>5.4102782509937537E-3</v>
      </c>
      <c r="I44" s="264" t="n">
        <f>(I43/H43)*H44+I45</f>
        <v>4.8665530948324813E-3</v>
      </c>
      <c r="J44" s="264" t="n">
        <f>J45</f>
        <v>0</v>
      </c>
      <c r="K44" s="264" t="n">
        <f t="shared" ref="K44:L44" si="15">K45</f>
        <v>0</v>
      </c>
      <c r="L44" s="264" t="n">
        <f t="shared" si="15"/>
        <v>0</v>
      </c>
      <c r="M44" s="264"/>
      <c r="N44" s="264"/>
      <c r="O44" s="264"/>
      <c r="P44" s="647"/>
      <c r="Q44" s="268" t="s">
        <v>502</v>
      </c>
    </row>
    <row r="45" ht="29.25" customHeight="1">
      <c r="B45" s="629" t="s">
        <v>955</v>
      </c>
      <c r="C45" s="630"/>
      <c r="D45" s="630"/>
      <c r="E45" s="631"/>
      <c r="F45" s="264"/>
      <c r="G45" s="264"/>
      <c r="H45" s="264"/>
      <c r="I45" s="264"/>
      <c r="J45" s="264"/>
      <c r="K45" s="264"/>
      <c r="L45" s="264"/>
      <c r="M45" s="264"/>
      <c r="N45" s="264"/>
      <c r="O45" s="264"/>
      <c r="P45" s="647"/>
      <c r="Q45" s="268"/>
    </row>
    <row r="46">
      <c r="B46" s="542"/>
      <c r="C46" s="543"/>
      <c r="D46" s="543"/>
      <c r="E46" s="625"/>
      <c r="F46" s="642"/>
      <c r="G46" s="642"/>
      <c r="H46" s="642"/>
      <c r="I46" s="642"/>
      <c r="J46" s="642"/>
      <c r="K46" s="642"/>
      <c r="L46" s="642"/>
      <c r="M46" s="642"/>
      <c r="N46" s="642"/>
      <c r="O46" s="642"/>
      <c r="P46" s="648"/>
    </row>
  </sheetData>
  <mergeCells count="34">
    <mergeCell ref="B38:E38"/>
    <mergeCell ref="E8:H8"/>
    <mergeCell ref="B7:C9"/>
    <mergeCell ref="I8:L8"/>
    <mergeCell ref="B36:E36"/>
    <mergeCell ref="B37:E37"/>
    <mergeCell ref="B35:E35"/>
    <mergeCell ref="B33:E33"/>
    <mergeCell ref="I24:L24"/>
    <mergeCell ref="B23:C25"/>
    <mergeCell ref="E24:H24"/>
    <mergeCell ref="D7:T7"/>
    <mergeCell ref="B34:E34"/>
    <mergeCell ref="B46:E46"/>
    <mergeCell ref="B39:E39"/>
    <mergeCell ref="B40:E40"/>
    <mergeCell ref="B41:E41"/>
    <mergeCell ref="B42:E42"/>
    <mergeCell ref="B43:E43"/>
    <mergeCell ref="B44:E44"/>
    <mergeCell ref="B1:AC1"/>
    <mergeCell ref="V2:AB4"/>
    <mergeCell ref="B2:U4"/>
    <mergeCell ref="Y24:AB24"/>
    <mergeCell ref="Y8:AB8"/>
    <mergeCell ref="U8:X8"/>
    <mergeCell ref="M24:P24"/>
    <mergeCell ref="M8:P8"/>
    <mergeCell ref="U7:AC7"/>
    <mergeCell ref="Q8:T8"/>
    <mergeCell ref="D23:T23"/>
    <mergeCell ref="U23:AC23"/>
    <mergeCell ref="Q24:T24"/>
    <mergeCell ref="U24:X24"/>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N17" sqref="N17"/>
    </sheetView>
  </sheetViews>
  <sheetFormatPr defaultRowHeight="15.0" baseColWidth="10"/>
  <cols>
    <col min="2" max="2" width="42.85546875" hidden="0" customWidth="1"/>
    <col min="3" max="3" width="7.42578125" hidden="0" customWidth="1"/>
    <col min="4" max="4" width="8.85546875" hidden="0" customWidth="1"/>
    <col min="5" max="5" width="9" hidden="0" customWidth="1"/>
    <col min="6" max="6" width="8.85546875" hidden="0" customWidth="1"/>
    <col min="7" max="7" width="9.5703125" hidden="0" customWidth="1"/>
    <col min="8" max="8" width="9.85546875" hidden="0" customWidth="1"/>
    <col min="9" max="9" width="10.140625" hidden="0" customWidth="1"/>
    <col min="10" max="10" width="9.140625" hidden="0" customWidth="1"/>
    <col min="11" max="11" width="9.85546875" hidden="0" customWidth="1"/>
    <col min="12" max="12" width="8.85546875" hidden="0" customWidth="1"/>
    <col min="13" max="13" width="8.85546875" hidden="0" customWidth="1"/>
    <col min="14" max="14" width="9.140625" hidden="0" customWidth="1"/>
    <col min="15" max="15" width="8.85546875" hidden="0" customWidth="1"/>
    <col min="16" max="16" width="8.85546875" hidden="0" customWidth="1"/>
    <col min="17" max="17" width="8.85546875" hidden="0" customWidth="1"/>
    <col min="18" max="18" width="8.85546875" hidden="0" customWidth="1"/>
    <col min="19" max="19" width="8.85546875" hidden="0" customWidth="1"/>
    <col min="20" max="20" width="9.140625" hidden="0" customWidth="1"/>
    <col min="21" max="21" width="9.140625" hidden="0" customWidth="1"/>
    <col min="22" max="22" width="9.140625" hidden="0" customWidth="1"/>
  </cols>
  <sheetData>
    <row r="1">
      <c r="B1" s="233" t="s">
        <v>55</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25" customHeight="1">
      <c r="B2" s="97" t="s">
        <v>918</v>
      </c>
      <c r="C2" s="97"/>
      <c r="D2" s="97"/>
      <c r="E2" s="97"/>
      <c r="F2" s="97"/>
      <c r="G2" s="97"/>
      <c r="H2" s="97"/>
      <c r="I2" s="97"/>
      <c r="J2" s="97"/>
      <c r="K2" s="97"/>
      <c r="L2" s="97"/>
      <c r="M2" s="97"/>
      <c r="N2" s="97"/>
      <c r="O2" s="97"/>
      <c r="P2" s="97"/>
      <c r="Q2" s="97"/>
      <c r="R2" s="97"/>
      <c r="S2" s="691"/>
      <c r="T2" s="696" t="s">
        <v>985</v>
      </c>
      <c r="U2" s="696"/>
      <c r="V2" s="696"/>
      <c r="W2" s="696"/>
      <c r="X2" s="696"/>
      <c r="Y2" s="696"/>
      <c r="Z2" s="696"/>
      <c r="AA2" s="696"/>
      <c r="AB2" s="696"/>
      <c r="AC2" s="696"/>
    </row>
    <row r="3">
      <c r="B3" s="97"/>
      <c r="C3" s="97"/>
      <c r="D3" s="97"/>
      <c r="E3" s="97"/>
      <c r="F3" s="97"/>
      <c r="G3" s="97"/>
      <c r="H3" s="97"/>
      <c r="I3" s="97"/>
      <c r="J3" s="97"/>
      <c r="K3" s="97"/>
      <c r="L3" s="97"/>
      <c r="M3" s="97"/>
      <c r="N3" s="97"/>
      <c r="O3" s="97"/>
      <c r="P3" s="97"/>
      <c r="Q3" s="97"/>
      <c r="R3" s="97"/>
      <c r="S3" s="691"/>
      <c r="T3" s="696"/>
      <c r="U3" s="696"/>
      <c r="V3" s="696"/>
      <c r="W3" s="696"/>
      <c r="X3" s="696"/>
      <c r="Y3" s="696"/>
      <c r="Z3" s="696"/>
      <c r="AA3" s="696"/>
      <c r="AB3" s="696"/>
      <c r="AC3" s="696"/>
    </row>
    <row r="4" ht="21" customHeight="1">
      <c r="B4" s="97"/>
      <c r="C4" s="97"/>
      <c r="D4" s="97"/>
      <c r="E4" s="97"/>
      <c r="F4" s="97"/>
      <c r="G4" s="97"/>
      <c r="H4" s="97"/>
      <c r="I4" s="97"/>
      <c r="J4" s="97"/>
      <c r="K4" s="97"/>
      <c r="L4" s="97"/>
      <c r="M4" s="97"/>
      <c r="N4" s="97"/>
      <c r="O4" s="97"/>
      <c r="P4" s="97"/>
      <c r="Q4" s="97"/>
      <c r="R4" s="97"/>
      <c r="S4" s="691"/>
      <c r="T4" s="696"/>
      <c r="U4" s="696"/>
      <c r="V4" s="696"/>
      <c r="W4" s="696"/>
      <c r="X4" s="696"/>
      <c r="Y4" s="696"/>
      <c r="Z4" s="696"/>
      <c r="AA4" s="696"/>
      <c r="AB4" s="696"/>
      <c r="AC4" s="696"/>
    </row>
    <row r="6">
      <c r="B6" s="584" t="s">
        <v>380</v>
      </c>
    </row>
    <row r="7" ht="14.85" customHeight="1">
      <c r="B7" s="237" t="s">
        <v>453</v>
      </c>
      <c r="C7" s="490"/>
      <c r="D7" s="247" t="s">
        <v>325</v>
      </c>
      <c r="E7" s="248"/>
      <c r="F7" s="248"/>
      <c r="G7" s="248"/>
      <c r="H7" s="248"/>
      <c r="I7" s="248"/>
      <c r="J7" s="248"/>
      <c r="K7" s="248"/>
      <c r="L7" s="248"/>
      <c r="M7" s="248"/>
      <c r="N7" s="248"/>
      <c r="O7" s="248"/>
      <c r="P7" s="248"/>
      <c r="Q7" s="332"/>
      <c r="R7" s="332"/>
      <c r="S7" s="332"/>
      <c r="T7" s="238"/>
      <c r="U7" s="251" t="s">
        <v>326</v>
      </c>
      <c r="V7" s="251"/>
      <c r="W7" s="251"/>
      <c r="X7" s="251"/>
      <c r="Y7" s="251"/>
      <c r="Z7" s="251"/>
      <c r="AA7" s="251"/>
      <c r="AB7" s="251"/>
      <c r="AC7" s="252"/>
    </row>
    <row r="8">
      <c r="B8" s="239"/>
      <c r="C8" s="491"/>
      <c r="D8" s="198" t="n">
        <v>2018</v>
      </c>
      <c r="E8" s="198" t="n">
        <v>2019</v>
      </c>
      <c r="F8" s="235"/>
      <c r="G8" s="235"/>
      <c r="H8" s="236"/>
      <c r="I8" s="198" t="n">
        <v>2020</v>
      </c>
      <c r="J8" s="235"/>
      <c r="K8" s="235"/>
      <c r="L8" s="235"/>
      <c r="M8" s="198" t="n">
        <v>2021</v>
      </c>
      <c r="N8" s="235"/>
      <c r="O8" s="235"/>
      <c r="P8" s="199"/>
      <c r="Q8" s="198" t="n">
        <v>2022</v>
      </c>
      <c r="R8" s="199"/>
      <c r="S8" s="199"/>
      <c r="T8" s="236"/>
      <c r="U8" s="241" t="n">
        <v>2023</v>
      </c>
      <c r="V8" s="242"/>
      <c r="W8" s="242"/>
      <c r="X8" s="242"/>
      <c r="Y8" s="244" t="n">
        <v>2024</v>
      </c>
      <c r="Z8" s="242"/>
      <c r="AA8" s="242"/>
      <c r="AB8" s="243"/>
      <c r="AC8" s="290" t="n">
        <v>2025</v>
      </c>
    </row>
    <row r="9">
      <c r="B9" s="239"/>
      <c r="C9" s="491"/>
      <c r="D9" s="204" t="s">
        <v>327</v>
      </c>
      <c r="E9" s="204" t="s">
        <v>328</v>
      </c>
      <c r="F9" s="217" t="s">
        <v>329</v>
      </c>
      <c r="G9" s="217" t="s">
        <v>238</v>
      </c>
      <c r="H9" s="200" t="s">
        <v>327</v>
      </c>
      <c r="I9" s="217" t="s">
        <v>328</v>
      </c>
      <c r="J9" s="217" t="s">
        <v>329</v>
      </c>
      <c r="K9" s="217" t="s">
        <v>238</v>
      </c>
      <c r="L9" s="217" t="s">
        <v>327</v>
      </c>
      <c r="M9" s="204" t="s">
        <v>328</v>
      </c>
      <c r="N9" s="217" t="s">
        <v>329</v>
      </c>
      <c r="O9" s="217" t="s">
        <v>238</v>
      </c>
      <c r="P9" s="217" t="s">
        <v>327</v>
      </c>
      <c r="Q9" s="204" t="s">
        <v>328</v>
      </c>
      <c r="R9" s="217" t="s">
        <v>329</v>
      </c>
      <c r="S9" s="217" t="s">
        <v>238</v>
      </c>
      <c r="T9" s="200" t="s">
        <v>327</v>
      </c>
      <c r="U9" s="350" t="s">
        <v>328</v>
      </c>
      <c r="V9" s="350" t="s">
        <v>329</v>
      </c>
      <c r="W9" s="350" t="s">
        <v>238</v>
      </c>
      <c r="X9" s="350" t="s">
        <v>327</v>
      </c>
      <c r="Y9" s="418" t="s">
        <v>328</v>
      </c>
      <c r="Z9" s="283" t="s">
        <v>329</v>
      </c>
      <c r="AA9" s="350" t="s">
        <v>238</v>
      </c>
      <c r="AB9" s="348" t="s">
        <v>327</v>
      </c>
      <c r="AC9" s="443" t="s">
        <v>328</v>
      </c>
    </row>
    <row r="10" ht="14.85" customHeight="1">
      <c r="B10" s="368" t="s">
        <v>503</v>
      </c>
      <c r="C10" s="63" t="s">
        <v>981</v>
      </c>
      <c r="D10" s="660" t="n">
        <f>'Haver Pivoted'!GO12</f>
        <v>755.3</v>
      </c>
      <c r="E10" s="661" t="n">
        <f>'Haver Pivoted'!GP12</f>
        <v>772.6</v>
      </c>
      <c r="F10" s="661" t="n">
        <f>'Haver Pivoted'!GQ12</f>
        <v>785.8</v>
      </c>
      <c r="G10" s="661" t="n">
        <f>'Haver Pivoted'!GR12</f>
        <v>793.7</v>
      </c>
      <c r="H10" s="661" t="n">
        <f>'Haver Pivoted'!GS12</f>
        <v>796.3</v>
      </c>
      <c r="I10" s="661" t="n">
        <f>'Haver Pivoted'!GT12</f>
        <v>795.3</v>
      </c>
      <c r="J10" s="661" t="n">
        <f>'Haver Pivoted'!GU12</f>
        <v>808</v>
      </c>
      <c r="K10" s="661" t="n">
        <f>'Haver Pivoted'!GV12</f>
        <v>822.1</v>
      </c>
      <c r="L10" s="661" t="n">
        <f>'Haver Pivoted'!GW12</f>
        <v>837.5</v>
      </c>
      <c r="M10" s="661" t="n">
        <f>'Haver Pivoted'!GX12</f>
        <v>857.6</v>
      </c>
      <c r="N10" s="661" t="n">
        <f>'Haver Pivoted'!GY12</f>
        <v>875.4</v>
      </c>
      <c r="O10" s="661" t="n">
        <f>'Haver Pivoted'!GZ12</f>
        <v>889.5</v>
      </c>
      <c r="P10" s="661" t="n">
        <f>'Haver Pivoted'!HA12</f>
        <v>900</v>
      </c>
      <c r="Q10" s="661" t="n">
        <f>'Haver Pivoted'!HB12</f>
        <v>908</v>
      </c>
      <c r="R10" s="661" t="n">
        <f>'Haver Pivoted'!HC12</f>
        <v>911.8</v>
      </c>
      <c r="S10" s="662" t="n">
        <f>'Haver Pivoted'!HD12</f>
        <v>920.3</v>
      </c>
      <c r="T10" s="663" t="n">
        <f>'Haver Pivoted'!HE12</f>
        <v>941.6</v>
      </c>
      <c r="U10" s="683" t="n">
        <f t="shared" ref="U10:AC10" si="0">T10*(1+U12)</f>
        <v>958.68725729225423</v>
      </c>
      <c r="V10" s="683" t="n">
        <f t="shared" si="0"/>
        <v>976.08459780644091</v>
      </c>
      <c r="W10" s="683" t="n">
        <f t="shared" si="0"/>
        <v>993.79764863665025</v>
      </c>
      <c r="X10" s="683" t="n">
        <f t="shared" si="0"/>
        <v>1017.7617761487271</v>
      </c>
      <c r="Y10" s="683" t="n">
        <f t="shared" si="0"/>
        <v>1042.3037671808102</v>
      </c>
      <c r="Z10" s="683" t="n">
        <f t="shared" si="0"/>
        <v>1067.437556154154</v>
      </c>
      <c r="AA10" s="683" t="n">
        <f t="shared" si="0"/>
        <v>1093.1774135003152</v>
      </c>
      <c r="AB10" s="683" t="n">
        <f t="shared" si="0"/>
        <v>1119.5379537635997</v>
      </c>
      <c r="AC10" s="673" t="n">
        <f t="shared" si="0"/>
        <v>1146.534143898891</v>
      </c>
    </row>
    <row r="11" ht="28.5" customHeight="1">
      <c r="B11" s="722" t="s">
        <v>983</v>
      </c>
      <c r="C11" s="710" t="s">
        <v>573</v>
      </c>
      <c r="D11" s="723"/>
      <c r="E11" s="703"/>
      <c r="F11" s="703"/>
      <c r="G11" s="703"/>
      <c r="H11" s="703"/>
      <c r="I11" s="703"/>
      <c r="J11" s="704" t="n">
        <f>'Haver Pivoted'!GU46</f>
        <v>9.6</v>
      </c>
      <c r="K11" s="704" t="n">
        <f>'Haver Pivoted'!GV46</f>
        <v>14.4</v>
      </c>
      <c r="L11" s="704" t="n">
        <f>'Haver Pivoted'!GW46</f>
        <v>14.3</v>
      </c>
      <c r="M11" s="704" t="n">
        <f>'Haver Pivoted'!GX46</f>
        <v>15</v>
      </c>
      <c r="N11" s="704" t="n">
        <f>'Haver Pivoted'!GY46</f>
        <v>15.3</v>
      </c>
      <c r="O11" s="704" t="n">
        <f>'Haver Pivoted'!GZ46</f>
        <v>15.6</v>
      </c>
      <c r="P11" s="704" t="n">
        <f>'Haver Pivoted'!HA46</f>
        <v>15.7</v>
      </c>
      <c r="Q11" s="704" t="n">
        <f>'Haver Pivoted'!HB46</f>
        <v>15.8</v>
      </c>
      <c r="R11" s="704" t="n">
        <f>'Haver Pivoted'!HC46</f>
        <v>7.9</v>
      </c>
      <c r="S11" s="705" t="n">
        <f>'Haver Pivoted'!HD46</f>
        <v>0</v>
      </c>
      <c r="T11" s="708" t="n">
        <f>'Haver Pivoted'!HE46</f>
        <v>0</v>
      </c>
      <c r="U11" s="709" t="n">
        <f t="shared" ref="U11:Z11" si="1">T11</f>
        <v>0</v>
      </c>
      <c r="V11" s="709" t="n">
        <f t="shared" si="1"/>
        <v>0</v>
      </c>
      <c r="W11" s="709" t="n">
        <f t="shared" si="1"/>
        <v>0</v>
      </c>
      <c r="X11" s="709" t="n">
        <f t="shared" si="1"/>
        <v>0</v>
      </c>
      <c r="Y11" s="709" t="n">
        <f t="shared" si="1"/>
        <v>0</v>
      </c>
      <c r="Z11" s="709" t="n">
        <f t="shared" si="1"/>
        <v>0</v>
      </c>
      <c r="AA11" s="709"/>
      <c r="AB11" s="709"/>
      <c r="AC11" s="724"/>
    </row>
    <row r="12">
      <c r="B12" s="714" t="s">
        <v>504</v>
      </c>
      <c r="C12" s="713"/>
      <c r="D12" s="688"/>
      <c r="E12" s="643"/>
      <c r="F12" s="643"/>
      <c r="G12" s="643"/>
      <c r="H12" s="643"/>
      <c r="I12" s="643"/>
      <c r="J12" s="670"/>
      <c r="K12" s="670"/>
      <c r="L12" s="670"/>
      <c r="M12" s="670"/>
      <c r="N12" s="670" t="n">
        <f>(1 + $E$23)^0.25-1</f>
        <v>0</v>
      </c>
      <c r="O12" s="670" t="n">
        <f>(1 + $E$23)^0.25-1</f>
        <v>0</v>
      </c>
      <c r="P12" s="670" t="n">
        <f>(1 + $F$23)^0.25-1</f>
        <v>1.9950659227973899E-2</v>
      </c>
      <c r="Q12" s="670" t="n">
        <f>(1 +$F$23)^0.25-1</f>
        <v>1.9950659227973899E-2</v>
      </c>
      <c r="R12" s="670" t="n">
        <f>(1 +$F$23)^0.25-1</f>
        <v>1.9950659227973899E-2</v>
      </c>
      <c r="S12" s="707" t="n">
        <f>(1 +$F$23)^0.25-1</f>
        <v>1.9950659227973899E-2</v>
      </c>
      <c r="T12" s="706" t="n">
        <f>(1 +$G$23)^0.25-1</f>
        <v>1.8147044702903736E-2</v>
      </c>
      <c r="U12" s="693" t="n">
        <f>(1 +$G$23)^0.25-1</f>
        <v>1.8147044702903736E-2</v>
      </c>
      <c r="V12" s="693" t="n">
        <f>(1 +$G$23)^0.25-1</f>
        <v>1.8147044702903736E-2</v>
      </c>
      <c r="W12" s="693" t="n">
        <f>(1 +$G$23)^0.25-1</f>
        <v>1.8147044702903736E-2</v>
      </c>
      <c r="X12" s="693" t="n">
        <f t="shared" ref="X12:AC12" si="2">(1 +$H$23)^0.25-1</f>
        <v>2.4113689084445111E-2</v>
      </c>
      <c r="Y12" s="693" t="n">
        <f t="shared" si="2"/>
        <v>2.4113689084445111E-2</v>
      </c>
      <c r="Z12" s="693" t="n">
        <f t="shared" si="2"/>
        <v>2.4113689084445111E-2</v>
      </c>
      <c r="AA12" s="693" t="n">
        <f t="shared" si="2"/>
        <v>2.4113689084445111E-2</v>
      </c>
      <c r="AB12" s="693" t="n">
        <f t="shared" si="2"/>
        <v>2.4113689084445111E-2</v>
      </c>
      <c r="AC12" s="694" t="n">
        <f t="shared" si="2"/>
        <v>2.4113689084445111E-2</v>
      </c>
    </row>
    <row r="13" ht="15.75" customHeight="1">
      <c r="B13" s="711"/>
      <c r="C13" s="675"/>
      <c r="D13" s="650"/>
      <c r="E13" s="650"/>
      <c r="F13" s="650"/>
      <c r="G13" s="650"/>
      <c r="H13" s="650"/>
      <c r="I13" s="650"/>
      <c r="J13" s="640"/>
      <c r="K13" s="640"/>
      <c r="L13" s="640"/>
      <c r="M13" s="640"/>
    </row>
    <row r="14">
      <c r="B14" s="711"/>
      <c r="C14" s="675"/>
      <c r="D14" s="650"/>
      <c r="E14" s="650"/>
      <c r="F14" s="650"/>
      <c r="G14" s="650"/>
      <c r="H14" s="650"/>
      <c r="I14" s="650"/>
      <c r="J14" s="640"/>
      <c r="K14" s="640"/>
      <c r="L14" s="640"/>
      <c r="M14" s="640"/>
    </row>
    <row r="15">
      <c r="B15" s="711"/>
      <c r="C15" s="675"/>
      <c r="D15" s="650"/>
      <c r="E15" s="650"/>
      <c r="F15" s="650"/>
      <c r="G15" s="650"/>
      <c r="H15" s="650"/>
      <c r="I15" s="650"/>
      <c r="J15" s="640"/>
      <c r="K15" s="640"/>
      <c r="L15" s="640"/>
      <c r="M15" s="640"/>
    </row>
    <row r="16" ht="14.85" customHeight="1">
      <c r="B16" s="584" t="s">
        <v>399</v>
      </c>
    </row>
    <row r="17">
      <c r="B17" s="718" t="s">
        <v>481</v>
      </c>
      <c r="C17" s="718" t="n">
        <v>2019</v>
      </c>
      <c r="D17" s="719" t="n">
        <v>2020</v>
      </c>
      <c r="E17" s="719" t="n">
        <v>2021</v>
      </c>
      <c r="F17" s="719" t="n">
        <v>2022</v>
      </c>
      <c r="G17" s="719" t="n">
        <v>2023</v>
      </c>
      <c r="H17" s="720" t="n">
        <v>2024</v>
      </c>
      <c r="I17" s="720" t="n">
        <v>2025</v>
      </c>
      <c r="J17" s="720" t="n">
        <v>2026</v>
      </c>
    </row>
    <row r="18" ht="21" customHeight="1">
      <c r="B18" s="725" t="s">
        <v>1897</v>
      </c>
      <c r="C18" s="699"/>
      <c r="D18" s="700"/>
      <c r="E18" s="701" t="n">
        <v>867.67600000000004</v>
      </c>
      <c r="F18" s="701" t="n">
        <v>937.072</v>
      </c>
      <c r="G18" s="701" t="n">
        <v>998.23700000000008</v>
      </c>
      <c r="H18" s="701" t="n">
        <v>1080.8440000000001</v>
      </c>
      <c r="I18" s="701" t="n">
        <v>1133.1199999999999</v>
      </c>
      <c r="J18" s="702" t="n">
        <v>1221.9949999999999</v>
      </c>
      <c r="K18" s="698"/>
      <c r="L18" s="698"/>
      <c r="M18" s="698"/>
      <c r="N18" s="698"/>
      <c r="O18" s="698"/>
      <c r="P18" s="420"/>
      <c r="Q18" s="420"/>
      <c r="R18" s="420"/>
      <c r="S18" s="420"/>
      <c r="T18" s="420"/>
      <c r="U18" s="420"/>
      <c r="V18" s="420"/>
      <c r="W18" s="420"/>
      <c r="X18" s="420"/>
      <c r="Y18" s="420"/>
      <c r="Z18" s="420"/>
      <c r="AA18" s="420"/>
      <c r="AB18" s="420"/>
      <c r="AC18" s="420"/>
    </row>
    <row r="19" ht="21" customHeight="1">
      <c r="B19" s="712"/>
      <c r="C19" s="697"/>
      <c r="D19" s="698"/>
      <c r="E19" s="298" t="n">
        <f>AVERAGE(L10:O10)</f>
        <v>865</v>
      </c>
      <c r="F19" s="298" t="n">
        <f>AVERAGE(P10:S10)</f>
        <v>910.02500000000009</v>
      </c>
      <c r="G19" s="298" t="n">
        <f>AVERAGE(T10:W10)</f>
        <v>967.5423759338363</v>
      </c>
      <c r="H19" s="298" t="n">
        <f>AVERAGE(X10:AA10)</f>
        <v>1055.1701282460017</v>
      </c>
      <c r="I19" s="298" t="n">
        <f>AVERAGE(AB10:AE10)</f>
        <v>1133.0360488312454</v>
      </c>
      <c r="J19" s="209"/>
      <c r="K19" s="698"/>
      <c r="L19" s="698"/>
      <c r="M19" s="698"/>
      <c r="N19" s="698"/>
      <c r="O19" s="698"/>
      <c r="P19" s="420"/>
      <c r="Q19" s="420"/>
      <c r="R19" s="420"/>
      <c r="S19" s="420"/>
      <c r="T19" s="420"/>
      <c r="U19" s="420"/>
      <c r="V19" s="420"/>
      <c r="W19" s="420"/>
      <c r="X19" s="420"/>
      <c r="Y19" s="420"/>
      <c r="Z19" s="420"/>
      <c r="AA19" s="420"/>
      <c r="AB19" s="420"/>
      <c r="AC19" s="420"/>
    </row>
    <row r="20" ht="21" customHeight="1">
      <c r="B20" s="649" t="s">
        <v>505</v>
      </c>
      <c r="C20" s="268"/>
      <c r="D20" s="268" t="n">
        <v>47</v>
      </c>
      <c r="E20" s="268" t="n">
        <v>48</v>
      </c>
      <c r="F20" s="63" t="n">
        <v>-50</v>
      </c>
      <c r="G20" s="63" t="n">
        <v>-45</v>
      </c>
      <c r="H20" s="63"/>
      <c r="I20" s="63"/>
      <c r="J20" s="716" t="n">
        <f>SUM(D20:G20)</f>
        <v>0</v>
      </c>
      <c r="M20" s="698"/>
      <c r="N20" s="698"/>
      <c r="O20" s="698"/>
      <c r="P20" s="420"/>
      <c r="Q20" s="420"/>
      <c r="R20" s="420"/>
      <c r="S20" s="420"/>
      <c r="T20" s="420"/>
      <c r="U20" s="420"/>
      <c r="V20" s="420"/>
      <c r="W20" s="420"/>
      <c r="X20" s="420"/>
      <c r="Y20" s="420"/>
      <c r="Z20" s="420"/>
      <c r="AA20" s="420"/>
      <c r="AB20" s="420"/>
      <c r="AC20" s="420"/>
    </row>
    <row r="21">
      <c r="B21" s="649" t="s">
        <v>1454</v>
      </c>
      <c r="C21" s="697"/>
      <c r="D21" s="697"/>
      <c r="E21" s="697" t="n">
        <f>E18-E20</f>
        <v>819.67600000000004</v>
      </c>
      <c r="F21" s="697" t="n">
        <f>F18+F20</f>
        <v>887.072</v>
      </c>
      <c r="G21" s="697" t="n">
        <f>G18+G20</f>
        <v>953.23700000000008</v>
      </c>
      <c r="H21" s="697" t="n">
        <f>H18+H20</f>
        <v>1080.8440000000001</v>
      </c>
      <c r="I21" s="697" t="n">
        <f>I18+I20</f>
        <v>1133.1199999999999</v>
      </c>
      <c r="J21" s="716"/>
      <c r="N21" s="717"/>
      <c r="O21" s="675"/>
      <c r="P21" s="420"/>
      <c r="Q21" s="420"/>
      <c r="R21" s="420"/>
      <c r="S21" s="420"/>
      <c r="T21" s="420"/>
      <c r="U21" s="420"/>
      <c r="V21" s="420"/>
      <c r="W21" s="420"/>
      <c r="X21" s="420"/>
      <c r="Y21" s="420"/>
      <c r="Z21" s="420"/>
      <c r="AA21" s="420"/>
      <c r="AB21" s="420"/>
      <c r="AC21" s="420"/>
    </row>
    <row r="22">
      <c r="B22" s="649" t="s">
        <v>507</v>
      </c>
      <c r="C22" s="302" t="n">
        <f>AVERAGE(D10:G10)</f>
        <v>776.84999999999991</v>
      </c>
      <c r="D22" s="302" t="n">
        <f>AVERAGE(H10:K10)</f>
        <v>805.42499999999995</v>
      </c>
      <c r="E22" s="697" t="n">
        <f>AVERAGE(L10:O10)</f>
        <v>865</v>
      </c>
      <c r="F22" s="63"/>
      <c r="G22" s="63"/>
      <c r="H22" s="63"/>
      <c r="I22" s="63"/>
      <c r="J22" s="716"/>
      <c r="K22" s="268" t="s">
        <v>506</v>
      </c>
      <c r="P22" s="420"/>
      <c r="Q22" s="420"/>
      <c r="R22" s="420"/>
      <c r="S22" s="420"/>
      <c r="T22" s="420"/>
      <c r="U22" s="420"/>
      <c r="V22" s="420"/>
      <c r="W22" s="420"/>
      <c r="X22" s="420"/>
      <c r="Y22" s="420"/>
      <c r="Z22" s="420"/>
      <c r="AA22" s="420"/>
      <c r="AB22" s="420"/>
      <c r="AC22" s="420"/>
    </row>
    <row r="23">
      <c r="B23" s="721" t="s">
        <v>994</v>
      </c>
      <c r="C23" s="334"/>
      <c r="D23" s="334"/>
      <c r="E23" s="334"/>
      <c r="F23" s="334" t="n">
        <f>F21/E21-1</f>
        <v>8.2222731908705438E-2</v>
      </c>
      <c r="G23" s="334" t="n">
        <f>G21/F21-1</f>
        <v>7.4588083041737363E-2</v>
      </c>
      <c r="H23" s="334" t="n">
        <v>0.1</v>
      </c>
      <c r="I23" s="334" t="n">
        <f t="shared" ref="I23:J23" si="3">I21/H21-1</f>
        <v>4.8365906643326628E-2</v>
      </c>
      <c r="J23" s="468" t="n">
        <f t="shared" si="3"/>
        <v>-1</v>
      </c>
      <c r="P23" s="268"/>
      <c r="Q23" s="268"/>
      <c r="R23" s="268"/>
      <c r="S23" s="268"/>
      <c r="T23" s="268"/>
      <c r="U23" s="268"/>
      <c r="V23" s="268"/>
      <c r="W23" s="268"/>
      <c r="X23" s="268"/>
      <c r="Y23" s="268"/>
      <c r="Z23" s="268"/>
      <c r="AA23" s="268"/>
      <c r="AB23" s="268"/>
      <c r="AC23" s="268"/>
    </row>
    <row r="24">
      <c r="P24" s="268"/>
      <c r="Q24" s="268"/>
      <c r="R24" s="268"/>
      <c r="S24" s="268"/>
      <c r="T24" s="268"/>
      <c r="U24" s="268"/>
      <c r="V24" s="268"/>
      <c r="W24" s="268"/>
      <c r="X24" s="268"/>
      <c r="Y24" s="268"/>
      <c r="Z24" s="268"/>
      <c r="AA24" s="268"/>
      <c r="AB24" s="268"/>
      <c r="AC24" s="268"/>
    </row>
    <row r="25">
      <c r="C25" s="715"/>
      <c r="D25" s="715"/>
      <c r="E25" s="715"/>
      <c r="F25" s="715"/>
      <c r="G25" s="715"/>
      <c r="H25" s="715"/>
      <c r="I25" s="715"/>
      <c r="J25" s="715"/>
      <c r="P25" s="268"/>
      <c r="Q25" s="268"/>
      <c r="R25" s="268"/>
      <c r="S25" s="268"/>
      <c r="T25" s="268"/>
      <c r="U25" s="268"/>
      <c r="V25" s="268"/>
      <c r="W25" s="268"/>
      <c r="X25" s="268"/>
      <c r="Y25" s="268"/>
      <c r="Z25" s="268"/>
      <c r="AA25" s="268"/>
      <c r="AB25" s="268"/>
      <c r="AC25" s="268"/>
    </row>
    <row r="26">
      <c r="K26" s="715"/>
      <c r="L26" s="715"/>
      <c r="M26" s="715"/>
      <c r="N26" s="715"/>
      <c r="P26" s="268"/>
      <c r="Q26" s="268"/>
      <c r="R26" s="268"/>
      <c r="S26" s="268"/>
      <c r="T26" s="268"/>
      <c r="U26" s="268"/>
      <c r="V26" s="268"/>
      <c r="W26" s="268"/>
      <c r="X26" s="268"/>
      <c r="Y26" s="268"/>
      <c r="Z26" s="268"/>
      <c r="AA26" s="268"/>
      <c r="AB26" s="268"/>
      <c r="AC26" s="268"/>
    </row>
    <row r="27">
      <c r="P27" s="268"/>
      <c r="Q27" s="268"/>
      <c r="R27" s="268"/>
      <c r="S27" s="268"/>
      <c r="T27" s="268"/>
      <c r="U27" s="268"/>
      <c r="V27" s="268"/>
      <c r="W27" s="268"/>
      <c r="X27" s="268"/>
      <c r="Y27" s="268"/>
      <c r="Z27" s="268"/>
      <c r="AA27" s="268"/>
      <c r="AB27" s="268"/>
      <c r="AC27" s="268"/>
    </row>
    <row r="28">
      <c r="S28" s="268"/>
      <c r="T28" s="268"/>
      <c r="U28" s="268"/>
      <c r="V28" s="268"/>
      <c r="W28" s="268"/>
      <c r="X28" s="268"/>
      <c r="Y28" s="268"/>
      <c r="Z28" s="268"/>
      <c r="AA28" s="268"/>
      <c r="AB28" s="268"/>
      <c r="AC28" s="268"/>
      <c r="AD28" s="268"/>
      <c r="AE28" s="268"/>
      <c r="AF28" s="268"/>
    </row>
    <row r="29">
      <c r="P29" s="268"/>
      <c r="Q29" s="268"/>
      <c r="R29" s="268"/>
      <c r="S29" s="268"/>
      <c r="T29" s="268"/>
      <c r="U29" s="268"/>
      <c r="V29" s="268"/>
      <c r="W29" s="268"/>
      <c r="X29" s="268"/>
      <c r="Y29" s="268"/>
      <c r="Z29" s="268"/>
      <c r="AA29" s="268"/>
      <c r="AB29" s="268"/>
      <c r="AC29" s="268"/>
    </row>
    <row r="30">
      <c r="F30" s="63"/>
      <c r="G30" s="63"/>
      <c r="P30" s="268"/>
      <c r="Q30" s="268"/>
      <c r="R30" s="268"/>
      <c r="S30" s="268"/>
      <c r="T30" s="268"/>
      <c r="U30" s="268"/>
      <c r="V30" s="268"/>
      <c r="W30" s="268"/>
      <c r="X30" s="268"/>
      <c r="Y30" s="268"/>
      <c r="Z30" s="268"/>
      <c r="AA30" s="268"/>
      <c r="AB30" s="268"/>
      <c r="AC30" s="268"/>
    </row>
    <row r="31">
      <c r="P31" s="268"/>
      <c r="Q31" s="268"/>
      <c r="R31" s="268"/>
      <c r="S31" s="268"/>
      <c r="T31" s="268"/>
      <c r="U31" s="268"/>
      <c r="V31" s="268"/>
      <c r="W31" s="268"/>
      <c r="X31" s="268"/>
      <c r="Y31" s="268"/>
      <c r="Z31" s="268"/>
      <c r="AA31" s="268"/>
      <c r="AB31" s="268"/>
      <c r="AC31" s="268"/>
    </row>
    <row r="32">
      <c r="P32" s="268"/>
      <c r="Q32" s="268"/>
      <c r="R32" s="268"/>
      <c r="S32" s="268"/>
      <c r="T32" s="268"/>
      <c r="U32" s="268"/>
      <c r="V32" s="268"/>
      <c r="W32" s="268"/>
      <c r="X32" s="268"/>
      <c r="Y32" s="268"/>
      <c r="Z32" s="268"/>
      <c r="AA32" s="268"/>
      <c r="AB32" s="268"/>
      <c r="AC32" s="268"/>
    </row>
  </sheetData>
  <mergeCells count="12">
    <mergeCell ref="B1:AC1"/>
    <mergeCell ref="B7:C9"/>
    <mergeCell ref="E8:H8"/>
    <mergeCell ref="I8:L8"/>
    <mergeCell ref="U8:X8"/>
    <mergeCell ref="Y8:AB8"/>
    <mergeCell ref="M8:P8"/>
    <mergeCell ref="B2:R4"/>
    <mergeCell ref="T2:AC4"/>
    <mergeCell ref="D7:T7"/>
    <mergeCell ref="U7:AC7"/>
    <mergeCell ref="Q8:T8"/>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2" sqref="E22"/>
    </sheetView>
  </sheetViews>
  <sheetFormatPr defaultRowHeight="15.0" baseColWidth="10"/>
  <sheetData>
    <row r="1">
      <c r="B1" s="233" t="s">
        <v>1459</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c r="B2" s="234" t="s">
        <v>1462</v>
      </c>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row>
    <row r="3">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row>
    <row r="4">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row>
    <row r="5">
      <c r="B5" s="416"/>
      <c r="C5" s="268"/>
      <c r="D5" s="268"/>
      <c r="E5" s="268"/>
      <c r="F5" s="268"/>
      <c r="G5" s="268"/>
      <c r="H5" s="268"/>
      <c r="I5" s="268"/>
      <c r="J5" s="268"/>
      <c r="K5" s="268"/>
      <c r="L5" s="268"/>
      <c r="M5" s="268"/>
      <c r="N5" s="268"/>
      <c r="O5" s="268"/>
      <c r="P5" s="268"/>
      <c r="Q5" s="268"/>
      <c r="R5" s="268"/>
      <c r="S5" s="268"/>
      <c r="T5" s="268"/>
      <c r="U5" s="268"/>
      <c r="V5" s="268"/>
      <c r="W5" s="268"/>
      <c r="X5" s="268"/>
      <c r="Y5" s="268"/>
    </row>
    <row r="6">
      <c r="B6" s="237" t="s">
        <v>1782</v>
      </c>
      <c r="C6" s="490"/>
      <c r="D6" s="486" t="s">
        <v>325</v>
      </c>
      <c r="E6" s="487"/>
      <c r="F6" s="487"/>
      <c r="G6" s="487"/>
      <c r="H6" s="487"/>
      <c r="I6" s="487"/>
      <c r="J6" s="487"/>
      <c r="K6" s="487"/>
      <c r="L6" s="487"/>
      <c r="M6" s="487"/>
      <c r="N6" s="487"/>
      <c r="O6" s="487"/>
      <c r="P6" s="487"/>
      <c r="Q6" s="490"/>
      <c r="R6" s="490"/>
      <c r="S6" s="238"/>
      <c r="T6" s="488" t="s">
        <v>326</v>
      </c>
      <c r="U6" s="488"/>
      <c r="V6" s="488"/>
      <c r="W6" s="488"/>
      <c r="X6" s="488"/>
      <c r="Y6" s="488"/>
      <c r="Z6" s="488"/>
      <c r="AA6" s="488"/>
      <c r="AB6" s="488"/>
      <c r="AC6" s="488"/>
      <c r="AD6" s="488"/>
      <c r="AE6" s="488"/>
      <c r="AF6" s="489"/>
    </row>
    <row r="7">
      <c r="B7" s="239"/>
      <c r="C7" s="240"/>
      <c r="D7" s="204" t="n">
        <v>2018</v>
      </c>
      <c r="E7" s="204" t="n">
        <v>2019</v>
      </c>
      <c r="F7" s="217"/>
      <c r="G7" s="217"/>
      <c r="H7" s="200"/>
      <c r="I7" s="204" t="n">
        <v>2020</v>
      </c>
      <c r="J7" s="217"/>
      <c r="K7" s="217"/>
      <c r="L7" s="217"/>
      <c r="M7" s="204" t="n">
        <v>2021</v>
      </c>
      <c r="N7" s="217"/>
      <c r="O7" s="217"/>
      <c r="P7" s="217"/>
      <c r="Q7" s="245" t="n">
        <v>2022</v>
      </c>
      <c r="R7" s="726"/>
      <c r="S7" s="276"/>
      <c r="T7" s="727"/>
      <c r="U7" s="244" t="n">
        <v>2023</v>
      </c>
      <c r="V7" s="242"/>
      <c r="W7" s="242"/>
      <c r="X7" s="242"/>
      <c r="Y7" s="244" t="n">
        <v>2024</v>
      </c>
      <c r="Z7" s="242"/>
      <c r="AA7" s="242"/>
      <c r="AB7" s="243"/>
      <c r="AC7" s="244" t="n">
        <v>2025</v>
      </c>
      <c r="AD7" s="242"/>
      <c r="AE7" s="242"/>
      <c r="AF7" s="243"/>
    </row>
    <row r="8">
      <c r="B8" s="319"/>
      <c r="C8" s="320"/>
      <c r="D8" s="204" t="s">
        <v>327</v>
      </c>
      <c r="E8" s="204" t="s">
        <v>328</v>
      </c>
      <c r="F8" s="217" t="s">
        <v>329</v>
      </c>
      <c r="G8" s="217" t="s">
        <v>238</v>
      </c>
      <c r="H8" s="200" t="s">
        <v>327</v>
      </c>
      <c r="I8" s="217" t="s">
        <v>328</v>
      </c>
      <c r="J8" s="217" t="s">
        <v>329</v>
      </c>
      <c r="K8" s="217" t="s">
        <v>238</v>
      </c>
      <c r="L8" s="217" t="s">
        <v>327</v>
      </c>
      <c r="M8" s="204" t="s">
        <v>328</v>
      </c>
      <c r="N8" s="217" t="s">
        <v>329</v>
      </c>
      <c r="O8" s="217" t="s">
        <v>238</v>
      </c>
      <c r="P8" s="217" t="s">
        <v>327</v>
      </c>
      <c r="Q8" s="729" t="s">
        <v>328</v>
      </c>
      <c r="R8" s="730" t="s">
        <v>329</v>
      </c>
      <c r="S8" s="728" t="s">
        <v>238</v>
      </c>
      <c r="T8" s="305" t="s">
        <v>327</v>
      </c>
      <c r="U8" s="303" t="s">
        <v>328</v>
      </c>
      <c r="V8" s="304" t="s">
        <v>329</v>
      </c>
      <c r="W8" s="304" t="s">
        <v>238</v>
      </c>
      <c r="X8" s="304" t="s">
        <v>327</v>
      </c>
      <c r="Y8" s="303" t="s">
        <v>328</v>
      </c>
      <c r="Z8" s="299" t="s">
        <v>329</v>
      </c>
      <c r="AA8" s="304" t="s">
        <v>238</v>
      </c>
      <c r="AB8" s="305" t="s">
        <v>327</v>
      </c>
      <c r="AC8" s="306" t="s">
        <v>328</v>
      </c>
      <c r="AD8" s="304" t="s">
        <v>329</v>
      </c>
      <c r="AE8" s="304" t="s">
        <v>238</v>
      </c>
      <c r="AF8" s="305" t="s">
        <v>327</v>
      </c>
    </row>
    <row r="9">
      <c r="B9" s="206" t="s">
        <v>1461</v>
      </c>
      <c r="C9" s="737"/>
      <c r="D9" s="738"/>
      <c r="E9" s="737"/>
      <c r="F9" s="737"/>
      <c r="G9" s="737"/>
      <c r="H9" s="737"/>
      <c r="I9" s="737"/>
      <c r="J9" s="739"/>
      <c r="K9" s="739"/>
      <c r="L9" s="739"/>
      <c r="M9" s="739"/>
      <c r="N9" s="739"/>
      <c r="O9" s="739"/>
      <c r="P9" s="739"/>
      <c r="Q9" s="739"/>
      <c r="R9" s="735" t="n">
        <v>0</v>
      </c>
      <c r="S9" s="736" t="n">
        <v>0</v>
      </c>
      <c r="T9" s="740" t="n">
        <v>0</v>
      </c>
      <c r="U9" s="740" t="n">
        <v>0</v>
      </c>
      <c r="V9" s="740" t="n">
        <v>0</v>
      </c>
      <c r="W9" s="740" t="n">
        <v>-7.7999999999999999E-4</v>
      </c>
      <c r="X9" s="740" t="n">
        <v>-7.7999999999999999E-4</v>
      </c>
      <c r="Y9" s="740" t="n">
        <v>-9.5E-4</v>
      </c>
      <c r="Z9" s="740" t="n">
        <v>-9.5E-4</v>
      </c>
      <c r="AA9" s="740" t="n">
        <v>-9.5E-4</v>
      </c>
      <c r="AB9" s="740" t="n">
        <v>-9.5E-4</v>
      </c>
      <c r="AC9" s="740" t="n">
        <v>-9.3999999999999997E-4</v>
      </c>
      <c r="AD9" s="740" t="n">
        <v>-9.3999999999999997E-4</v>
      </c>
      <c r="AE9" s="740" t="n">
        <v>-9.3999999999999997E-4</v>
      </c>
      <c r="AF9" s="741" t="n">
        <v>-9.3999999999999997E-4</v>
      </c>
    </row>
    <row r="10">
      <c r="B10" s="63" t="s">
        <v>1460</v>
      </c>
      <c r="C10" s="289"/>
      <c r="D10" s="672"/>
      <c r="E10" s="289"/>
      <c r="F10" s="289"/>
      <c r="G10" s="289"/>
      <c r="H10" s="289"/>
      <c r="I10" s="289"/>
      <c r="J10" s="732"/>
      <c r="K10" s="732"/>
      <c r="L10" s="732"/>
      <c r="M10" s="732"/>
      <c r="N10" s="732"/>
      <c r="O10" s="732"/>
      <c r="P10" s="732"/>
      <c r="Q10" s="732"/>
      <c r="R10" s="123"/>
      <c r="S10" s="116"/>
      <c r="T10" s="123"/>
      <c r="U10" s="123" t="n">
        <v>26095</v>
      </c>
      <c r="V10" s="123" t="n">
        <v>26404</v>
      </c>
      <c r="W10" s="123" t="n">
        <v>26686</v>
      </c>
      <c r="X10" s="123" t="n">
        <v>26931</v>
      </c>
      <c r="Y10" s="123" t="n">
        <v>27174</v>
      </c>
      <c r="Z10" s="123" t="n">
        <v>27411</v>
      </c>
      <c r="AA10" s="123" t="n">
        <v>27647</v>
      </c>
      <c r="AB10" s="123" t="n">
        <v>27893</v>
      </c>
      <c r="AC10" s="123" t="n">
        <v>28143</v>
      </c>
      <c r="AD10" s="123" t="n">
        <v>28400</v>
      </c>
      <c r="AE10" s="123" t="n">
        <v>28649</v>
      </c>
      <c r="AF10" s="116" t="n">
        <v>28910</v>
      </c>
    </row>
    <row r="11">
      <c r="B11" s="63" t="s">
        <v>359</v>
      </c>
      <c r="C11" s="606"/>
      <c r="D11" s="605"/>
      <c r="E11" s="606"/>
      <c r="F11" s="606"/>
      <c r="G11" s="606"/>
      <c r="H11" s="606"/>
      <c r="I11" s="606"/>
      <c r="J11" s="733"/>
      <c r="K11" s="733"/>
      <c r="L11" s="733"/>
      <c r="M11" s="733"/>
      <c r="N11" s="733"/>
      <c r="O11" s="733"/>
      <c r="P11" s="733"/>
      <c r="Q11" s="733"/>
      <c r="R11" s="731" t="n">
        <f>R9*R10</f>
        <v>0</v>
      </c>
      <c r="S11" s="734" t="n">
        <f t="shared" ref="S11:T11" si="0">S9*S10</f>
        <v>0</v>
      </c>
      <c r="T11" s="731" t="n">
        <f t="shared" si="0"/>
        <v>0</v>
      </c>
      <c r="U11" s="742" t="n">
        <f>U9*U10*-1</f>
        <v>0</v>
      </c>
      <c r="V11" s="742" t="n">
        <f t="shared" ref="V11:AF11" si="1">V9*V10*-1</f>
        <v>0</v>
      </c>
      <c r="W11" s="742" t="n">
        <f t="shared" si="1"/>
        <v>20.815079999999998</v>
      </c>
      <c r="X11" s="742" t="n">
        <f t="shared" si="1"/>
        <v>21.006180000000001</v>
      </c>
      <c r="Y11" s="742" t="n">
        <f t="shared" si="1"/>
        <v>25.815300000000001</v>
      </c>
      <c r="Z11" s="742" t="n">
        <f t="shared" si="1"/>
        <v>26.04045</v>
      </c>
      <c r="AA11" s="742" t="n">
        <f t="shared" si="1"/>
        <v>26.26465</v>
      </c>
      <c r="AB11" s="742" t="n">
        <f t="shared" si="1"/>
        <v>26.498349999999999</v>
      </c>
      <c r="AC11" s="742" t="n">
        <f t="shared" si="1"/>
        <v>26.454419999999999</v>
      </c>
      <c r="AD11" s="742" t="n">
        <f t="shared" si="1"/>
        <v>26.695999999999998</v>
      </c>
      <c r="AE11" s="742" t="n">
        <f t="shared" si="1"/>
        <v>26.930059999999997</v>
      </c>
      <c r="AF11" s="742" t="n">
        <f t="shared" si="1"/>
        <v>27.1754</v>
      </c>
    </row>
    <row r="12">
      <c r="B12" s="268"/>
      <c r="C12" s="268"/>
      <c r="D12" s="268"/>
      <c r="E12" s="268"/>
      <c r="F12" s="268"/>
      <c r="G12" s="268"/>
      <c r="H12" s="268"/>
      <c r="I12" s="268"/>
      <c r="J12" s="268"/>
      <c r="K12" s="268"/>
      <c r="L12" s="268"/>
      <c r="M12" s="268"/>
      <c r="N12" s="268"/>
      <c r="O12" s="268"/>
      <c r="P12" s="268"/>
      <c r="Q12" s="268"/>
      <c r="R12" s="268"/>
      <c r="S12" s="268"/>
      <c r="T12" s="268"/>
      <c r="U12" s="268"/>
      <c r="V12" s="268"/>
      <c r="W12" s="268"/>
      <c r="X12" s="268"/>
      <c r="Y12" s="268"/>
      <c r="Z12" s="63"/>
      <c r="AA12" s="63"/>
      <c r="AB12" s="63"/>
      <c r="AC12" s="63"/>
    </row>
    <row r="13">
      <c r="B13" s="11" t="s">
        <v>1917</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c r="B14" s="237" t="s">
        <v>1781</v>
      </c>
      <c r="C14" s="490"/>
      <c r="D14" s="486" t="s">
        <v>325</v>
      </c>
      <c r="E14" s="487"/>
      <c r="F14" s="487"/>
      <c r="G14" s="487"/>
      <c r="H14" s="487"/>
      <c r="I14" s="487"/>
      <c r="J14" s="487"/>
      <c r="K14" s="487"/>
      <c r="L14" s="487"/>
      <c r="M14" s="487"/>
      <c r="N14" s="487"/>
      <c r="O14" s="487"/>
      <c r="P14" s="487"/>
      <c r="Q14" s="490"/>
      <c r="R14" s="490"/>
      <c r="S14" s="238"/>
      <c r="T14" s="488" t="s">
        <v>326</v>
      </c>
      <c r="U14" s="488"/>
      <c r="V14" s="488"/>
      <c r="W14" s="488"/>
      <c r="X14" s="488"/>
      <c r="Y14" s="488"/>
      <c r="Z14" s="488"/>
      <c r="AA14" s="488"/>
      <c r="AB14" s="488"/>
      <c r="AC14" s="488"/>
      <c r="AD14" s="488"/>
      <c r="AE14" s="488"/>
      <c r="AF14" s="489"/>
    </row>
    <row r="15">
      <c r="B15" s="239"/>
      <c r="C15" s="240"/>
      <c r="D15" s="204" t="n">
        <v>2018</v>
      </c>
      <c r="E15" s="204" t="n">
        <v>2019</v>
      </c>
      <c r="F15" s="217"/>
      <c r="G15" s="217"/>
      <c r="H15" s="200"/>
      <c r="I15" s="204" t="n">
        <v>2020</v>
      </c>
      <c r="J15" s="217"/>
      <c r="K15" s="217"/>
      <c r="L15" s="217"/>
      <c r="M15" s="204" t="n">
        <v>2021</v>
      </c>
      <c r="N15" s="217"/>
      <c r="O15" s="217"/>
      <c r="P15" s="217"/>
      <c r="Q15" s="245" t="n">
        <v>2022</v>
      </c>
      <c r="R15" s="726"/>
      <c r="S15" s="276"/>
      <c r="T15" s="727"/>
      <c r="U15" s="244" t="n">
        <v>2023</v>
      </c>
      <c r="V15" s="242"/>
      <c r="W15" s="242"/>
      <c r="X15" s="242"/>
      <c r="Y15" s="244" t="n">
        <v>2024</v>
      </c>
      <c r="Z15" s="242"/>
      <c r="AA15" s="242"/>
      <c r="AB15" s="243"/>
      <c r="AC15" s="244" t="n">
        <v>2025</v>
      </c>
      <c r="AD15" s="242"/>
      <c r="AE15" s="242"/>
      <c r="AF15" s="243"/>
    </row>
    <row r="16">
      <c r="B16" s="319"/>
      <c r="C16" s="320"/>
      <c r="D16" s="204" t="s">
        <v>327</v>
      </c>
      <c r="E16" s="204" t="s">
        <v>328</v>
      </c>
      <c r="F16" s="217" t="s">
        <v>329</v>
      </c>
      <c r="G16" s="217" t="s">
        <v>238</v>
      </c>
      <c r="H16" s="200" t="s">
        <v>327</v>
      </c>
      <c r="I16" s="217" t="s">
        <v>328</v>
      </c>
      <c r="J16" s="217" t="s">
        <v>329</v>
      </c>
      <c r="K16" s="217" t="s">
        <v>238</v>
      </c>
      <c r="L16" s="217" t="s">
        <v>327</v>
      </c>
      <c r="M16" s="204" t="s">
        <v>328</v>
      </c>
      <c r="N16" s="217" t="s">
        <v>329</v>
      </c>
      <c r="O16" s="217" t="s">
        <v>238</v>
      </c>
      <c r="P16" s="217" t="s">
        <v>327</v>
      </c>
      <c r="Q16" s="729" t="s">
        <v>328</v>
      </c>
      <c r="R16" s="730" t="s">
        <v>329</v>
      </c>
      <c r="S16" s="728" t="s">
        <v>238</v>
      </c>
      <c r="T16" s="305" t="s">
        <v>327</v>
      </c>
      <c r="U16" s="303" t="s">
        <v>328</v>
      </c>
      <c r="V16" s="304" t="s">
        <v>329</v>
      </c>
      <c r="W16" s="304" t="s">
        <v>238</v>
      </c>
      <c r="X16" s="304" t="s">
        <v>327</v>
      </c>
      <c r="Y16" s="303" t="s">
        <v>328</v>
      </c>
      <c r="Z16" s="299" t="s">
        <v>329</v>
      </c>
      <c r="AA16" s="304" t="s">
        <v>238</v>
      </c>
      <c r="AB16" s="305" t="s">
        <v>327</v>
      </c>
      <c r="AC16" s="306" t="s">
        <v>328</v>
      </c>
      <c r="AD16" s="304" t="s">
        <v>329</v>
      </c>
      <c r="AE16" s="304" t="s">
        <v>238</v>
      </c>
      <c r="AF16" s="305" t="s">
        <v>327</v>
      </c>
    </row>
    <row r="17">
      <c r="B17" s="206" t="s">
        <v>1461</v>
      </c>
      <c r="C17" s="737"/>
      <c r="D17" s="738"/>
      <c r="E17" s="737"/>
      <c r="F17" s="737"/>
      <c r="G17" s="737"/>
      <c r="H17" s="737"/>
      <c r="I17" s="737"/>
      <c r="J17" s="739"/>
      <c r="K17" s="739"/>
      <c r="L17" s="739"/>
      <c r="M17" s="739"/>
      <c r="N17" s="739"/>
      <c r="O17" s="739"/>
      <c r="P17" s="739"/>
      <c r="Q17" s="739"/>
      <c r="R17" s="735" t="n">
        <v>0</v>
      </c>
      <c r="S17" s="736" t="n">
        <v>0</v>
      </c>
      <c r="T17" s="740" t="n">
        <v>0</v>
      </c>
      <c r="U17" s="740" t="n">
        <v>-7.7999999999999999E-4</v>
      </c>
      <c r="V17" s="740" t="n">
        <v>-7.7999999999999999E-4</v>
      </c>
      <c r="W17" s="740" t="n">
        <v>-7.7999999999999999E-4</v>
      </c>
      <c r="X17" s="740" t="n">
        <v>-7.7999999999999999E-4</v>
      </c>
      <c r="Y17" s="740" t="n">
        <v>-9.5E-4</v>
      </c>
      <c r="Z17" s="740" t="n">
        <v>-9.5E-4</v>
      </c>
      <c r="AA17" s="740" t="n">
        <v>-9.5E-4</v>
      </c>
      <c r="AB17" s="740" t="n">
        <v>-9.5E-4</v>
      </c>
      <c r="AC17" s="740" t="n">
        <v>-9.3999999999999997E-4</v>
      </c>
      <c r="AD17" s="740" t="n">
        <v>-9.3999999999999997E-4</v>
      </c>
      <c r="AE17" s="740" t="n">
        <v>-9.3999999999999997E-4</v>
      </c>
      <c r="AF17" s="741" t="n">
        <v>-9.3999999999999997E-4</v>
      </c>
    </row>
    <row r="18">
      <c r="B18" s="63" t="s">
        <v>1460</v>
      </c>
      <c r="C18" s="289"/>
      <c r="D18" s="672"/>
      <c r="E18" s="289"/>
      <c r="F18" s="289"/>
      <c r="G18" s="289"/>
      <c r="H18" s="289"/>
      <c r="I18" s="289"/>
      <c r="J18" s="732"/>
      <c r="K18" s="732"/>
      <c r="L18" s="732"/>
      <c r="M18" s="732"/>
      <c r="N18" s="732"/>
      <c r="O18" s="732"/>
      <c r="P18" s="732"/>
      <c r="Q18" s="732"/>
      <c r="R18" s="123"/>
      <c r="S18" s="116"/>
      <c r="T18" s="123"/>
      <c r="U18" s="123" t="n">
        <v>26095</v>
      </c>
      <c r="V18" s="123" t="n">
        <v>26404</v>
      </c>
      <c r="W18" s="123" t="n">
        <v>26686</v>
      </c>
      <c r="X18" s="123" t="n">
        <v>26931</v>
      </c>
      <c r="Y18" s="123" t="n">
        <v>27174</v>
      </c>
      <c r="Z18" s="123" t="n">
        <v>27411</v>
      </c>
      <c r="AA18" s="123" t="n">
        <v>27647</v>
      </c>
      <c r="AB18" s="123" t="n">
        <v>27893</v>
      </c>
      <c r="AC18" s="123" t="n">
        <v>28143</v>
      </c>
      <c r="AD18" s="123" t="n">
        <v>28400</v>
      </c>
      <c r="AE18" s="123" t="n">
        <v>28649</v>
      </c>
      <c r="AF18" s="116" t="n">
        <v>28910</v>
      </c>
    </row>
    <row r="19">
      <c r="B19" s="63" t="s">
        <v>359</v>
      </c>
      <c r="C19" s="606"/>
      <c r="D19" s="605"/>
      <c r="E19" s="606"/>
      <c r="F19" s="606"/>
      <c r="G19" s="606"/>
      <c r="H19" s="606"/>
      <c r="I19" s="606"/>
      <c r="J19" s="733"/>
      <c r="K19" s="733"/>
      <c r="L19" s="733"/>
      <c r="M19" s="733"/>
      <c r="N19" s="733"/>
      <c r="O19" s="733"/>
      <c r="P19" s="733"/>
      <c r="Q19" s="733"/>
      <c r="R19" s="731" t="n">
        <f>R17*R18</f>
        <v>0</v>
      </c>
      <c r="S19" s="734" t="n">
        <f t="shared" ref="S19:T19" si="2">S17*S18</f>
        <v>0</v>
      </c>
      <c r="T19" s="731" t="n">
        <f t="shared" si="2"/>
        <v>0</v>
      </c>
      <c r="U19" s="742" t="n">
        <f>U17*U18*-1</f>
        <v>20.354099999999999</v>
      </c>
      <c r="V19" s="742" t="n">
        <f t="shared" ref="V19:AF19" si="3">V17*V18*-1</f>
        <v>20.595119999999998</v>
      </c>
      <c r="W19" s="742" t="n">
        <f t="shared" si="3"/>
        <v>20.815079999999998</v>
      </c>
      <c r="X19" s="742" t="n">
        <f t="shared" si="3"/>
        <v>21.006180000000001</v>
      </c>
      <c r="Y19" s="742" t="n">
        <f t="shared" si="3"/>
        <v>25.815300000000001</v>
      </c>
      <c r="Z19" s="742" t="n">
        <f t="shared" si="3"/>
        <v>26.04045</v>
      </c>
      <c r="AA19" s="742" t="n">
        <f t="shared" si="3"/>
        <v>26.26465</v>
      </c>
      <c r="AB19" s="742" t="n">
        <f t="shared" si="3"/>
        <v>26.498349999999999</v>
      </c>
      <c r="AC19" s="742" t="n">
        <f t="shared" si="3"/>
        <v>26.454419999999999</v>
      </c>
      <c r="AD19" s="742" t="n">
        <f t="shared" si="3"/>
        <v>26.695999999999998</v>
      </c>
      <c r="AE19" s="742" t="n">
        <f t="shared" si="3"/>
        <v>26.930059999999997</v>
      </c>
      <c r="AF19" s="742" t="n">
        <f t="shared" si="3"/>
        <v>27.1754</v>
      </c>
    </row>
  </sheetData>
  <mergeCells count="23">
    <mergeCell ref="B13:AF13"/>
    <mergeCell ref="B14:C16"/>
    <mergeCell ref="D14:R14"/>
    <mergeCell ref="T14:AF14"/>
    <mergeCell ref="E15:H15"/>
    <mergeCell ref="I15:L15"/>
    <mergeCell ref="M15:P15"/>
    <mergeCell ref="Q15:R15"/>
    <mergeCell ref="U15:X15"/>
    <mergeCell ref="Y15:AB15"/>
    <mergeCell ref="AC15:AF15"/>
    <mergeCell ref="Y7:AB7"/>
    <mergeCell ref="AC7:AF7"/>
    <mergeCell ref="B1:AC1"/>
    <mergeCell ref="B2:AC4"/>
    <mergeCell ref="B6:C8"/>
    <mergeCell ref="D6:R6"/>
    <mergeCell ref="E7:H7"/>
    <mergeCell ref="I7:L7"/>
    <mergeCell ref="M7:P7"/>
    <mergeCell ref="Q7:R7"/>
    <mergeCell ref="U7:X7"/>
    <mergeCell ref="T6:AF6"/>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selection activeCell="P60" sqref="P60"/>
    </sheetView>
  </sheetViews>
  <sheetFormatPr defaultRowHeight="15.0" baseColWidth="10"/>
  <cols>
    <col min="2" max="2" width="49.140625" hidden="0" customWidth="1"/>
    <col min="6" max="6" width="12.140625" hidden="0" customWidth="1"/>
    <col min="7" max="7" width="10.42578125" hidden="0" customWidth="1"/>
    <col min="9" max="9" width="12" hidden="0" customWidth="1"/>
  </cols>
  <sheetData>
    <row r="1" ht="18" customHeight="1">
      <c r="B1" s="743" t="s">
        <v>514</v>
      </c>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row>
    <row r="2" ht="34.5" customHeight="1">
      <c r="B2" s="234" t="s">
        <v>919</v>
      </c>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row>
    <row r="3" ht="3" customHeight="1">
      <c r="B3" s="265"/>
      <c r="C3" s="265"/>
      <c r="D3" s="265"/>
      <c r="E3" s="265"/>
      <c r="F3" s="265"/>
      <c r="G3" s="265"/>
      <c r="H3" s="265"/>
      <c r="I3" s="265"/>
      <c r="J3" s="265"/>
      <c r="K3" s="265"/>
      <c r="L3" s="265"/>
      <c r="M3" s="265"/>
      <c r="N3" s="265"/>
      <c r="O3" s="265"/>
      <c r="P3" s="265"/>
      <c r="Q3" s="265"/>
      <c r="R3" s="265"/>
      <c r="S3" s="265"/>
      <c r="T3" s="265"/>
      <c r="U3" s="265"/>
      <c r="V3" s="265"/>
      <c r="W3" s="265"/>
      <c r="X3" s="265"/>
      <c r="Y3" s="265"/>
      <c r="Z3" s="265"/>
      <c r="AA3" s="265"/>
      <c r="AB3" s="265"/>
      <c r="AC3" s="265"/>
    </row>
    <row r="4" ht="10.35" customHeight="1">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row>
    <row r="5" ht="14.25" customHeight="1">
      <c r="B5" s="265"/>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5"/>
      <c r="AC5" s="265"/>
    </row>
    <row r="6" ht="14.25" customHeight="1">
      <c r="B6" s="265"/>
      <c r="C6" s="265"/>
      <c r="D6" s="265"/>
      <c r="E6" s="265"/>
      <c r="F6" s="265"/>
      <c r="G6" s="265"/>
      <c r="H6" s="265"/>
      <c r="I6" s="265"/>
      <c r="J6" s="265"/>
      <c r="K6" s="265"/>
      <c r="L6" s="265"/>
      <c r="M6" s="265"/>
      <c r="N6" s="265"/>
      <c r="O6" s="265"/>
      <c r="P6" s="265"/>
      <c r="Q6" s="265"/>
      <c r="R6" s="265"/>
      <c r="S6" s="265"/>
      <c r="T6" s="265"/>
      <c r="U6" s="265"/>
      <c r="V6" s="265"/>
      <c r="W6" s="265"/>
      <c r="X6" s="265"/>
      <c r="Y6" s="265"/>
      <c r="Z6" s="265"/>
      <c r="AA6" s="265"/>
      <c r="AB6" s="265"/>
      <c r="AC6" s="265"/>
    </row>
    <row r="7">
      <c r="B7" s="788" t="s">
        <v>380</v>
      </c>
      <c r="C7" s="297"/>
      <c r="D7" s="297"/>
      <c r="E7" s="297"/>
      <c r="F7" s="297"/>
      <c r="G7" s="297"/>
      <c r="H7" s="298"/>
      <c r="I7" s="298"/>
      <c r="J7" s="298"/>
      <c r="K7" s="298"/>
      <c r="L7" s="298"/>
      <c r="M7" s="298"/>
      <c r="N7" s="298"/>
      <c r="O7" s="298"/>
      <c r="P7" s="298"/>
      <c r="Q7" s="298"/>
      <c r="R7" s="298"/>
      <c r="S7" s="298"/>
      <c r="T7" s="298"/>
      <c r="U7" s="298"/>
    </row>
    <row r="8" ht="14.85" customHeight="1">
      <c r="B8" s="237" t="s">
        <v>351</v>
      </c>
      <c r="C8" s="238"/>
      <c r="D8" s="247" t="s">
        <v>325</v>
      </c>
      <c r="E8" s="248"/>
      <c r="F8" s="248"/>
      <c r="G8" s="248"/>
      <c r="H8" s="248"/>
      <c r="I8" s="248"/>
      <c r="J8" s="248"/>
      <c r="K8" s="248"/>
      <c r="L8" s="248"/>
      <c r="M8" s="248"/>
      <c r="N8" s="248"/>
      <c r="O8" s="248"/>
      <c r="P8" s="248"/>
      <c r="Q8" s="332"/>
      <c r="R8" s="332"/>
      <c r="S8" s="332"/>
      <c r="T8" s="238"/>
      <c r="U8" s="251" t="s">
        <v>326</v>
      </c>
      <c r="V8" s="251"/>
      <c r="W8" s="251"/>
      <c r="X8" s="251"/>
      <c r="Y8" s="251"/>
      <c r="Z8" s="251"/>
      <c r="AA8" s="251"/>
      <c r="AB8" s="251"/>
      <c r="AC8" s="252"/>
    </row>
    <row r="9" ht="14.85" customHeight="1">
      <c r="B9" s="239"/>
      <c r="C9" s="491"/>
      <c r="D9" s="198" t="n">
        <v>2018</v>
      </c>
      <c r="E9" s="198" t="n">
        <v>2019</v>
      </c>
      <c r="F9" s="235"/>
      <c r="G9" s="235"/>
      <c r="H9" s="236"/>
      <c r="I9" s="198" t="n">
        <v>2020</v>
      </c>
      <c r="J9" s="235"/>
      <c r="K9" s="235"/>
      <c r="L9" s="235"/>
      <c r="M9" s="198" t="n">
        <v>2021</v>
      </c>
      <c r="N9" s="235"/>
      <c r="O9" s="235"/>
      <c r="P9" s="235"/>
      <c r="Q9" s="198" t="n">
        <v>2022</v>
      </c>
      <c r="R9" s="199"/>
      <c r="S9" s="199"/>
      <c r="T9" s="236"/>
      <c r="U9" s="241" t="n">
        <v>2023</v>
      </c>
      <c r="V9" s="242"/>
      <c r="W9" s="242"/>
      <c r="X9" s="242"/>
      <c r="Y9" s="244" t="n">
        <v>2024</v>
      </c>
      <c r="Z9" s="242"/>
      <c r="AA9" s="242"/>
      <c r="AB9" s="243"/>
      <c r="AC9" s="290" t="n">
        <v>2025</v>
      </c>
    </row>
    <row r="10">
      <c r="B10" s="239"/>
      <c r="C10" s="491"/>
      <c r="D10" s="204" t="s">
        <v>327</v>
      </c>
      <c r="E10" s="204" t="s">
        <v>328</v>
      </c>
      <c r="F10" s="217" t="s">
        <v>329</v>
      </c>
      <c r="G10" s="217" t="s">
        <v>238</v>
      </c>
      <c r="H10" s="200" t="s">
        <v>327</v>
      </c>
      <c r="I10" s="217" t="s">
        <v>328</v>
      </c>
      <c r="J10" s="217" t="s">
        <v>329</v>
      </c>
      <c r="K10" s="217" t="s">
        <v>238</v>
      </c>
      <c r="L10" s="217" t="s">
        <v>327</v>
      </c>
      <c r="M10" s="204" t="s">
        <v>328</v>
      </c>
      <c r="N10" s="217" t="s">
        <v>329</v>
      </c>
      <c r="O10" s="217" t="s">
        <v>238</v>
      </c>
      <c r="P10" s="217" t="s">
        <v>327</v>
      </c>
      <c r="Q10" s="204" t="s">
        <v>328</v>
      </c>
      <c r="R10" s="217" t="s">
        <v>329</v>
      </c>
      <c r="S10" s="217" t="s">
        <v>238</v>
      </c>
      <c r="T10" s="200" t="s">
        <v>327</v>
      </c>
      <c r="U10" s="350" t="s">
        <v>328</v>
      </c>
      <c r="V10" s="350" t="s">
        <v>329</v>
      </c>
      <c r="W10" s="350" t="s">
        <v>238</v>
      </c>
      <c r="X10" s="350" t="s">
        <v>327</v>
      </c>
      <c r="Y10" s="418" t="s">
        <v>328</v>
      </c>
      <c r="Z10" s="283" t="s">
        <v>329</v>
      </c>
      <c r="AA10" s="350" t="s">
        <v>238</v>
      </c>
      <c r="AB10" s="348" t="s">
        <v>327</v>
      </c>
      <c r="AC10" s="443" t="s">
        <v>328</v>
      </c>
    </row>
    <row r="11">
      <c r="B11" s="744" t="s">
        <v>515</v>
      </c>
      <c r="C11" s="745"/>
      <c r="D11" s="744"/>
      <c r="E11" s="765"/>
      <c r="F11" s="765"/>
      <c r="G11" s="765"/>
      <c r="H11" s="280"/>
      <c r="I11" s="280"/>
      <c r="J11" s="280"/>
      <c r="K11" s="280"/>
      <c r="L11" s="280"/>
      <c r="M11" s="654"/>
      <c r="N11" s="654"/>
      <c r="O11" s="654"/>
      <c r="P11" s="280"/>
      <c r="Q11" s="280"/>
      <c r="R11" s="280"/>
      <c r="S11" s="280"/>
      <c r="T11" s="766"/>
      <c r="U11" s="242"/>
      <c r="V11" s="242"/>
      <c r="W11" s="242"/>
      <c r="X11" s="242"/>
      <c r="Y11" s="242"/>
      <c r="Z11" s="242"/>
      <c r="AA11" s="242"/>
      <c r="AB11" s="242"/>
      <c r="AC11" s="243"/>
    </row>
    <row r="12" ht="17.100000000000001" customHeight="1">
      <c r="B12" s="556" t="s">
        <v>516</v>
      </c>
      <c r="C12" s="268" t="s">
        <v>517</v>
      </c>
      <c r="D12" s="687" t="n">
        <f>'Haver Pivoted'!GO31</f>
        <v>2224.3000000000002</v>
      </c>
      <c r="E12" s="650" t="n">
        <f>'Haver Pivoted'!GP31</f>
        <v>2303.4</v>
      </c>
      <c r="F12" s="650" t="n">
        <f>'Haver Pivoted'!GQ31</f>
        <v>2319.4</v>
      </c>
      <c r="G12" s="650" t="n">
        <f>'Haver Pivoted'!GR31</f>
        <v>2333.8000000000002</v>
      </c>
      <c r="H12" s="650" t="n">
        <f>'Haver Pivoted'!GS31</f>
        <v>2346.4</v>
      </c>
      <c r="I12" s="650" t="n">
        <f>'Haver Pivoted'!GT31</f>
        <v>2407.5</v>
      </c>
      <c r="J12" s="650" t="n">
        <f>'Haver Pivoted'!GU31</f>
        <v>4698.7</v>
      </c>
      <c r="K12" s="650" t="n">
        <f>'Haver Pivoted'!GV31</f>
        <v>3492.4</v>
      </c>
      <c r="L12" s="650" t="n">
        <f>'Haver Pivoted'!GW31</f>
        <v>2881.6</v>
      </c>
      <c r="M12" s="650" t="n">
        <f>'Haver Pivoted'!GX31</f>
        <v>5094.8</v>
      </c>
      <c r="N12" s="650" t="n">
        <f>'Haver Pivoted'!GY31</f>
        <v>3395.6</v>
      </c>
      <c r="O12" s="650" t="n">
        <f>'Haver Pivoted'!GZ31</f>
        <v>3146.3</v>
      </c>
      <c r="P12" s="650" t="n">
        <f>'Haver Pivoted'!HA31</f>
        <v>2937.4</v>
      </c>
      <c r="Q12" s="650" t="n">
        <f>'Haver Pivoted'!HB31</f>
        <v>2863</v>
      </c>
      <c r="R12" s="650" t="n">
        <f>'Haver Pivoted'!HC31</f>
        <v>2846.5</v>
      </c>
      <c r="S12" s="651" t="n">
        <f>'Haver Pivoted'!HD31</f>
        <v>2840.1</v>
      </c>
      <c r="T12" s="652" t="n">
        <f>'Haver Pivoted'!HE31</f>
        <v>2882.9</v>
      </c>
      <c r="U12" s="759" t="n">
        <f>SUM(U14:U25)-U24</f>
        <v>2930.3987169589209</v>
      </c>
      <c r="V12" s="759" t="n">
        <f t="shared" ref="V12:AC12" si="0">SUM(V14:V25)-V24</f>
        <v>2957.6293908064408</v>
      </c>
      <c r="W12" s="759" t="n">
        <f t="shared" si="0"/>
        <v>2984.04244163665</v>
      </c>
      <c r="X12" s="759" t="n">
        <f t="shared" si="0"/>
        <v>3008.5099024820606</v>
      </c>
      <c r="Y12" s="759" t="n">
        <f t="shared" si="0"/>
        <v>3077.9473135141438</v>
      </c>
      <c r="Z12" s="759" t="n">
        <f t="shared" si="0"/>
        <v>3109.1971024874879</v>
      </c>
      <c r="AA12" s="759" t="n">
        <f t="shared" si="0"/>
        <v>3141.4609598336488</v>
      </c>
      <c r="AB12" s="759" t="n">
        <f t="shared" si="0"/>
        <v>3172.7825000969333</v>
      </c>
      <c r="AC12" s="760" t="n">
        <f t="shared" si="0"/>
        <v>3232.6086368988917</v>
      </c>
    </row>
    <row r="13">
      <c r="B13" s="556"/>
      <c r="C13" s="268"/>
      <c r="D13" s="687"/>
      <c r="E13" s="650"/>
      <c r="F13" s="650"/>
      <c r="G13" s="650"/>
      <c r="H13" s="650"/>
      <c r="I13" s="650"/>
      <c r="J13" s="650"/>
      <c r="K13" s="650"/>
      <c r="L13" s="650"/>
      <c r="M13" s="650"/>
      <c r="N13" s="650"/>
      <c r="O13" s="650"/>
      <c r="P13" s="268"/>
      <c r="Q13" s="264"/>
      <c r="R13" s="264"/>
      <c r="S13" s="264"/>
      <c r="T13" s="647"/>
      <c r="U13" s="350"/>
      <c r="V13" s="350"/>
      <c r="W13" s="350"/>
      <c r="X13" s="350"/>
      <c r="Y13" s="350"/>
      <c r="Z13" s="350"/>
      <c r="AA13" s="350"/>
      <c r="AB13" s="350"/>
      <c r="AC13" s="348"/>
    </row>
    <row r="14" ht="35.85" customHeight="1">
      <c r="B14" s="300" t="s">
        <v>518</v>
      </c>
      <c r="C14" s="268"/>
      <c r="D14" s="687" t="n">
        <f>'Unemployment Insurance'!D20+'Unemployment Insurance'!D19</f>
        <v>27.8</v>
      </c>
      <c r="E14" s="650" t="n">
        <f>'Unemployment Insurance'!E20+'Unemployment Insurance'!E19</f>
        <v>29.4</v>
      </c>
      <c r="F14" s="650" t="n">
        <f>'Unemployment Insurance'!F20+'Unemployment Insurance'!F19</f>
        <v>26.9</v>
      </c>
      <c r="G14" s="650" t="n">
        <f>'Unemployment Insurance'!G20+'Unemployment Insurance'!G19</f>
        <v>26.4</v>
      </c>
      <c r="H14" s="650" t="n">
        <f>'Unemployment Insurance'!H20+'Unemployment Insurance'!H19</f>
        <v>27.7</v>
      </c>
      <c r="I14" s="650" t="n">
        <f>'Unemployment Insurance'!I20+'Unemployment Insurance'!I19</f>
        <v>40.700000000000003</v>
      </c>
      <c r="J14" s="650" t="n">
        <f>'Unemployment Insurance'!J20+'Unemployment Insurance'!J19</f>
        <v>1007.5</v>
      </c>
      <c r="K14" s="650" t="n">
        <f>'Unemployment Insurance'!K20+'Unemployment Insurance'!K19</f>
        <v>792.89999999999986</v>
      </c>
      <c r="L14" s="650" t="n">
        <f>'Unemployment Insurance'!L20+'Unemployment Insurance'!L19</f>
        <v>308.5</v>
      </c>
      <c r="M14" s="650" t="n">
        <f>'Unemployment Insurance'!M20+'Unemployment Insurance'!M19</f>
        <v>556.20000000000005</v>
      </c>
      <c r="N14" s="650" t="n">
        <f>'Unemployment Insurance'!N20+'Unemployment Insurance'!N19</f>
        <v>448.6</v>
      </c>
      <c r="O14" s="650" t="n">
        <f>'Unemployment Insurance'!O20+'Unemployment Insurance'!O19</f>
        <v>245.1</v>
      </c>
      <c r="P14" s="650" t="n">
        <f>'Unemployment Insurance'!P20+'Unemployment Insurance'!P19</f>
        <v>33.799999999999997</v>
      </c>
      <c r="Q14" s="650" t="n">
        <f>'Unemployment Insurance'!Q20+'Unemployment Insurance'!Q19</f>
        <v>23.6</v>
      </c>
      <c r="R14" s="650" t="n">
        <f>'Unemployment Insurance'!R20+'Unemployment Insurance'!R19</f>
        <v>18.600000000000001</v>
      </c>
      <c r="S14" s="650" t="n">
        <f>'Unemployment Insurance'!S20+'Unemployment Insurance'!S19</f>
        <v>18.5</v>
      </c>
      <c r="T14" s="767" t="n">
        <f>'Unemployment Insurance'!T20+'Unemployment Insurance'!T19</f>
        <v>20.399999999999999</v>
      </c>
      <c r="U14" s="759" t="n">
        <f>'Unemployment Insurance'!U20+'Unemployment Insurance'!U19</f>
        <v>23.227666666666664</v>
      </c>
      <c r="V14" s="759" t="n">
        <f>'Unemployment Insurance'!V20+'Unemployment Insurance'!V19</f>
        <v>26.060999999999996</v>
      </c>
      <c r="W14" s="759" t="n">
        <f>'Unemployment Insurance'!W20+'Unemployment Insurance'!W19</f>
        <v>27.760999999999992</v>
      </c>
      <c r="X14" s="759" t="n">
        <f>'Unemployment Insurance'!X20+'Unemployment Insurance'!X19</f>
        <v>28.979333333333326</v>
      </c>
      <c r="Y14" s="759" t="n">
        <f>'Unemployment Insurance'!Y20+'Unemployment Insurance'!Y19</f>
        <v>28.894333333333329</v>
      </c>
      <c r="Z14" s="759" t="n">
        <f>'Unemployment Insurance'!Z20+'Unemployment Insurance'!Z19</f>
        <v>28.010333333333325</v>
      </c>
      <c r="AA14" s="759" t="n">
        <f>'Unemployment Insurance'!AA20+'Unemployment Insurance'!AA19</f>
        <v>27.534333333333322</v>
      </c>
      <c r="AB14" s="759" t="n">
        <f>'Unemployment Insurance'!AB20+'Unemployment Insurance'!AB19</f>
        <v>27.194333333333322</v>
      </c>
      <c r="AC14" s="760" t="n">
        <f>'Unemployment Insurance'!AC20+'Unemployment Insurance'!AC19</f>
        <v>27.063999999999986</v>
      </c>
    </row>
    <row r="15" ht="17.850000000000001" customHeight="1">
      <c r="B15" s="300" t="s">
        <v>55</v>
      </c>
      <c r="C15" s="268"/>
      <c r="D15" s="687" t="n">
        <f>Medicare!D10</f>
        <v>755.3</v>
      </c>
      <c r="E15" s="650" t="n">
        <f>Medicare!E10</f>
        <v>772.6</v>
      </c>
      <c r="F15" s="650" t="n">
        <f>Medicare!F10</f>
        <v>785.8</v>
      </c>
      <c r="G15" s="650" t="n">
        <f>Medicare!G10</f>
        <v>793.7</v>
      </c>
      <c r="H15" s="650" t="n">
        <f>Medicare!H10</f>
        <v>796.3</v>
      </c>
      <c r="I15" s="650" t="n">
        <f>Medicare!I10</f>
        <v>795.3</v>
      </c>
      <c r="J15" s="650" t="n">
        <f>Medicare!J10</f>
        <v>808</v>
      </c>
      <c r="K15" s="650" t="n">
        <f>Medicare!K10</f>
        <v>822.1</v>
      </c>
      <c r="L15" s="650" t="n">
        <f>Medicare!L10</f>
        <v>837.5</v>
      </c>
      <c r="M15" s="650" t="n">
        <f>Medicare!M10</f>
        <v>857.6</v>
      </c>
      <c r="N15" s="650" t="n">
        <f>Medicare!N10</f>
        <v>875.4</v>
      </c>
      <c r="O15" s="650" t="n">
        <f>Medicare!O10</f>
        <v>889.5</v>
      </c>
      <c r="P15" s="650" t="n">
        <f>Medicare!P10</f>
        <v>900</v>
      </c>
      <c r="Q15" s="650" t="n">
        <f>Medicare!Q10</f>
        <v>908</v>
      </c>
      <c r="R15" s="650" t="n">
        <f>Medicare!R10</f>
        <v>911.8</v>
      </c>
      <c r="S15" s="650" t="n">
        <f>Medicare!S10</f>
        <v>920.3</v>
      </c>
      <c r="T15" s="767" t="n">
        <f>Medicare!T10</f>
        <v>941.6</v>
      </c>
      <c r="U15" s="759" t="n">
        <f>Medicare!U10</f>
        <v>958.68725729225423</v>
      </c>
      <c r="V15" s="759" t="n">
        <f>Medicare!V10</f>
        <v>976.08459780644091</v>
      </c>
      <c r="W15" s="759" t="n">
        <f>Medicare!W10</f>
        <v>993.79764863665025</v>
      </c>
      <c r="X15" s="759" t="n">
        <f>Medicare!X10</f>
        <v>1017.7617761487271</v>
      </c>
      <c r="Y15" s="759" t="n">
        <f>Medicare!Y10</f>
        <v>1042.3037671808102</v>
      </c>
      <c r="Z15" s="759" t="n">
        <f>Medicare!Z10</f>
        <v>1067.437556154154</v>
      </c>
      <c r="AA15" s="759" t="n">
        <f>Medicare!AA10</f>
        <v>1093.1774135003152</v>
      </c>
      <c r="AB15" s="759" t="n">
        <f>Medicare!AB10</f>
        <v>1119.5379537635997</v>
      </c>
      <c r="AC15" s="760" t="n">
        <f>Medicare!AC10</f>
        <v>1146.534143898891</v>
      </c>
    </row>
    <row r="16" ht="18" customHeight="1">
      <c r="B16" s="556" t="s">
        <v>519</v>
      </c>
      <c r="C16" s="268"/>
      <c r="D16" s="311"/>
      <c r="E16" s="264"/>
      <c r="F16" s="264"/>
      <c r="G16" s="264"/>
      <c r="H16" s="650" t="n">
        <f>'Rebate Checks (expired)'!H10 +'Rebate Checks (expired)'!H11</f>
        <v>0</v>
      </c>
      <c r="I16" s="650" t="n">
        <f>'Rebate Checks (expired)'!I10 +'Rebate Checks (expired)'!I11</f>
        <v>0</v>
      </c>
      <c r="J16" s="650" t="n">
        <f>'Rebate Checks (expired)'!J10 +'Rebate Checks (expired)'!J11</f>
        <v>1078.0999999999999</v>
      </c>
      <c r="K16" s="650" t="n">
        <f>'Rebate Checks (expired)'!K10 +'Rebate Checks (expired)'!K11</f>
        <v>15.6</v>
      </c>
      <c r="L16" s="650" t="n">
        <f>'Rebate Checks (expired)'!L10 +'Rebate Checks (expired)'!L11</f>
        <v>5</v>
      </c>
      <c r="M16" s="650" t="n">
        <f>'Rebate Checks (expired)'!M10 +'Rebate Checks (expired)'!M11</f>
        <v>1933.6999999999998</v>
      </c>
      <c r="N16" s="650" t="n">
        <f>'Rebate Checks (expired)'!N10 +'Rebate Checks (expired)'!N11</f>
        <v>290.10000000000002</v>
      </c>
      <c r="O16" s="650" t="n">
        <f>'Rebate Checks (expired)'!O10 +'Rebate Checks (expired)'!O11</f>
        <v>38.9</v>
      </c>
      <c r="P16" s="650" t="n">
        <f>'Rebate Checks (expired)'!P10 +'Rebate Checks (expired)'!P11</f>
        <v>14.2</v>
      </c>
      <c r="Q16" s="650" t="n">
        <f>'Rebate Checks (expired)'!Q10 +'Rebate Checks (expired)'!Q11</f>
        <v>0</v>
      </c>
      <c r="R16" s="650" t="n">
        <f>'Rebate Checks (expired)'!Q10 +'Rebate Checks (expired)'!R11</f>
        <v>0</v>
      </c>
      <c r="S16" s="650" t="n">
        <f>'Rebate Checks (expired)'!S10 +'Rebate Checks (expired)'!S11</f>
        <v>0</v>
      </c>
      <c r="T16" s="767" t="n">
        <f>'Rebate Checks (expired)'!T10 +'Rebate Checks (expired)'!T11</f>
        <v>0</v>
      </c>
      <c r="U16" s="759" t="n">
        <f>'Rebate Checks (expired)'!U10 +'Rebate Checks (expired)'!U11</f>
        <v>0</v>
      </c>
      <c r="V16" s="759" t="n">
        <f>'Rebate Checks (expired)'!V10 +'Rebate Checks (expired)'!V11</f>
        <v>0</v>
      </c>
      <c r="W16" s="759" t="n">
        <f>'Rebate Checks (expired)'!W10 +'Rebate Checks (expired)'!W11</f>
        <v>0</v>
      </c>
      <c r="X16" s="759" t="n">
        <f>'Rebate Checks (expired)'!X10 +'Rebate Checks (expired)'!X11</f>
        <v>0</v>
      </c>
      <c r="Y16" s="759" t="n">
        <f>'Rebate Checks (expired)'!Y10 +'Rebate Checks (expired)'!Y11</f>
        <v>0</v>
      </c>
      <c r="Z16" s="759" t="n">
        <f>'Rebate Checks (expired)'!Z10 +'Rebate Checks (expired)'!Z11</f>
        <v>0</v>
      </c>
      <c r="AA16" s="759" t="n">
        <f>'Rebate Checks (expired)'!AA10 +'Rebate Checks (expired)'!AA11</f>
        <v>0</v>
      </c>
      <c r="AB16" s="759" t="n">
        <f>'Rebate Checks (expired)'!AB10 +'Rebate Checks (expired)'!AB11</f>
        <v>0</v>
      </c>
      <c r="AC16" s="760" t="n">
        <f>'Rebate Checks (expired)'!AC10 +'Rebate Checks (expired)'!AC11</f>
        <v>0</v>
      </c>
    </row>
    <row r="17" ht="20.100000000000001" customHeight="1">
      <c r="B17" s="301" t="s">
        <v>522</v>
      </c>
      <c r="C17" s="289"/>
      <c r="D17" s="777"/>
      <c r="E17" s="732"/>
      <c r="F17" s="732"/>
      <c r="G17" s="732"/>
      <c r="H17" s="658"/>
      <c r="I17" s="658"/>
      <c r="J17" s="658"/>
      <c r="K17" s="658"/>
      <c r="L17" s="658"/>
      <c r="M17" s="658" t="n">
        <f>'ARP Quarterly'!C5</f>
        <v>0</v>
      </c>
      <c r="N17" s="658" t="n">
        <f>'ARP Quarterly'!D5</f>
        <v>33.921840000000024</v>
      </c>
      <c r="O17" s="658" t="n">
        <f>'ARP Quarterly'!E5</f>
        <v>44.966160000000031</v>
      </c>
      <c r="P17" s="658" t="n">
        <f>'ARP Quarterly'!F5</f>
        <v>52.756999999999998</v>
      </c>
      <c r="Q17" s="658" t="n">
        <f>'ARP Quarterly'!G5</f>
        <v>52.756999999999998</v>
      </c>
      <c r="R17" s="658" t="n">
        <f>'ARP Quarterly'!H5</f>
        <v>52.756999999999998</v>
      </c>
      <c r="S17" s="658" t="n">
        <f>'ARP Quarterly'!I5</f>
        <v>52.756999999999998</v>
      </c>
      <c r="T17" s="664" t="n">
        <v>30</v>
      </c>
      <c r="U17" s="666" t="n">
        <f>'ARP Quarterly'!K5</f>
        <v>12</v>
      </c>
      <c r="V17" s="666" t="n">
        <f>'ARP Quarterly'!L5</f>
        <v>12</v>
      </c>
      <c r="W17" s="666" t="n">
        <f>'ARP Quarterly'!M5</f>
        <v>12</v>
      </c>
      <c r="X17" s="666" t="n">
        <f>'ARP Quarterly'!N5</f>
        <v>4.2219999999999995</v>
      </c>
      <c r="Y17" s="666" t="n">
        <f>'ARP Quarterly'!O5</f>
        <v>4.2219999999999995</v>
      </c>
      <c r="Z17" s="666" t="n">
        <f>'ARP Quarterly'!P5</f>
        <v>4.2219999999999995</v>
      </c>
      <c r="AA17" s="666" t="n">
        <f>'ARP Quarterly'!Q5</f>
        <v>4.2219999999999995</v>
      </c>
      <c r="AB17" s="666" t="n">
        <f>'ARP Quarterly'!R5</f>
        <v>2.3719999999999999</v>
      </c>
      <c r="AC17" s="782" t="n">
        <f>'ARP Quarterly'!S5</f>
        <v>2.3719999999999999</v>
      </c>
    </row>
    <row r="18" ht="22.35" customHeight="1">
      <c r="B18" s="300" t="s">
        <v>218</v>
      </c>
      <c r="C18" s="789"/>
      <c r="D18" s="310"/>
      <c r="E18" s="267"/>
      <c r="F18" s="267"/>
      <c r="G18" s="267"/>
      <c r="H18" s="267"/>
      <c r="I18" s="267"/>
      <c r="J18" s="267"/>
      <c r="K18" s="267"/>
      <c r="L18" s="267"/>
      <c r="M18" s="650" t="n">
        <f>'ARP Quarterly'!C4</f>
        <v>0</v>
      </c>
      <c r="N18" s="650" t="n">
        <f>'ARP Quarterly'!D4</f>
        <v>0</v>
      </c>
      <c r="O18" s="650" t="n">
        <f>'ARP Quarterly'!E4</f>
        <v>3.1040000000000418</v>
      </c>
      <c r="P18" s="650" t="n">
        <f>'ARP Quarterly'!F4</f>
        <v>19.719000000000005</v>
      </c>
      <c r="Q18" s="650" t="n">
        <f>'ARP Quarterly'!G4</f>
        <v>19.719000000000005</v>
      </c>
      <c r="R18" s="650" t="n">
        <f>'ARP Quarterly'!H4</f>
        <v>19.719000000000005</v>
      </c>
      <c r="S18" s="650" t="n">
        <f>'ARP Quarterly'!I4</f>
        <v>19.719000000000005</v>
      </c>
      <c r="T18" s="767" t="n">
        <f>'ARP Quarterly'!J4</f>
        <v>1.4159999999999999</v>
      </c>
      <c r="U18" s="759" t="n">
        <f>'ARP Quarterly'!K4</f>
        <v>1.4159999999999999</v>
      </c>
      <c r="V18" s="759" t="n">
        <f>'ARP Quarterly'!L4</f>
        <v>1.4159999999999999</v>
      </c>
      <c r="W18" s="759" t="n">
        <f>'ARP Quarterly'!M4</f>
        <v>1.4159999999999999</v>
      </c>
      <c r="X18" s="759" t="n">
        <f>'ARP Quarterly'!N4</f>
        <v>1.4790000000000001</v>
      </c>
      <c r="Y18" s="759" t="n">
        <f>'ARP Quarterly'!O4</f>
        <v>1.4790000000000001</v>
      </c>
      <c r="Z18" s="759" t="n">
        <f>'ARP Quarterly'!P4</f>
        <v>1.4790000000000001</v>
      </c>
      <c r="AA18" s="759" t="n">
        <f>'ARP Quarterly'!Q4</f>
        <v>1.4790000000000001</v>
      </c>
      <c r="AB18" s="759" t="n">
        <f>'ARP Quarterly'!R4</f>
        <v>1.63</v>
      </c>
      <c r="AC18" s="760" t="n">
        <f>'ARP Quarterly'!S4</f>
        <v>1.63</v>
      </c>
      <c r="AE18" s="789"/>
      <c r="AF18" s="789"/>
      <c r="AG18" s="789"/>
      <c r="AH18" s="789"/>
      <c r="AI18" s="789"/>
      <c r="AJ18" s="789"/>
      <c r="AK18" s="789"/>
      <c r="AL18" s="789"/>
      <c r="AM18" s="789"/>
      <c r="AN18" s="789"/>
      <c r="AO18" s="789"/>
      <c r="AP18" s="789"/>
      <c r="AQ18" s="789"/>
      <c r="AR18" s="789"/>
      <c r="AS18" s="789"/>
      <c r="AT18" s="789"/>
      <c r="AU18" s="789"/>
      <c r="AV18" s="789"/>
      <c r="AW18" s="789"/>
      <c r="AX18" s="789"/>
      <c r="AY18" s="789"/>
      <c r="AZ18" s="789"/>
      <c r="BA18" s="789"/>
      <c r="BB18" s="789"/>
      <c r="BC18" s="789"/>
      <c r="BD18" s="789"/>
      <c r="BE18" s="789"/>
      <c r="BF18" s="789"/>
      <c r="BG18" s="789"/>
      <c r="BH18" s="789"/>
      <c r="BI18" s="789"/>
      <c r="BJ18" s="789"/>
      <c r="BK18" s="789"/>
      <c r="BL18" s="789"/>
      <c r="BM18" s="789"/>
      <c r="BN18" s="789"/>
      <c r="BO18" s="789"/>
      <c r="BP18" s="789"/>
      <c r="BQ18" s="789"/>
      <c r="BR18" s="789"/>
      <c r="BS18" s="789"/>
      <c r="BT18" s="789"/>
      <c r="BU18" s="789"/>
      <c r="BV18" s="789"/>
      <c r="BW18" s="789"/>
      <c r="BX18" s="789"/>
      <c r="BY18" s="789"/>
      <c r="BZ18" s="789"/>
      <c r="CA18" s="789"/>
      <c r="CB18" s="789"/>
      <c r="CC18" s="789"/>
      <c r="CD18" s="789"/>
      <c r="CE18" s="789"/>
      <c r="CF18" s="789"/>
      <c r="CG18" s="789"/>
      <c r="CH18" s="789"/>
      <c r="CI18" s="789"/>
      <c r="CJ18" s="789"/>
      <c r="CK18" s="789"/>
      <c r="CL18" s="789"/>
      <c r="CM18" s="789"/>
      <c r="CN18" s="789"/>
      <c r="CO18" s="789"/>
      <c r="CP18" s="789"/>
      <c r="CQ18" s="789"/>
      <c r="CR18" s="789"/>
      <c r="CS18" s="789"/>
      <c r="CT18" s="789"/>
      <c r="CU18" s="789"/>
      <c r="CV18" s="789"/>
      <c r="CW18" s="789"/>
    </row>
    <row r="19" ht="19.5" customHeight="1">
      <c r="B19" s="300" t="s">
        <v>49</v>
      </c>
      <c r="C19" s="789"/>
      <c r="D19" s="310" t="n">
        <f>'Provider Relief (expired)'!D11</f>
        <v>0</v>
      </c>
      <c r="E19" s="267" t="n">
        <f>'Provider Relief (expired)'!E11</f>
        <v>0</v>
      </c>
      <c r="F19" s="267" t="n">
        <f>'Provider Relief (expired)'!F11</f>
        <v>0</v>
      </c>
      <c r="G19" s="267" t="n">
        <f>'Provider Relief (expired)'!G11</f>
        <v>0</v>
      </c>
      <c r="H19" s="267" t="n">
        <f>'Provider Relief (expired)'!H11</f>
        <v>0</v>
      </c>
      <c r="I19" s="267" t="n">
        <f>'Provider Relief (expired)'!I11</f>
        <v>0</v>
      </c>
      <c r="J19" s="267" t="n">
        <f>'Provider Relief (expired)'!J11</f>
        <v>160.9</v>
      </c>
      <c r="K19" s="267" t="n">
        <f>'Provider Relief (expired)'!K11</f>
        <v>58.4</v>
      </c>
      <c r="L19" s="267" t="n">
        <f>'Provider Relief (expired)'!L11</f>
        <v>34.5</v>
      </c>
      <c r="M19" s="267" t="n">
        <f>'Provider Relief (expired)'!M11</f>
        <v>21.4</v>
      </c>
      <c r="N19" s="267" t="n">
        <f>'Provider Relief (expired)'!N11</f>
        <v>13.3</v>
      </c>
      <c r="O19" s="267" t="n">
        <f>'Provider Relief (expired)'!O11</f>
        <v>18.7</v>
      </c>
      <c r="P19" s="267" t="n">
        <f>'Provider Relief (expired)'!P11</f>
        <v>32.200000000000003</v>
      </c>
      <c r="Q19" s="267" t="n">
        <f>'Provider Relief (expired)'!Q11</f>
        <v>26.9</v>
      </c>
      <c r="R19" s="267" t="n">
        <f>'Provider Relief (expired)'!R11</f>
        <v>20</v>
      </c>
      <c r="S19" s="267" t="n">
        <f>'Provider Relief (expired)'!S11</f>
        <v>8.1</v>
      </c>
      <c r="T19" s="331" t="n">
        <f>'Provider Relief (expired)'!T11</f>
        <v>4.9000000000000004</v>
      </c>
      <c r="U19" s="778" t="n">
        <f>'Provider Relief (expired)'!U11</f>
        <v>0</v>
      </c>
      <c r="V19" s="778" t="n">
        <f>'Provider Relief (expired)'!V11</f>
        <v>0</v>
      </c>
      <c r="W19" s="778" t="n">
        <f>'Provider Relief (expired)'!W11</f>
        <v>0</v>
      </c>
      <c r="X19" s="778" t="n">
        <f>'Provider Relief (expired)'!X11</f>
        <v>0</v>
      </c>
      <c r="Y19" s="778" t="n">
        <f>'Provider Relief (expired)'!Y11</f>
        <v>0</v>
      </c>
      <c r="Z19" s="778" t="n">
        <f>'Provider Relief (expired)'!Z11</f>
        <v>0</v>
      </c>
      <c r="AA19" s="778" t="n">
        <f>'Provider Relief (expired)'!AA11</f>
        <v>0</v>
      </c>
      <c r="AB19" s="778" t="n">
        <f>'Provider Relief (expired)'!AB11</f>
        <v>0</v>
      </c>
      <c r="AC19" s="790" t="n">
        <f>'Provider Relief (expired)'!AC11</f>
        <v>0</v>
      </c>
      <c r="AE19" s="789"/>
      <c r="AF19" s="789"/>
      <c r="AG19" s="789"/>
      <c r="AH19" s="789"/>
      <c r="AI19" s="789"/>
      <c r="AJ19" s="789"/>
      <c r="AK19" s="789"/>
      <c r="AL19" s="789"/>
      <c r="AM19" s="789"/>
      <c r="AN19" s="789"/>
      <c r="AO19" s="789"/>
      <c r="AP19" s="789"/>
      <c r="AQ19" s="789"/>
      <c r="AR19" s="789"/>
      <c r="AS19" s="789"/>
      <c r="AT19" s="789"/>
      <c r="AU19" s="789"/>
      <c r="AV19" s="789"/>
      <c r="AW19" s="789"/>
      <c r="AX19" s="789"/>
      <c r="AY19" s="789"/>
      <c r="AZ19" s="789"/>
      <c r="BA19" s="789"/>
      <c r="BB19" s="789"/>
      <c r="BC19" s="789"/>
      <c r="BD19" s="789"/>
      <c r="BE19" s="789"/>
      <c r="BF19" s="789"/>
      <c r="BG19" s="789"/>
      <c r="BH19" s="789"/>
      <c r="BI19" s="789"/>
      <c r="BJ19" s="789"/>
      <c r="BK19" s="789"/>
      <c r="BL19" s="789"/>
      <c r="BM19" s="789"/>
      <c r="BN19" s="789"/>
      <c r="BO19" s="789"/>
      <c r="BP19" s="789"/>
      <c r="BQ19" s="789"/>
      <c r="BR19" s="789"/>
      <c r="BS19" s="789"/>
      <c r="BT19" s="789"/>
      <c r="BU19" s="789"/>
      <c r="BV19" s="789"/>
      <c r="BW19" s="789"/>
      <c r="BX19" s="789"/>
      <c r="BY19" s="789"/>
      <c r="BZ19" s="789"/>
      <c r="CA19" s="789"/>
      <c r="CB19" s="789"/>
      <c r="CC19" s="789"/>
      <c r="CD19" s="789"/>
      <c r="CE19" s="789"/>
      <c r="CF19" s="789"/>
      <c r="CG19" s="789"/>
      <c r="CH19" s="789"/>
      <c r="CI19" s="789"/>
      <c r="CJ19" s="789"/>
      <c r="CK19" s="789"/>
      <c r="CL19" s="789"/>
      <c r="CM19" s="789"/>
      <c r="CN19" s="789"/>
      <c r="CO19" s="789"/>
      <c r="CP19" s="789"/>
      <c r="CQ19" s="789"/>
      <c r="CR19" s="789"/>
      <c r="CS19" s="789"/>
      <c r="CT19" s="789"/>
      <c r="CU19" s="789"/>
      <c r="CV19" s="789"/>
      <c r="CW19" s="789"/>
    </row>
    <row r="20" ht="36.6" customHeight="1">
      <c r="B20" s="300" t="s">
        <v>1516</v>
      </c>
      <c r="C20" s="268"/>
      <c r="D20" s="311" t="n">
        <f>D42</f>
        <v>0</v>
      </c>
      <c r="E20" s="264" t="n">
        <f t="shared" ref="E20:AC20" si="1">E42</f>
        <v>0</v>
      </c>
      <c r="F20" s="264" t="n">
        <f t="shared" si="1"/>
        <v>0</v>
      </c>
      <c r="G20" s="264" t="n">
        <f t="shared" si="1"/>
        <v>0</v>
      </c>
      <c r="H20" s="264" t="n">
        <f t="shared" si="1"/>
        <v>0</v>
      </c>
      <c r="I20" s="650" t="n">
        <f t="shared" si="1"/>
        <v>5.0234999999999914</v>
      </c>
      <c r="J20" s="650" t="n">
        <f t="shared" si="1"/>
        <v>45.406499999999987</v>
      </c>
      <c r="K20" s="650" t="n">
        <f t="shared" si="1"/>
        <v>50.178499999999993</v>
      </c>
      <c r="L20" s="650" t="n">
        <f t="shared" si="1"/>
        <v>60.014499999999991</v>
      </c>
      <c r="M20" s="650" t="n">
        <f t="shared" si="1"/>
        <v>86.04249999999999</v>
      </c>
      <c r="N20" s="650" t="n">
        <f t="shared" si="1"/>
        <v>100.69149999999999</v>
      </c>
      <c r="O20" s="650" t="n">
        <f t="shared" si="1"/>
        <v>95.460499999999996</v>
      </c>
      <c r="P20" s="650" t="n">
        <f t="shared" si="1"/>
        <v>100.72550000000001</v>
      </c>
      <c r="Q20" s="650" t="n">
        <f t="shared" si="1"/>
        <v>80.643499999999989</v>
      </c>
      <c r="R20" s="650" t="n">
        <f t="shared" si="1"/>
        <v>63.702499999999993</v>
      </c>
      <c r="S20" s="650" t="n">
        <f t="shared" si="1"/>
        <v>56.879499999999986</v>
      </c>
      <c r="T20" s="767" t="n">
        <f t="shared" si="1"/>
        <v>71.508499999999998</v>
      </c>
      <c r="U20" s="759" t="n">
        <f t="shared" si="1"/>
        <v>67.933074999999988</v>
      </c>
      <c r="V20" s="759" t="n">
        <f t="shared" si="1"/>
        <v>67.933074999999988</v>
      </c>
      <c r="W20" s="759" t="n">
        <f t="shared" si="1"/>
        <v>67.933074999999988</v>
      </c>
      <c r="X20" s="759" t="n">
        <f t="shared" si="1"/>
        <v>67.933074999999988</v>
      </c>
      <c r="Y20" s="759" t="n">
        <f t="shared" si="1"/>
        <v>67.933074999999988</v>
      </c>
      <c r="Z20" s="759" t="n">
        <f t="shared" si="1"/>
        <v>67.933074999999988</v>
      </c>
      <c r="AA20" s="759" t="n">
        <f t="shared" si="1"/>
        <v>67.933074999999988</v>
      </c>
      <c r="AB20" s="759" t="n">
        <f t="shared" si="1"/>
        <v>67.933074999999988</v>
      </c>
      <c r="AC20" s="760" t="n">
        <f t="shared" si="1"/>
        <v>67.933074999999988</v>
      </c>
      <c r="AE20" s="268"/>
      <c r="AF20" s="268"/>
      <c r="AG20" s="268"/>
      <c r="AH20" s="268"/>
      <c r="AI20" s="268"/>
      <c r="AJ20" s="268"/>
      <c r="AK20" s="268"/>
      <c r="AL20" s="268"/>
      <c r="AM20" s="268"/>
      <c r="AN20" s="268"/>
      <c r="AO20" s="268"/>
      <c r="AP20" s="268"/>
      <c r="AQ20" s="268"/>
      <c r="AR20" s="268"/>
      <c r="AS20" s="268"/>
      <c r="AT20" s="268"/>
      <c r="AU20" s="268"/>
      <c r="AV20" s="268"/>
      <c r="AW20" s="268"/>
      <c r="AX20" s="268"/>
      <c r="AY20" s="268"/>
      <c r="AZ20" s="268"/>
      <c r="BA20" s="268"/>
      <c r="BB20" s="268"/>
      <c r="BC20" s="268"/>
      <c r="BD20" s="268"/>
      <c r="BE20" s="268"/>
      <c r="BF20" s="268"/>
      <c r="BG20" s="268"/>
      <c r="BH20" s="268"/>
      <c r="BI20" s="268"/>
      <c r="BJ20" s="268"/>
      <c r="BK20" s="268"/>
      <c r="BL20" s="268"/>
      <c r="BM20" s="268"/>
      <c r="BN20" s="268"/>
      <c r="BO20" s="268"/>
      <c r="BP20" s="268"/>
      <c r="BQ20" s="268"/>
      <c r="BR20" s="268"/>
      <c r="BS20" s="268"/>
      <c r="BT20" s="268"/>
      <c r="BU20" s="268"/>
      <c r="BV20" s="268"/>
      <c r="BW20" s="268"/>
      <c r="BX20" s="268"/>
      <c r="BY20" s="268"/>
      <c r="BZ20" s="268"/>
      <c r="CA20" s="268"/>
      <c r="CB20" s="268"/>
      <c r="CC20" s="268"/>
      <c r="CD20" s="268"/>
      <c r="CE20" s="268"/>
      <c r="CF20" s="268"/>
      <c r="CG20" s="268"/>
      <c r="CH20" s="268"/>
      <c r="CI20" s="268"/>
      <c r="CJ20" s="268"/>
      <c r="CK20" s="268"/>
      <c r="CL20" s="268"/>
      <c r="CM20" s="268"/>
      <c r="CN20" s="268"/>
      <c r="CO20" s="268"/>
      <c r="CP20" s="268"/>
      <c r="CQ20" s="268"/>
      <c r="CR20" s="268"/>
      <c r="CS20" s="268"/>
      <c r="CT20" s="268"/>
      <c r="CU20" s="268"/>
      <c r="CV20" s="268"/>
    </row>
    <row r="21" ht="15.6" customHeight="1">
      <c r="B21" s="300" t="s">
        <v>851</v>
      </c>
      <c r="C21" s="268" t="s">
        <v>879</v>
      </c>
      <c r="D21" s="310" t="n">
        <v>30</v>
      </c>
      <c r="E21" s="267" t="n">
        <v>30</v>
      </c>
      <c r="F21" s="267" t="n">
        <v>30</v>
      </c>
      <c r="G21" s="267" t="n">
        <v>30</v>
      </c>
      <c r="H21" s="267" t="n">
        <v>30</v>
      </c>
      <c r="I21" s="267" t="n">
        <v>30</v>
      </c>
      <c r="J21" s="267" t="n">
        <v>30</v>
      </c>
      <c r="K21" s="266" t="n">
        <v>30.2</v>
      </c>
      <c r="L21" s="266" t="n">
        <v>30.2</v>
      </c>
      <c r="M21" s="266" t="n">
        <f>'Haver Pivoted'!GX89</f>
        <v>34.4</v>
      </c>
      <c r="N21" s="266" t="n">
        <f>'Haver Pivoted'!GY89</f>
        <v>34.4</v>
      </c>
      <c r="O21" s="266" t="n">
        <f>'Haver Pivoted'!GZ89</f>
        <v>218.933333333333</v>
      </c>
      <c r="P21" s="266" t="n">
        <f>'Haver Pivoted'!HA89</f>
        <v>223.13333333333301</v>
      </c>
      <c r="Q21" s="266" t="n">
        <f>'Haver Pivoted'!HB89</f>
        <v>94.3</v>
      </c>
      <c r="R21" s="266" t="n">
        <f>'Haver Pivoted'!HC89</f>
        <v>94.3</v>
      </c>
      <c r="S21" s="764" t="n">
        <f>'Haver Pivoted'!HD89</f>
        <v>94.3</v>
      </c>
      <c r="T21" s="768" t="n">
        <f>'Haver Pivoted'!HE89</f>
        <v>94.3</v>
      </c>
      <c r="U21" s="759" t="n">
        <v>34</v>
      </c>
      <c r="V21" s="759" t="n">
        <v>34</v>
      </c>
      <c r="W21" s="759" t="n">
        <v>34</v>
      </c>
      <c r="X21" s="759" t="n">
        <v>34</v>
      </c>
      <c r="Y21" s="759" t="n">
        <v>34</v>
      </c>
      <c r="Z21" s="759" t="n">
        <v>34</v>
      </c>
      <c r="AA21" s="759" t="n">
        <v>34</v>
      </c>
      <c r="AB21" s="759" t="n">
        <v>34</v>
      </c>
      <c r="AC21" s="760" t="n">
        <v>34</v>
      </c>
    </row>
    <row r="22" ht="21.6" customHeight="1">
      <c r="B22" s="300" t="s">
        <v>520</v>
      </c>
      <c r="C22" s="268"/>
      <c r="D22" s="311"/>
      <c r="E22" s="264"/>
      <c r="F22" s="264"/>
      <c r="G22" s="264"/>
      <c r="H22" s="650"/>
      <c r="I22" s="650"/>
      <c r="J22" s="650" t="n">
        <f>'PPP (expired)'!J53</f>
        <v>57.2</v>
      </c>
      <c r="K22" s="650" t="n">
        <f>'PPP (expired)'!K53</f>
        <v>81.2</v>
      </c>
      <c r="L22" s="650" t="n">
        <f>'PPP (expired)'!L53</f>
        <v>24.4</v>
      </c>
      <c r="M22" s="650" t="n">
        <f>'PPP (expired)'!M53</f>
        <v>11.7</v>
      </c>
      <c r="N22" s="650" t="n">
        <f>'PPP (expired)'!N53</f>
        <v>28.5</v>
      </c>
      <c r="O22" s="650" t="n">
        <f>'PPP (expired)'!O53</f>
        <v>18.8</v>
      </c>
      <c r="P22" s="650" t="n">
        <f>'PPP (expired)'!P53</f>
        <v>1.6</v>
      </c>
      <c r="Q22" s="650" t="n">
        <f>'PPP (expired)'!Q53</f>
        <v>0</v>
      </c>
      <c r="R22" s="650" t="n">
        <f>'PPP (expired)'!Q61</f>
        <v>0</v>
      </c>
      <c r="S22" s="650" t="n">
        <f>'PPP (expired)'!S53</f>
        <v>0</v>
      </c>
      <c r="T22" s="767" t="n">
        <f>'PPP (expired)'!T53</f>
        <v>0</v>
      </c>
      <c r="U22" s="759" t="n">
        <f>'PPP (expired)'!U53</f>
        <v>0</v>
      </c>
      <c r="V22" s="759" t="n">
        <f>'PPP (expired)'!V53</f>
        <v>0</v>
      </c>
      <c r="W22" s="759" t="n">
        <f>'PPP (expired)'!W53</f>
        <v>0</v>
      </c>
      <c r="X22" s="759" t="n">
        <f>'PPP (expired)'!X53</f>
        <v>0</v>
      </c>
      <c r="Y22" s="759" t="n">
        <f>'PPP (expired)'!Y53</f>
        <v>0</v>
      </c>
      <c r="Z22" s="759" t="n">
        <f>'PPP (expired)'!Z53</f>
        <v>0</v>
      </c>
      <c r="AA22" s="759" t="n">
        <f>'PPP (expired)'!AA53</f>
        <v>0</v>
      </c>
      <c r="AB22" s="759" t="n">
        <f>'PPP (expired)'!AB53</f>
        <v>0</v>
      </c>
      <c r="AC22" s="760" t="n">
        <f>'PPP (expired)'!AC53</f>
        <v>0</v>
      </c>
    </row>
    <row r="23" ht="21.6" customHeight="1">
      <c r="B23" s="556" t="s">
        <v>852</v>
      </c>
      <c r="C23" s="268"/>
      <c r="D23" s="687" t="n">
        <f t="shared" ref="D23:AC23" si="2">D58</f>
        <v>0</v>
      </c>
      <c r="E23" s="650" t="n">
        <f t="shared" si="2"/>
        <v>0</v>
      </c>
      <c r="F23" s="650" t="n">
        <f t="shared" si="2"/>
        <v>0</v>
      </c>
      <c r="G23" s="650" t="n">
        <f t="shared" si="2"/>
        <v>0</v>
      </c>
      <c r="H23" s="650" t="n">
        <f t="shared" si="2"/>
        <v>0</v>
      </c>
      <c r="I23" s="650" t="n">
        <f t="shared" si="2"/>
        <v>-5.0235000000002401</v>
      </c>
      <c r="J23" s="650" t="n">
        <f t="shared" si="2"/>
        <v>-36.906500000000278</v>
      </c>
      <c r="K23" s="650" t="n">
        <f t="shared" si="2"/>
        <v>86.321499999999787</v>
      </c>
      <c r="L23" s="650" t="n">
        <f t="shared" si="2"/>
        <v>18.985499999999547</v>
      </c>
      <c r="M23" s="650" t="n">
        <f t="shared" si="2"/>
        <v>6.8144999999999527</v>
      </c>
      <c r="N23" s="650" t="n">
        <f t="shared" si="2"/>
        <v>-23.256340000000137</v>
      </c>
      <c r="O23" s="650" t="n">
        <f t="shared" si="2"/>
        <v>-28.106993333332866</v>
      </c>
      <c r="P23" s="650" t="n">
        <f t="shared" si="2"/>
        <v>-48.677833333332956</v>
      </c>
      <c r="Q23" s="650" t="n">
        <f t="shared" si="2"/>
        <v>-29.785220000000209</v>
      </c>
      <c r="R23" s="650" t="n">
        <f t="shared" si="2"/>
        <v>-28.244220000000269</v>
      </c>
      <c r="S23" s="650" t="n">
        <f t="shared" si="2"/>
        <v>-31.321220000000267</v>
      </c>
      <c r="T23" s="767" t="n">
        <f t="shared" si="2"/>
        <v>10.909779999999955</v>
      </c>
      <c r="U23" s="759" t="n">
        <f t="shared" si="2"/>
        <v>10.909779999999955</v>
      </c>
      <c r="V23" s="759" t="n">
        <f t="shared" si="2"/>
        <v>10.909779999999955</v>
      </c>
      <c r="W23" s="759" t="n">
        <f t="shared" si="2"/>
        <v>10.909779999999955</v>
      </c>
      <c r="X23" s="759" t="n">
        <f t="shared" si="2"/>
        <v>10.909779999999955</v>
      </c>
      <c r="Y23" s="759" t="n">
        <f t="shared" si="2"/>
        <v>10.909779999999955</v>
      </c>
      <c r="Z23" s="759" t="n">
        <f t="shared" si="2"/>
        <v>10.909779999999955</v>
      </c>
      <c r="AA23" s="759" t="n">
        <f t="shared" si="2"/>
        <v>10.909779999999955</v>
      </c>
      <c r="AB23" s="759" t="n">
        <f t="shared" si="2"/>
        <v>10.909779999999955</v>
      </c>
      <c r="AC23" s="760" t="n">
        <f t="shared" si="2"/>
        <v>10.909779999999955</v>
      </c>
    </row>
    <row r="24" ht="21" customHeight="1">
      <c r="B24" s="301" t="s">
        <v>849</v>
      </c>
      <c r="C24" s="289"/>
      <c r="D24" s="777" t="n">
        <f t="shared" ref="D24:AC24" si="3">D18+D19</f>
        <v>0</v>
      </c>
      <c r="E24" s="732" t="n">
        <f t="shared" si="3"/>
        <v>0</v>
      </c>
      <c r="F24" s="732" t="n">
        <f t="shared" si="3"/>
        <v>0</v>
      </c>
      <c r="G24" s="732" t="n">
        <f t="shared" si="3"/>
        <v>0</v>
      </c>
      <c r="H24" s="732" t="n">
        <f t="shared" si="3"/>
        <v>0</v>
      </c>
      <c r="I24" s="732" t="n">
        <f t="shared" si="3"/>
        <v>0</v>
      </c>
      <c r="J24" s="732" t="n">
        <f t="shared" si="3"/>
        <v>160.9</v>
      </c>
      <c r="K24" s="732" t="n">
        <f t="shared" si="3"/>
        <v>58.4</v>
      </c>
      <c r="L24" s="732" t="n">
        <f t="shared" si="3"/>
        <v>34.5</v>
      </c>
      <c r="M24" s="732" t="n">
        <f t="shared" si="3"/>
        <v>21.4</v>
      </c>
      <c r="N24" s="732" t="n">
        <f t="shared" si="3"/>
        <v>13.3</v>
      </c>
      <c r="O24" s="732" t="n">
        <f t="shared" si="3"/>
        <v>21.804000000000041</v>
      </c>
      <c r="P24" s="658" t="n">
        <f>P18+P19</f>
        <v>51.919000000000011</v>
      </c>
      <c r="Q24" s="732" t="n">
        <f t="shared" si="3"/>
        <v>46.619</v>
      </c>
      <c r="R24" s="732" t="n">
        <f t="shared" si="3"/>
        <v>39.719000000000008</v>
      </c>
      <c r="S24" s="732" t="n">
        <f t="shared" si="3"/>
        <v>27.819000000000003</v>
      </c>
      <c r="T24" s="769" t="n">
        <f t="shared" si="3"/>
        <v>6.3160000000000007</v>
      </c>
      <c r="U24" s="761" t="n">
        <f t="shared" si="3"/>
        <v>1.4159999999999999</v>
      </c>
      <c r="V24" s="761" t="n">
        <f t="shared" si="3"/>
        <v>1.4159999999999999</v>
      </c>
      <c r="W24" s="761" t="n">
        <f t="shared" si="3"/>
        <v>1.4159999999999999</v>
      </c>
      <c r="X24" s="761" t="n">
        <f t="shared" si="3"/>
        <v>1.4790000000000001</v>
      </c>
      <c r="Y24" s="761" t="n">
        <f t="shared" si="3"/>
        <v>1.4790000000000001</v>
      </c>
      <c r="Z24" s="761" t="n">
        <f t="shared" si="3"/>
        <v>1.4790000000000001</v>
      </c>
      <c r="AA24" s="761" t="n">
        <f t="shared" si="3"/>
        <v>1.4790000000000001</v>
      </c>
      <c r="AB24" s="761" t="n">
        <f t="shared" si="3"/>
        <v>1.63</v>
      </c>
      <c r="AC24" s="762" t="n">
        <f t="shared" si="3"/>
        <v>1.63</v>
      </c>
    </row>
    <row r="25" ht="44.85" customHeight="1">
      <c r="B25" s="300" t="s">
        <v>857</v>
      </c>
      <c r="C25" s="268"/>
      <c r="D25" s="687" t="n">
        <f t="shared" ref="D25:AC25" si="4">D56</f>
        <v>1411.2</v>
      </c>
      <c r="E25" s="650" t="n">
        <f t="shared" si="4"/>
        <v>1471.4</v>
      </c>
      <c r="F25" s="650" t="n">
        <f t="shared" si="4"/>
        <v>1476.7</v>
      </c>
      <c r="G25" s="650" t="n">
        <f t="shared" si="4"/>
        <v>1483.7</v>
      </c>
      <c r="H25" s="650" t="n">
        <f t="shared" si="4"/>
        <v>1492.4000000000003</v>
      </c>
      <c r="I25" s="650" t="n">
        <f t="shared" si="4"/>
        <v>1541.5000000000002</v>
      </c>
      <c r="J25" s="650" t="n">
        <f t="shared" si="4"/>
        <v>1548.5000000000002</v>
      </c>
      <c r="K25" s="650" t="n">
        <f t="shared" si="4"/>
        <v>1555.5000000000002</v>
      </c>
      <c r="L25" s="650" t="n">
        <f t="shared" si="4"/>
        <v>1562.5000000000002</v>
      </c>
      <c r="M25" s="650" t="n">
        <f t="shared" si="4"/>
        <v>1586.9430000000002</v>
      </c>
      <c r="N25" s="650" t="n">
        <f t="shared" si="4"/>
        <v>1593.9430000000002</v>
      </c>
      <c r="O25" s="650" t="n">
        <f t="shared" si="4"/>
        <v>1600.9430000000002</v>
      </c>
      <c r="P25" s="650" t="n">
        <f>P56</f>
        <v>1607.9430000000002</v>
      </c>
      <c r="Q25" s="650" t="n">
        <f t="shared" si="4"/>
        <v>1686.8657200000002</v>
      </c>
      <c r="R25" s="650" t="n">
        <f t="shared" si="4"/>
        <v>1693.8657200000002</v>
      </c>
      <c r="S25" s="650" t="n">
        <f t="shared" si="4"/>
        <v>1700.8657200000002</v>
      </c>
      <c r="T25" s="767" t="n">
        <f t="shared" si="4"/>
        <v>1707.8657200000002</v>
      </c>
      <c r="U25" s="759" t="n">
        <f t="shared" si="4"/>
        <v>1822.2249380000003</v>
      </c>
      <c r="V25" s="759" t="n">
        <f t="shared" si="4"/>
        <v>1829.2249380000003</v>
      </c>
      <c r="W25" s="759" t="n">
        <f t="shared" si="4"/>
        <v>1836.2249380000003</v>
      </c>
      <c r="X25" s="759" t="n">
        <f t="shared" si="4"/>
        <v>1843.2249380000003</v>
      </c>
      <c r="Y25" s="759" t="n">
        <f t="shared" si="4"/>
        <v>1888.2053580000004</v>
      </c>
      <c r="Z25" s="759" t="n">
        <f t="shared" si="4"/>
        <v>1895.2053580000004</v>
      </c>
      <c r="AA25" s="759" t="n">
        <f t="shared" si="4"/>
        <v>1902.2053580000004</v>
      </c>
      <c r="AB25" s="759" t="n">
        <f t="shared" si="4"/>
        <v>1909.2053580000004</v>
      </c>
      <c r="AC25" s="760" t="n">
        <f t="shared" si="4"/>
        <v>1942.1656380000004</v>
      </c>
    </row>
    <row r="26" ht="44.85" customHeight="1">
      <c r="B26" s="459" t="s">
        <v>1261</v>
      </c>
      <c r="D26" s="687"/>
      <c r="E26" s="650"/>
      <c r="F26" s="650"/>
      <c r="G26" s="650"/>
      <c r="H26" s="650"/>
      <c r="I26" s="650"/>
      <c r="J26" s="650"/>
      <c r="K26" s="650"/>
      <c r="L26" s="650"/>
      <c r="M26" s="650"/>
      <c r="N26" s="650"/>
      <c r="O26" s="650"/>
      <c r="P26" s="650"/>
      <c r="Q26" s="650"/>
      <c r="R26" s="650"/>
      <c r="S26" s="754" t="n">
        <f>'IRA and CHIPS'!E191</f>
        <v>-0.622</v>
      </c>
      <c r="T26" s="755" t="n">
        <f>'IRA and CHIPS'!F191</f>
        <v>21.89</v>
      </c>
      <c r="U26" s="756" t="n">
        <f>'IRA and CHIPS'!G191</f>
        <v>21.89</v>
      </c>
      <c r="V26" s="756" t="n">
        <f>'IRA and CHIPS'!H191</f>
        <v>21.89</v>
      </c>
      <c r="W26" s="756" t="n">
        <f>'IRA and CHIPS'!I191</f>
        <v>21.89</v>
      </c>
      <c r="X26" s="756" t="n">
        <f>'IRA and CHIPS'!J191</f>
        <v>15.439</v>
      </c>
      <c r="Y26" s="756" t="n">
        <f>'IRA and CHIPS'!K191</f>
        <v>15.439</v>
      </c>
      <c r="Z26" s="756" t="n">
        <f>'IRA and CHIPS'!L191</f>
        <v>15.439</v>
      </c>
      <c r="AA26" s="756" t="n">
        <f>'IRA and CHIPS'!M191</f>
        <v>15.439</v>
      </c>
      <c r="AB26" s="756" t="n">
        <f>'IRA and CHIPS'!N191</f>
        <v>16.966999999999999</v>
      </c>
      <c r="AC26" s="757" t="n">
        <f>'IRA and CHIPS'!O191</f>
        <v>16.966999999999999</v>
      </c>
    </row>
    <row r="27" ht="31.35" customHeight="1">
      <c r="B27" s="672" t="s">
        <v>853</v>
      </c>
      <c r="C27" s="289"/>
      <c r="D27" s="658" t="n">
        <f t="shared" ref="D27:R27" si="5">D25+SUM(D20:D23)+D26</f>
        <v>1441.2</v>
      </c>
      <c r="E27" s="658" t="n">
        <f t="shared" si="5"/>
        <v>1501.4</v>
      </c>
      <c r="F27" s="658" t="n">
        <f t="shared" si="5"/>
        <v>1506.7</v>
      </c>
      <c r="G27" s="658" t="n">
        <f t="shared" si="5"/>
        <v>1513.7</v>
      </c>
      <c r="H27" s="658" t="n">
        <f t="shared" si="5"/>
        <v>1522.4000000000003</v>
      </c>
      <c r="I27" s="658" t="n">
        <f t="shared" si="5"/>
        <v>1571.5</v>
      </c>
      <c r="J27" s="658" t="n">
        <f t="shared" si="5"/>
        <v>1644.1999999999998</v>
      </c>
      <c r="K27" s="658" t="n">
        <f t="shared" si="5"/>
        <v>1803.4</v>
      </c>
      <c r="L27" s="658" t="n">
        <f t="shared" si="5"/>
        <v>1696.0999999999997</v>
      </c>
      <c r="M27" s="658" t="n">
        <f t="shared" si="5"/>
        <v>1725.9</v>
      </c>
      <c r="N27" s="658" t="n">
        <f t="shared" si="5"/>
        <v>1734.2781600000001</v>
      </c>
      <c r="O27" s="658" t="n">
        <f t="shared" si="5"/>
        <v>1906.0298400000004</v>
      </c>
      <c r="P27" s="658" t="n">
        <f t="shared" si="5"/>
        <v>1884.7240000000002</v>
      </c>
      <c r="Q27" s="658" t="n">
        <f t="shared" si="5"/>
        <v>1832.0239999999999</v>
      </c>
      <c r="R27" s="658" t="n">
        <f t="shared" si="5"/>
        <v>1823.624</v>
      </c>
      <c r="S27" s="658" t="n">
        <f>S25+SUM(S20:S23)+S26</f>
        <v>1820.1019999999999</v>
      </c>
      <c r="T27" s="658" t="n">
        <f t="shared" ref="T27" si="6">T25+SUM(T20:T23)+T26</f>
        <v>1906.4740000000004</v>
      </c>
      <c r="U27" s="666" t="n">
        <f t="shared" ref="U27" si="7">U25+SUM(U20:U23)+U26</f>
        <v>1956.9577930000003</v>
      </c>
      <c r="V27" s="666" t="n">
        <f t="shared" ref="V27" si="8">V25+SUM(V20:V23)+V26</f>
        <v>1963.9577930000003</v>
      </c>
      <c r="W27" s="666" t="n">
        <f t="shared" ref="W27" si="9">W25+SUM(W20:W23)+W26</f>
        <v>1970.9577930000003</v>
      </c>
      <c r="X27" s="666" t="n">
        <f t="shared" ref="X27" si="10">X25+SUM(X20:X23)+X26</f>
        <v>1971.5067930000002</v>
      </c>
      <c r="Y27" s="666" t="n">
        <f t="shared" ref="Y27" si="11">Y25+SUM(Y20:Y23)+Y26</f>
        <v>2016.4872130000003</v>
      </c>
      <c r="Z27" s="666" t="n">
        <f t="shared" ref="Z27" si="12">Z25+SUM(Z20:Z23)+Z26</f>
        <v>2023.4872130000003</v>
      </c>
      <c r="AA27" s="666" t="n">
        <f t="shared" ref="AA27" si="13">AA25+SUM(AA20:AA23)+AA26</f>
        <v>2030.4872130000003</v>
      </c>
      <c r="AB27" s="666" t="n">
        <f t="shared" ref="AB27" si="14">AB25+SUM(AB20:AB23)+AB26</f>
        <v>2039.0152130000004</v>
      </c>
      <c r="AC27" s="666" t="n">
        <f t="shared" ref="AC27" si="15">AC25+SUM(AC20:AC23)+AC26</f>
        <v>2071.9754930000004</v>
      </c>
    </row>
    <row r="28" ht="31.35" customHeight="1">
      <c r="B28" s="744" t="s">
        <v>523</v>
      </c>
      <c r="C28" s="745"/>
      <c r="D28" s="660"/>
      <c r="E28" s="661"/>
      <c r="F28" s="661"/>
      <c r="G28" s="661"/>
      <c r="H28" s="661"/>
      <c r="I28" s="661"/>
      <c r="J28" s="661"/>
      <c r="K28" s="661"/>
      <c r="L28" s="661"/>
      <c r="M28" s="661"/>
      <c r="N28" s="661"/>
      <c r="O28" s="661"/>
      <c r="P28" s="661"/>
      <c r="Q28" s="661"/>
      <c r="R28" s="661"/>
      <c r="S28" s="661"/>
      <c r="T28" s="770"/>
      <c r="U28" s="666"/>
      <c r="V28" s="666"/>
      <c r="W28" s="666"/>
      <c r="X28" s="666"/>
      <c r="Y28" s="666"/>
      <c r="Z28" s="666"/>
      <c r="AA28" s="666"/>
      <c r="AB28" s="666"/>
      <c r="AC28" s="782"/>
    </row>
    <row r="29">
      <c r="B29" s="556" t="s">
        <v>859</v>
      </c>
      <c r="C29" s="268" t="s">
        <v>524</v>
      </c>
      <c r="D29" s="311" t="n">
        <f>'Haver Pivoted'!GO37</f>
        <v>734.3</v>
      </c>
      <c r="E29" s="264" t="n">
        <f>'Haver Pivoted'!GP37</f>
        <v>745.2</v>
      </c>
      <c r="F29" s="264" t="n">
        <f>'Haver Pivoted'!GQ37</f>
        <v>763.2</v>
      </c>
      <c r="G29" s="264" t="n">
        <f>'Haver Pivoted'!GR37</f>
        <v>773.5</v>
      </c>
      <c r="H29" s="264" t="n">
        <f>'Haver Pivoted'!GS37</f>
        <v>773.8</v>
      </c>
      <c r="I29" s="264" t="n">
        <f>'Haver Pivoted'!GT37</f>
        <v>762.4</v>
      </c>
      <c r="J29" s="264" t="n">
        <f>'Haver Pivoted'!GU37</f>
        <v>813.3</v>
      </c>
      <c r="K29" s="264" t="n">
        <f>'Haver Pivoted'!GV37</f>
        <v>851.9</v>
      </c>
      <c r="L29" s="264" t="n">
        <f>'Haver Pivoted'!GW37</f>
        <v>840.6</v>
      </c>
      <c r="M29" s="264" t="n">
        <f>'Haver Pivoted'!GX37</f>
        <v>868</v>
      </c>
      <c r="N29" s="264" t="n">
        <f>'Haver Pivoted'!GY37</f>
        <v>910.1</v>
      </c>
      <c r="O29" s="264" t="n">
        <f>'Haver Pivoted'!GZ37</f>
        <v>918.1</v>
      </c>
      <c r="P29" s="264" t="n">
        <f>'Haver Pivoted'!HA37</f>
        <v>915.2</v>
      </c>
      <c r="Q29" s="264" t="n">
        <f>'Haver Pivoted'!HB37</f>
        <v>934.7</v>
      </c>
      <c r="R29" s="264" t="n">
        <f>'Haver Pivoted'!HC37</f>
        <v>962.7</v>
      </c>
      <c r="S29" s="123" t="n">
        <f>'Haver Pivoted'!HD37</f>
        <v>982.9</v>
      </c>
      <c r="T29" s="123" t="n">
        <f>'Haver Pivoted'!HE37</f>
        <v>1043</v>
      </c>
      <c r="U29" s="779"/>
      <c r="V29" s="779"/>
      <c r="W29" s="779"/>
      <c r="X29" s="779"/>
      <c r="Y29" s="779"/>
      <c r="Z29" s="779"/>
      <c r="AA29" s="779"/>
      <c r="AB29" s="779"/>
      <c r="AC29" s="802"/>
    </row>
    <row r="30">
      <c r="B30" s="649" t="s">
        <v>209</v>
      </c>
      <c r="C30" s="268"/>
      <c r="D30" s="687" t="n">
        <f>Medicaid!D26</f>
        <v>589.5</v>
      </c>
      <c r="E30" s="650" t="n">
        <f>Medicaid!E26</f>
        <v>598.70000000000005</v>
      </c>
      <c r="F30" s="650" t="n">
        <f>Medicaid!F26</f>
        <v>614.4</v>
      </c>
      <c r="G30" s="650" t="n">
        <f>Medicaid!G26</f>
        <v>622.4</v>
      </c>
      <c r="H30" s="650" t="n">
        <f>Medicaid!H26</f>
        <v>620.70000000000005</v>
      </c>
      <c r="I30" s="650" t="n">
        <f>Medicaid!I26</f>
        <v>606.6</v>
      </c>
      <c r="J30" s="650" t="n">
        <f>Medicaid!J26</f>
        <v>654.70000000000005</v>
      </c>
      <c r="K30" s="650" t="n">
        <f>Medicaid!K26</f>
        <v>690.7</v>
      </c>
      <c r="L30" s="650" t="n">
        <f>Medicaid!L26</f>
        <v>678.3</v>
      </c>
      <c r="M30" s="650" t="n">
        <f>Medicaid!M26</f>
        <v>704.4</v>
      </c>
      <c r="N30" s="650" t="n">
        <f>Medicaid!N26</f>
        <v>744.8</v>
      </c>
      <c r="O30" s="650" t="n">
        <f>Medicaid!O26</f>
        <v>748.2</v>
      </c>
      <c r="P30" s="650" t="n">
        <f>Medicaid!P26</f>
        <v>745</v>
      </c>
      <c r="Q30" s="650" t="n">
        <f>Medicaid!Q26</f>
        <v>763.1</v>
      </c>
      <c r="R30" s="650" t="n">
        <f>Medicaid!R26</f>
        <v>789.5</v>
      </c>
      <c r="S30" s="123" t="n">
        <f>Medicaid!S26</f>
        <v>786.1</v>
      </c>
      <c r="T30" s="767" t="n">
        <f>Medicaid!T26</f>
        <v>793.3</v>
      </c>
      <c r="U30" s="759" t="n">
        <f>Medicaid!U26</f>
        <v>796.61590660115485</v>
      </c>
      <c r="V30" s="759" t="n">
        <f>Medicaid!V26</f>
        <v>799.94567332658505</v>
      </c>
      <c r="W30" s="759" t="n">
        <f>Medicaid!W26</f>
        <v>803.28935811008296</v>
      </c>
      <c r="X30" s="759" t="n">
        <f>Medicaid!X26</f>
        <v>794.10612096664613</v>
      </c>
      <c r="Y30" s="759" t="n">
        <f>Medicaid!Y26</f>
        <v>785.02786696979422</v>
      </c>
      <c r="Z30" s="759" t="n">
        <f>Medicaid!Z26</f>
        <v>776.05339594785642</v>
      </c>
      <c r="AA30" s="759" t="n">
        <f>Medicaid!AA26</f>
        <v>767.18152144957389</v>
      </c>
      <c r="AB30" s="759" t="n">
        <f>Medicaid!AB26</f>
        <v>758.41107058724765</v>
      </c>
      <c r="AC30" s="760" t="n">
        <f>Medicaid!AC26</f>
        <v>749.74088388167945</v>
      </c>
    </row>
    <row r="31" ht="14.85" customHeight="1">
      <c r="B31" s="672" t="s">
        <v>860</v>
      </c>
      <c r="C31" s="289"/>
      <c r="D31" s="686" t="n">
        <f>D29-D30</f>
        <v>144.79999999999995</v>
      </c>
      <c r="E31" s="658" t="n">
        <f t="shared" ref="E31:O31" si="16">E29-E30</f>
        <v>146.5</v>
      </c>
      <c r="F31" s="658" t="n">
        <f t="shared" si="16"/>
        <v>148.80000000000007</v>
      </c>
      <c r="G31" s="658" t="n">
        <f t="shared" si="16"/>
        <v>151.10000000000002</v>
      </c>
      <c r="H31" s="658" t="n">
        <f t="shared" si="16"/>
        <v>153.09999999999991</v>
      </c>
      <c r="I31" s="658" t="n">
        <f t="shared" si="16"/>
        <v>155.79999999999995</v>
      </c>
      <c r="J31" s="658" t="n">
        <f t="shared" si="16"/>
        <v>158.59999999999991</v>
      </c>
      <c r="K31" s="658" t="n">
        <f t="shared" si="16"/>
        <v>161.19999999999993</v>
      </c>
      <c r="L31" s="658" t="n">
        <f t="shared" si="16"/>
        <v>162.30000000000007</v>
      </c>
      <c r="M31" s="658" t="n">
        <f t="shared" si="16"/>
        <v>163.60000000000002</v>
      </c>
      <c r="N31" s="658" t="n">
        <f t="shared" si="16"/>
        <v>165.30000000000007</v>
      </c>
      <c r="O31" s="658" t="n">
        <f t="shared" si="16"/>
        <v>169.89999999999998</v>
      </c>
      <c r="P31" s="658" t="n">
        <f>P29-P30</f>
        <v>170.20000000000005</v>
      </c>
      <c r="Q31" s="658" t="n">
        <f>Q29-Q30</f>
        <v>171.60000000000002</v>
      </c>
      <c r="R31" s="658" t="n">
        <f>R29-R30</f>
        <v>173.20000000000005</v>
      </c>
      <c r="S31" s="123" t="n">
        <f>S29-S30</f>
        <v>196.79999999999995</v>
      </c>
      <c r="T31" s="123" t="n">
        <f>T29-T30</f>
        <v>249.70000000000005</v>
      </c>
      <c r="U31" s="666" t="n">
        <f>T31*(1+AVERAGE($F$33:$I$33))+U32</f>
        <v>183.57212584485049</v>
      </c>
      <c r="V31" s="666" t="n">
        <f t="shared" ref="V31:AC31" si="17">U31*(1+AVERAGE($F$33:$I$33))</f>
        <v>186.41879934456207</v>
      </c>
      <c r="W31" s="666" t="n">
        <f t="shared" si="17"/>
        <v>189.30961652881547</v>
      </c>
      <c r="X31" s="666" t="n">
        <f t="shared" si="17"/>
        <v>192.24526193866711</v>
      </c>
      <c r="Y31" s="666" t="n">
        <f t="shared" si="17"/>
        <v>195.22643073042826</v>
      </c>
      <c r="Z31" s="666" t="n">
        <f t="shared" si="17"/>
        <v>198.25382884027687</v>
      </c>
      <c r="AA31" s="666" t="n">
        <f t="shared" si="17"/>
        <v>201.32817315142222</v>
      </c>
      <c r="AB31" s="666" t="n">
        <f t="shared" si="17"/>
        <v>204.45019166386174</v>
      </c>
      <c r="AC31" s="782" t="n">
        <f t="shared" si="17"/>
        <v>207.62062366677031</v>
      </c>
    </row>
    <row r="32" ht="14.85" customHeight="1">
      <c r="B32" s="672" t="s">
        <v>1779</v>
      </c>
      <c r="C32" s="289"/>
      <c r="D32" s="686"/>
      <c r="E32" s="658"/>
      <c r="F32" s="658"/>
      <c r="G32" s="658"/>
      <c r="H32" s="658"/>
      <c r="I32" s="658"/>
      <c r="J32" s="658"/>
      <c r="K32" s="658"/>
      <c r="L32" s="658"/>
      <c r="M32" s="658"/>
      <c r="N32" s="658"/>
      <c r="O32" s="658"/>
      <c r="P32" s="658"/>
      <c r="Q32" s="658"/>
      <c r="R32" s="658"/>
      <c r="S32" s="123"/>
      <c r="T32" s="664"/>
      <c r="U32" s="666" t="n">
        <v>-70</v>
      </c>
      <c r="V32" s="666"/>
      <c r="W32" s="666"/>
      <c r="X32" s="666"/>
      <c r="Y32" s="666"/>
      <c r="Z32" s="666"/>
      <c r="AA32" s="666"/>
      <c r="AB32" s="666"/>
      <c r="AC32" s="782"/>
    </row>
    <row r="33">
      <c r="B33" s="721" t="s">
        <v>861</v>
      </c>
      <c r="C33" s="334"/>
      <c r="D33" s="688"/>
      <c r="E33" s="670" t="n">
        <f>E31/D31-1</f>
        <v>1.1740331491713052E-2</v>
      </c>
      <c r="F33" s="670" t="n">
        <f t="shared" ref="F33:N33" si="18">F31/E31-1</f>
        <v>1.5699658703072217E-2</v>
      </c>
      <c r="G33" s="670" t="n">
        <f t="shared" si="18"/>
        <v>1.5456989247311537E-2</v>
      </c>
      <c r="H33" s="670" t="n">
        <f t="shared" si="18"/>
        <v>1.3236267372600086E-2</v>
      </c>
      <c r="I33" s="670" t="n">
        <f t="shared" si="18"/>
        <v>1.7635532331809589E-2</v>
      </c>
      <c r="J33" s="670" t="n">
        <f t="shared" si="18"/>
        <v>1.7971758664954818E-2</v>
      </c>
      <c r="K33" s="670" t="n">
        <f t="shared" si="18"/>
        <v>1.639344262295106E-2</v>
      </c>
      <c r="L33" s="670" t="n">
        <f t="shared" si="18"/>
        <v>6.823821339951186E-3</v>
      </c>
      <c r="M33" s="670" t="n">
        <f t="shared" si="18"/>
        <v>8.0098582871224178E-3</v>
      </c>
      <c r="N33" s="670" t="n">
        <f t="shared" si="18"/>
        <v>1.0391198044010119E-2</v>
      </c>
      <c r="O33" s="670" t="n">
        <f>O31/N31-1</f>
        <v>2.7828191167573513E-2</v>
      </c>
      <c r="P33" s="670" t="n">
        <f t="shared" ref="P33:S33" si="19">P31/O31-1</f>
        <v>1.7657445556213958E-3</v>
      </c>
      <c r="Q33" s="670" t="n">
        <f t="shared" si="19"/>
        <v>8.2256169212688857E-3</v>
      </c>
      <c r="R33" s="670" t="n">
        <f t="shared" si="19"/>
        <v>9.3240093240094524E-3</v>
      </c>
      <c r="S33" s="731" t="n">
        <f t="shared" si="19"/>
        <v>0.13625866050808266</v>
      </c>
      <c r="T33" s="665"/>
      <c r="U33" s="681"/>
      <c r="V33" s="681"/>
      <c r="W33" s="681"/>
      <c r="X33" s="681"/>
      <c r="Y33" s="681"/>
      <c r="Z33" s="681"/>
      <c r="AA33" s="681"/>
      <c r="AB33" s="681"/>
      <c r="AC33" s="682"/>
    </row>
    <row r="36">
      <c r="P36" s="552"/>
      <c r="Q36" s="552"/>
    </row>
    <row r="37">
      <c r="B37" s="584" t="s">
        <v>399</v>
      </c>
      <c r="D37" s="650"/>
      <c r="E37" s="650"/>
      <c r="F37" s="650"/>
      <c r="G37" s="650"/>
      <c r="H37" s="650"/>
      <c r="I37" s="650"/>
      <c r="J37" s="650"/>
      <c r="K37" s="650"/>
      <c r="L37" s="650"/>
      <c r="M37" s="650"/>
      <c r="N37" s="650"/>
      <c r="O37" s="650"/>
      <c r="P37" s="650"/>
      <c r="Q37" s="650"/>
      <c r="R37" s="650"/>
      <c r="S37" s="650"/>
      <c r="T37" s="650"/>
      <c r="U37" s="650"/>
      <c r="V37" s="650"/>
      <c r="W37" s="650"/>
      <c r="X37" s="650"/>
      <c r="Y37" s="650"/>
      <c r="Z37" s="650"/>
      <c r="AA37" s="650"/>
      <c r="AB37" s="650"/>
      <c r="AC37" s="650"/>
    </row>
    <row r="38" ht="45.75" customHeight="1">
      <c r="B38" s="746" t="s">
        <v>527</v>
      </c>
      <c r="C38" s="746"/>
      <c r="D38" s="746"/>
      <c r="E38" s="746"/>
      <c r="F38" s="746"/>
      <c r="G38" s="746"/>
      <c r="H38" s="746"/>
      <c r="I38" s="746"/>
      <c r="J38" s="746"/>
      <c r="K38" s="746"/>
      <c r="L38" s="746"/>
      <c r="M38" s="746"/>
      <c r="N38" s="746"/>
      <c r="O38" s="746"/>
      <c r="P38" s="746"/>
      <c r="Q38" s="746"/>
      <c r="R38" s="746"/>
      <c r="S38" s="746"/>
      <c r="T38" s="746"/>
      <c r="U38" s="746"/>
      <c r="V38" s="746"/>
      <c r="W38" s="746"/>
      <c r="X38" s="746"/>
      <c r="Y38" s="746"/>
      <c r="Z38" s="746"/>
      <c r="AA38" s="746"/>
      <c r="AB38" s="746"/>
      <c r="AC38" s="746"/>
    </row>
    <row r="39" ht="14.85" customHeight="1">
      <c r="B39" s="239" t="s">
        <v>528</v>
      </c>
      <c r="C39" s="240"/>
      <c r="D39" s="247" t="s">
        <v>325</v>
      </c>
      <c r="E39" s="248"/>
      <c r="F39" s="248"/>
      <c r="G39" s="248"/>
      <c r="H39" s="248"/>
      <c r="I39" s="248"/>
      <c r="J39" s="248"/>
      <c r="K39" s="248"/>
      <c r="L39" s="248"/>
      <c r="M39" s="248"/>
      <c r="N39" s="248"/>
      <c r="O39" s="248"/>
      <c r="P39" s="248"/>
      <c r="Q39" s="332"/>
      <c r="R39" s="332"/>
      <c r="S39" s="332"/>
      <c r="T39" s="238"/>
      <c r="U39" s="251" t="s">
        <v>326</v>
      </c>
      <c r="V39" s="251"/>
      <c r="W39" s="251"/>
      <c r="X39" s="251"/>
      <c r="Y39" s="251"/>
      <c r="Z39" s="251"/>
      <c r="AA39" s="251"/>
      <c r="AB39" s="251"/>
      <c r="AC39" s="252"/>
    </row>
    <row r="40">
      <c r="B40" s="239"/>
      <c r="C40" s="240"/>
      <c r="D40" s="198" t="n">
        <v>2018</v>
      </c>
      <c r="E40" s="198" t="n">
        <v>2019</v>
      </c>
      <c r="F40" s="235"/>
      <c r="G40" s="235"/>
      <c r="H40" s="236"/>
      <c r="I40" s="198" t="n">
        <v>2020</v>
      </c>
      <c r="J40" s="235"/>
      <c r="K40" s="235"/>
      <c r="L40" s="235"/>
      <c r="M40" s="198" t="n">
        <v>2021</v>
      </c>
      <c r="N40" s="235"/>
      <c r="O40" s="235"/>
      <c r="P40" s="235"/>
      <c r="Q40" s="198" t="n">
        <v>2022</v>
      </c>
      <c r="R40" s="199"/>
      <c r="S40" s="199"/>
      <c r="T40" s="236"/>
      <c r="U40" s="241" t="n">
        <v>2023</v>
      </c>
      <c r="V40" s="242"/>
      <c r="W40" s="242"/>
      <c r="X40" s="242"/>
      <c r="Y40" s="244" t="n">
        <v>2024</v>
      </c>
      <c r="Z40" s="242"/>
      <c r="AA40" s="242"/>
      <c r="AB40" s="243"/>
      <c r="AC40" s="290" t="n">
        <v>2025</v>
      </c>
    </row>
    <row r="41">
      <c r="B41" s="319"/>
      <c r="C41" s="320"/>
      <c r="D41" s="204" t="s">
        <v>327</v>
      </c>
      <c r="E41" s="204" t="s">
        <v>328</v>
      </c>
      <c r="F41" s="217" t="s">
        <v>329</v>
      </c>
      <c r="G41" s="217" t="s">
        <v>238</v>
      </c>
      <c r="H41" s="200" t="s">
        <v>327</v>
      </c>
      <c r="I41" s="217" t="s">
        <v>328</v>
      </c>
      <c r="J41" s="217" t="s">
        <v>329</v>
      </c>
      <c r="K41" s="217" t="s">
        <v>238</v>
      </c>
      <c r="L41" s="217" t="s">
        <v>327</v>
      </c>
      <c r="M41" s="204" t="s">
        <v>328</v>
      </c>
      <c r="N41" s="217" t="s">
        <v>329</v>
      </c>
      <c r="O41" s="217" t="s">
        <v>238</v>
      </c>
      <c r="P41" s="217" t="s">
        <v>327</v>
      </c>
      <c r="Q41" s="204" t="s">
        <v>328</v>
      </c>
      <c r="R41" s="217" t="s">
        <v>329</v>
      </c>
      <c r="S41" s="217" t="s">
        <v>238</v>
      </c>
      <c r="T41" s="200" t="s">
        <v>327</v>
      </c>
      <c r="U41" s="350" t="s">
        <v>328</v>
      </c>
      <c r="V41" s="350" t="s">
        <v>329</v>
      </c>
      <c r="W41" s="350" t="s">
        <v>238</v>
      </c>
      <c r="X41" s="350" t="s">
        <v>327</v>
      </c>
      <c r="Y41" s="418" t="s">
        <v>328</v>
      </c>
      <c r="Z41" s="283" t="s">
        <v>329</v>
      </c>
      <c r="AA41" s="350" t="s">
        <v>238</v>
      </c>
      <c r="AB41" s="348" t="s">
        <v>327</v>
      </c>
      <c r="AC41" s="443" t="s">
        <v>328</v>
      </c>
    </row>
    <row r="42">
      <c r="B42" s="649" t="s">
        <v>1517</v>
      </c>
      <c r="D42" s="279"/>
      <c r="E42" s="280"/>
      <c r="F42" s="280"/>
      <c r="G42" s="280"/>
      <c r="H42" s="280"/>
      <c r="I42" s="654" t="n">
        <f>(I43-AVERAGE($E43:$H43))</f>
        <v>5.0234999999999914</v>
      </c>
      <c r="J42" s="654" t="n">
        <f t="shared" ref="J42:N42" si="20">(J43-AVERAGE($E43:$H43))</f>
        <v>45.406499999999987</v>
      </c>
      <c r="K42" s="654" t="n">
        <f t="shared" si="20"/>
        <v>50.178499999999993</v>
      </c>
      <c r="L42" s="654" t="n">
        <f t="shared" si="20"/>
        <v>60.014499999999991</v>
      </c>
      <c r="M42" s="654" t="n">
        <f t="shared" si="20"/>
        <v>86.04249999999999</v>
      </c>
      <c r="N42" s="654" t="n">
        <f t="shared" si="20"/>
        <v>100.69149999999999</v>
      </c>
      <c r="O42" s="654" t="n">
        <f t="shared" ref="O42:T42" si="21">(O43-AVERAGE($E43:$H43))</f>
        <v>95.460499999999996</v>
      </c>
      <c r="P42" s="654" t="n">
        <f t="shared" si="21"/>
        <v>100.72550000000001</v>
      </c>
      <c r="Q42" s="654" t="n">
        <f t="shared" si="21"/>
        <v>80.643499999999989</v>
      </c>
      <c r="R42" s="654" t="n">
        <f t="shared" si="21"/>
        <v>63.702499999999993</v>
      </c>
      <c r="S42" s="655" t="n">
        <f t="shared" si="21"/>
        <v>56.879499999999986</v>
      </c>
      <c r="T42" s="656" t="n">
        <f t="shared" si="21"/>
        <v>71.508499999999998</v>
      </c>
      <c r="U42" s="781" t="n">
        <f t="shared" ref="U42" si="22">T42*0.95</f>
        <v>67.933074999999988</v>
      </c>
      <c r="V42" s="781" t="n">
        <f>U42</f>
        <v>67.933074999999988</v>
      </c>
      <c r="W42" s="781" t="n">
        <f t="shared" ref="W42:AC42" si="23">V42</f>
        <v>67.933074999999988</v>
      </c>
      <c r="X42" s="781" t="n">
        <f t="shared" si="23"/>
        <v>67.933074999999988</v>
      </c>
      <c r="Y42" s="781" t="n">
        <f t="shared" si="23"/>
        <v>67.933074999999988</v>
      </c>
      <c r="Z42" s="781" t="n">
        <f t="shared" si="23"/>
        <v>67.933074999999988</v>
      </c>
      <c r="AA42" s="781" t="n">
        <f t="shared" si="23"/>
        <v>67.933074999999988</v>
      </c>
      <c r="AB42" s="781" t="n">
        <f t="shared" si="23"/>
        <v>67.933074999999988</v>
      </c>
      <c r="AC42" s="781" t="n">
        <f t="shared" si="23"/>
        <v>67.933074999999988</v>
      </c>
    </row>
    <row r="43">
      <c r="B43" s="649" t="s">
        <v>160</v>
      </c>
      <c r="C43" s="268" t="s">
        <v>529</v>
      </c>
      <c r="D43" s="311" t="n">
        <f>'Haver Pivoted'!GO66</f>
        <v>57.347000000000001</v>
      </c>
      <c r="E43" s="264" t="n">
        <f>'Haver Pivoted'!GP66</f>
        <v>56.009</v>
      </c>
      <c r="F43" s="264" t="n">
        <f>'Haver Pivoted'!GQ66</f>
        <v>54.273000000000003</v>
      </c>
      <c r="G43" s="264" t="n">
        <f>'Haver Pivoted'!GR66</f>
        <v>54.103999999999999</v>
      </c>
      <c r="H43" s="264" t="n">
        <f>'Haver Pivoted'!GS66</f>
        <v>54.46</v>
      </c>
      <c r="I43" s="264" t="n">
        <f>'Haver Pivoted'!GT66</f>
        <v>59.734999999999999</v>
      </c>
      <c r="J43" s="264" t="n">
        <f>'Haver Pivoted'!GU66</f>
        <v>100.11799999999999</v>
      </c>
      <c r="K43" s="264" t="n">
        <f>'Haver Pivoted'!GV66</f>
        <v>104.89</v>
      </c>
      <c r="L43" s="264" t="n">
        <f>'Haver Pivoted'!GW66</f>
        <v>114.726</v>
      </c>
      <c r="M43" s="264" t="n">
        <f>'Haver Pivoted'!GX66</f>
        <v>140.75399999999999</v>
      </c>
      <c r="N43" s="264" t="n">
        <f>'Haver Pivoted'!GY66</f>
        <v>155.40299999999999</v>
      </c>
      <c r="O43" s="264" t="n">
        <f>'Haver Pivoted'!GZ66</f>
        <v>150.172</v>
      </c>
      <c r="P43" s="264" t="n">
        <f>'Haver Pivoted'!HA66</f>
        <v>155.43700000000001</v>
      </c>
      <c r="Q43" s="264" t="n">
        <f>'Haver Pivoted'!HB66</f>
        <v>135.35499999999999</v>
      </c>
      <c r="R43" s="264" t="n">
        <f>'Haver Pivoted'!HC66</f>
        <v>118.414</v>
      </c>
      <c r="S43" s="217" t="n">
        <f>'Haver Pivoted'!HD66</f>
        <v>111.59099999999999</v>
      </c>
      <c r="T43" s="200" t="n">
        <f>'Haver Pivoted'!HE66</f>
        <v>126.22</v>
      </c>
      <c r="U43" s="350"/>
      <c r="V43" s="350"/>
      <c r="W43" s="350"/>
      <c r="X43" s="350"/>
      <c r="Y43" s="350"/>
      <c r="Z43" s="350"/>
      <c r="AA43" s="350"/>
      <c r="AB43" s="350"/>
      <c r="AC43" s="348"/>
    </row>
    <row r="44" ht="29.1" customHeight="1">
      <c r="B44" s="333" t="s">
        <v>530</v>
      </c>
      <c r="C44" s="334"/>
      <c r="D44" s="752"/>
      <c r="E44" s="642"/>
      <c r="F44" s="642"/>
      <c r="G44" s="642"/>
      <c r="H44" s="642"/>
      <c r="I44" s="642"/>
      <c r="J44" s="642" t="n">
        <f t="shared" ref="J44:T44" si="24">J43-$H43</f>
        <v>45.657999999999994</v>
      </c>
      <c r="K44" s="642" t="n">
        <f t="shared" si="24"/>
        <v>50.43</v>
      </c>
      <c r="L44" s="642" t="n">
        <f t="shared" si="24"/>
        <v>60.265999999999998</v>
      </c>
      <c r="M44" s="642" t="n">
        <f t="shared" si="24"/>
        <v>86.293999999999983</v>
      </c>
      <c r="N44" s="642" t="n">
        <f>N43-$H43</f>
        <v>100.94299999999998</v>
      </c>
      <c r="O44" s="642" t="n">
        <f>O43-$H43</f>
        <v>95.711999999999989</v>
      </c>
      <c r="P44" s="642" t="n">
        <f t="shared" si="24"/>
        <v>100.977</v>
      </c>
      <c r="Q44" s="642" t="n">
        <f t="shared" si="24"/>
        <v>80.894999999999982</v>
      </c>
      <c r="R44" s="642" t="n">
        <f t="shared" si="24"/>
        <v>63.954000000000001</v>
      </c>
      <c r="S44" s="730" t="n">
        <f t="shared" si="24"/>
        <v>57.130999999999993</v>
      </c>
      <c r="T44" s="728" t="n">
        <f t="shared" si="24"/>
        <v>71.759999999999991</v>
      </c>
      <c r="U44" s="304"/>
      <c r="V44" s="304"/>
      <c r="W44" s="304"/>
      <c r="X44" s="304"/>
      <c r="Y44" s="304"/>
      <c r="Z44" s="304"/>
      <c r="AA44" s="304"/>
      <c r="AB44" s="304"/>
      <c r="AC44" s="305"/>
    </row>
    <row r="45" ht="29.1" customHeight="1">
      <c r="B45" s="268"/>
      <c r="C45" s="268"/>
      <c r="D45" s="264"/>
      <c r="E45" s="264"/>
      <c r="F45" s="264"/>
      <c r="G45" s="264"/>
      <c r="H45" s="264"/>
      <c r="I45" s="264"/>
      <c r="J45" s="264"/>
      <c r="K45" s="264"/>
      <c r="L45" s="264"/>
      <c r="M45" s="264"/>
      <c r="N45" s="264"/>
      <c r="O45" s="264"/>
      <c r="P45" s="264"/>
      <c r="Q45" s="264"/>
      <c r="R45" s="264"/>
      <c r="S45" s="264"/>
      <c r="T45" s="264"/>
      <c r="U45" s="264"/>
      <c r="V45" s="264"/>
      <c r="W45" s="264"/>
      <c r="X45" s="264"/>
      <c r="Y45" s="264"/>
      <c r="Z45" s="264"/>
      <c r="AA45" s="264"/>
      <c r="AB45" s="264"/>
      <c r="AC45" s="264"/>
    </row>
    <row r="46" ht="29.1" customHeight="1">
      <c r="B46" s="268"/>
      <c r="C46" s="268"/>
      <c r="D46" s="264"/>
      <c r="E46" s="264"/>
      <c r="F46" s="264"/>
      <c r="G46" s="264"/>
      <c r="H46" s="264"/>
      <c r="I46" s="264"/>
      <c r="J46" s="264"/>
      <c r="K46" s="264"/>
      <c r="L46" s="264"/>
      <c r="M46" s="264"/>
      <c r="N46" s="264"/>
      <c r="O46" s="264"/>
      <c r="P46" s="264"/>
      <c r="Q46" s="264"/>
      <c r="R46" s="264"/>
      <c r="S46" s="264"/>
      <c r="T46" s="264"/>
      <c r="U46" s="264"/>
      <c r="V46" s="264"/>
      <c r="W46" s="264"/>
      <c r="X46" s="264"/>
      <c r="Y46" s="264"/>
      <c r="Z46" s="264"/>
      <c r="AA46" s="264"/>
      <c r="AB46" s="264"/>
      <c r="AC46" s="264"/>
    </row>
    <row r="47" ht="29.1" customHeight="1">
      <c r="B47" s="268"/>
      <c r="C47" s="268"/>
      <c r="D47" s="264"/>
      <c r="E47" s="264"/>
      <c r="F47" s="264"/>
      <c r="G47" s="264"/>
      <c r="H47" s="264"/>
      <c r="I47" s="264"/>
      <c r="J47" s="264"/>
      <c r="K47" s="264"/>
      <c r="L47" s="264"/>
      <c r="M47" s="264"/>
      <c r="N47" s="264"/>
      <c r="O47" s="264"/>
      <c r="P47" s="264"/>
      <c r="Q47" s="264"/>
      <c r="R47" s="264"/>
      <c r="S47" s="264"/>
      <c r="T47" s="264"/>
      <c r="U47" s="264"/>
      <c r="V47" s="264"/>
      <c r="W47" s="264"/>
      <c r="X47" s="264"/>
      <c r="Y47" s="264"/>
      <c r="Z47" s="264"/>
      <c r="AA47" s="264"/>
      <c r="AB47" s="264"/>
      <c r="AC47" s="264"/>
    </row>
    <row r="48" ht="35.85" customHeight="1"/>
    <row r="49">
      <c r="B49" s="584" t="s">
        <v>412</v>
      </c>
    </row>
    <row r="50">
      <c r="B50" s="747" t="s">
        <v>858</v>
      </c>
      <c r="C50" s="748"/>
      <c r="D50" s="247" t="s">
        <v>325</v>
      </c>
      <c r="E50" s="248"/>
      <c r="F50" s="248"/>
      <c r="G50" s="248"/>
      <c r="H50" s="248"/>
      <c r="I50" s="248"/>
      <c r="J50" s="248"/>
      <c r="K50" s="248"/>
      <c r="L50" s="248"/>
      <c r="M50" s="248"/>
      <c r="N50" s="248"/>
      <c r="O50" s="248"/>
      <c r="P50" s="248"/>
      <c r="Q50" s="332"/>
      <c r="R50" s="332"/>
      <c r="S50" s="332"/>
      <c r="T50" s="238"/>
      <c r="U50" s="251" t="s">
        <v>326</v>
      </c>
      <c r="V50" s="251"/>
      <c r="W50" s="251"/>
      <c r="X50" s="251"/>
      <c r="Y50" s="251"/>
      <c r="Z50" s="251"/>
      <c r="AA50" s="251"/>
      <c r="AB50" s="251"/>
      <c r="AC50" s="252"/>
    </row>
    <row r="51">
      <c r="B51" s="749"/>
      <c r="C51" s="750"/>
      <c r="D51" s="198" t="n">
        <v>2018</v>
      </c>
      <c r="E51" s="198" t="n">
        <v>2019</v>
      </c>
      <c r="F51" s="235"/>
      <c r="G51" s="235"/>
      <c r="H51" s="236"/>
      <c r="I51" s="198" t="n">
        <v>2020</v>
      </c>
      <c r="J51" s="235"/>
      <c r="K51" s="235"/>
      <c r="L51" s="235"/>
      <c r="M51" s="198" t="n">
        <v>2021</v>
      </c>
      <c r="N51" s="235"/>
      <c r="O51" s="235"/>
      <c r="P51" s="235"/>
      <c r="Q51" s="198" t="n">
        <v>2022</v>
      </c>
      <c r="R51" s="199"/>
      <c r="S51" s="199"/>
      <c r="T51" s="236"/>
      <c r="U51" s="241" t="n">
        <v>2023</v>
      </c>
      <c r="V51" s="242"/>
      <c r="W51" s="242"/>
      <c r="X51" s="242"/>
      <c r="Y51" s="244" t="n">
        <v>2024</v>
      </c>
      <c r="Z51" s="242"/>
      <c r="AA51" s="242"/>
      <c r="AB51" s="243"/>
      <c r="AC51" s="290" t="n">
        <v>2025</v>
      </c>
    </row>
    <row r="52">
      <c r="B52" s="749"/>
      <c r="C52" s="750"/>
      <c r="D52" s="204" t="s">
        <v>327</v>
      </c>
      <c r="E52" s="204" t="s">
        <v>328</v>
      </c>
      <c r="F52" s="217" t="s">
        <v>329</v>
      </c>
      <c r="G52" s="217" t="s">
        <v>238</v>
      </c>
      <c r="H52" s="200" t="s">
        <v>327</v>
      </c>
      <c r="I52" s="217" t="s">
        <v>328</v>
      </c>
      <c r="J52" s="217" t="s">
        <v>329</v>
      </c>
      <c r="K52" s="217" t="s">
        <v>238</v>
      </c>
      <c r="L52" s="217" t="s">
        <v>327</v>
      </c>
      <c r="M52" s="204" t="s">
        <v>328</v>
      </c>
      <c r="N52" s="217" t="s">
        <v>329</v>
      </c>
      <c r="O52" s="217" t="s">
        <v>238</v>
      </c>
      <c r="P52" s="217" t="s">
        <v>327</v>
      </c>
      <c r="Q52" s="204" t="s">
        <v>328</v>
      </c>
      <c r="R52" s="217" t="s">
        <v>329</v>
      </c>
      <c r="S52" s="217" t="s">
        <v>238</v>
      </c>
      <c r="T52" s="200" t="s">
        <v>327</v>
      </c>
      <c r="U52" s="350" t="s">
        <v>328</v>
      </c>
      <c r="V52" s="350" t="s">
        <v>329</v>
      </c>
      <c r="W52" s="350" t="s">
        <v>238</v>
      </c>
      <c r="X52" s="350" t="s">
        <v>327</v>
      </c>
      <c r="Y52" s="418" t="s">
        <v>328</v>
      </c>
      <c r="Z52" s="283" t="s">
        <v>329</v>
      </c>
      <c r="AA52" s="350" t="s">
        <v>238</v>
      </c>
      <c r="AB52" s="348" t="s">
        <v>327</v>
      </c>
      <c r="AC52" s="443" t="s">
        <v>328</v>
      </c>
    </row>
    <row r="53">
      <c r="B53" s="671" t="s">
        <v>516</v>
      </c>
      <c r="C53" s="551" t="s">
        <v>517</v>
      </c>
      <c r="D53" s="653" t="n">
        <f>'Haver Pivoted'!GO31</f>
        <v>2224.3000000000002</v>
      </c>
      <c r="E53" s="654" t="n">
        <f>'Haver Pivoted'!GP31</f>
        <v>2303.4</v>
      </c>
      <c r="F53" s="654" t="n">
        <f>'Haver Pivoted'!GQ31</f>
        <v>2319.4</v>
      </c>
      <c r="G53" s="654" t="n">
        <f>'Haver Pivoted'!GR31</f>
        <v>2333.8000000000002</v>
      </c>
      <c r="H53" s="654" t="n">
        <f>'Haver Pivoted'!GS31</f>
        <v>2346.4</v>
      </c>
      <c r="I53" s="654" t="n">
        <f>'Haver Pivoted'!GT31</f>
        <v>2407.5</v>
      </c>
      <c r="J53" s="654" t="n">
        <f>'Haver Pivoted'!GU31</f>
        <v>4698.7</v>
      </c>
      <c r="K53" s="654" t="n">
        <f>'Haver Pivoted'!GV31</f>
        <v>3492.4</v>
      </c>
      <c r="L53" s="654" t="n">
        <f>'Haver Pivoted'!GW31</f>
        <v>2881.6</v>
      </c>
      <c r="M53" s="654" t="n">
        <f>'Haver Pivoted'!GX31</f>
        <v>5094.8</v>
      </c>
      <c r="N53" s="654" t="n">
        <f>'Haver Pivoted'!GY31</f>
        <v>3395.6</v>
      </c>
      <c r="O53" s="654" t="n">
        <f>'Haver Pivoted'!GZ31</f>
        <v>3146.3</v>
      </c>
      <c r="P53" s="654" t="n">
        <f>'Haver Pivoted'!HA31</f>
        <v>2937.4</v>
      </c>
      <c r="Q53" s="654" t="n">
        <f>'Haver Pivoted'!HB31</f>
        <v>2863</v>
      </c>
      <c r="R53" s="654" t="n">
        <f>'Haver Pivoted'!HC31</f>
        <v>2846.5</v>
      </c>
      <c r="S53" s="655" t="n">
        <f>'Haver Pivoted'!HD31</f>
        <v>2840.1</v>
      </c>
      <c r="T53" s="656" t="n">
        <f>'Haver Pivoted'!HE31</f>
        <v>2882.9</v>
      </c>
      <c r="U53" s="780"/>
      <c r="V53" s="780"/>
      <c r="W53" s="780"/>
      <c r="X53" s="780"/>
      <c r="Y53" s="780"/>
      <c r="Z53" s="780"/>
      <c r="AA53" s="780"/>
      <c r="AB53" s="780"/>
      <c r="AC53" s="727"/>
    </row>
    <row r="54" ht="27.6" customHeight="1">
      <c r="B54" s="541" t="s">
        <v>854</v>
      </c>
      <c r="C54" s="268"/>
      <c r="D54" s="753" t="n">
        <f t="shared" ref="D54:T54" si="25">SUM(D14:D22)</f>
        <v>813.09999999999991</v>
      </c>
      <c r="E54" s="302" t="n">
        <f t="shared" si="25"/>
        <v>832</v>
      </c>
      <c r="F54" s="302" t="n">
        <f t="shared" si="25"/>
        <v>842.69999999999993</v>
      </c>
      <c r="G54" s="302" t="n">
        <f t="shared" si="25"/>
        <v>850.1</v>
      </c>
      <c r="H54" s="302" t="n">
        <f t="shared" si="25"/>
        <v>854</v>
      </c>
      <c r="I54" s="302" t="n">
        <f t="shared" si="25"/>
        <v>871.02350000000001</v>
      </c>
      <c r="J54" s="302" t="n">
        <f t="shared" si="25"/>
        <v>3187.1064999999999</v>
      </c>
      <c r="K54" s="302" t="n">
        <f t="shared" si="25"/>
        <v>1850.5785000000001</v>
      </c>
      <c r="L54" s="302" t="n">
        <f t="shared" si="25"/>
        <v>1300.1145000000001</v>
      </c>
      <c r="M54" s="302" t="n">
        <f t="shared" si="25"/>
        <v>3501.0425</v>
      </c>
      <c r="N54" s="302" t="n">
        <f t="shared" si="25"/>
        <v>1824.9133399999998</v>
      </c>
      <c r="O54" s="302" t="n">
        <f t="shared" si="25"/>
        <v>1573.4639933333328</v>
      </c>
      <c r="P54" s="302" t="n">
        <f t="shared" si="25"/>
        <v>1378.1348333333328</v>
      </c>
      <c r="Q54" s="302" t="n">
        <f t="shared" si="25"/>
        <v>1205.9195</v>
      </c>
      <c r="R54" s="302" t="n">
        <f t="shared" si="25"/>
        <v>1180.8785</v>
      </c>
      <c r="S54" s="771" t="n">
        <f t="shared" si="25"/>
        <v>1170.5554999999999</v>
      </c>
      <c r="T54" s="775" t="n">
        <f t="shared" si="25"/>
        <v>1164.1244999999999</v>
      </c>
      <c r="U54" s="779"/>
      <c r="V54" s="779"/>
      <c r="W54" s="779"/>
      <c r="X54" s="779"/>
      <c r="Y54" s="779"/>
      <c r="Z54" s="779"/>
      <c r="AA54" s="779"/>
      <c r="AB54" s="779"/>
      <c r="AC54" s="802"/>
    </row>
    <row r="55" ht="27.6" customHeight="1">
      <c r="B55" s="541" t="s">
        <v>855</v>
      </c>
      <c r="C55" s="268"/>
      <c r="D55" s="753" t="n">
        <f>D53-D54</f>
        <v>1411.2000000000003</v>
      </c>
      <c r="E55" s="302" t="n">
        <f t="shared" ref="E55:O55" si="26">E53-E54</f>
        <v>1471.4</v>
      </c>
      <c r="F55" s="302" t="n">
        <f t="shared" si="26"/>
        <v>1476.7000000000003</v>
      </c>
      <c r="G55" s="302" t="n">
        <f t="shared" si="26"/>
        <v>1483.7000000000003</v>
      </c>
      <c r="H55" s="302" t="n">
        <f t="shared" si="26"/>
        <v>1492.4</v>
      </c>
      <c r="I55" s="302" t="n">
        <f t="shared" si="26"/>
        <v>1536.4765</v>
      </c>
      <c r="J55" s="302" t="n">
        <f t="shared" si="26"/>
        <v>1511.5934999999999</v>
      </c>
      <c r="K55" s="302" t="n">
        <f t="shared" si="26"/>
        <v>1641.8215</v>
      </c>
      <c r="L55" s="302" t="n">
        <f t="shared" si="26"/>
        <v>1581.4854999999998</v>
      </c>
      <c r="M55" s="302" t="n">
        <f t="shared" si="26"/>
        <v>1593.7575000000002</v>
      </c>
      <c r="N55" s="302" t="n">
        <f t="shared" si="26"/>
        <v>1570.6866600000001</v>
      </c>
      <c r="O55" s="302" t="n">
        <f t="shared" si="26"/>
        <v>1572.8360066666673</v>
      </c>
      <c r="P55" s="302" t="n">
        <f>P53-P54</f>
        <v>1559.2651666666673</v>
      </c>
      <c r="Q55" s="302" t="n">
        <f>Q53-Q54</f>
        <v>1657.0805</v>
      </c>
      <c r="R55" s="302" t="n">
        <f>R53-R54</f>
        <v>1665.6215</v>
      </c>
      <c r="S55" s="771" t="n">
        <f>S53-S54</f>
        <v>1669.5445</v>
      </c>
      <c r="T55" s="775" t="n">
        <f>T53-T54</f>
        <v>1718.7755000000002</v>
      </c>
      <c r="U55" s="779"/>
      <c r="V55" s="779"/>
      <c r="W55" s="779"/>
      <c r="X55" s="779"/>
      <c r="Y55" s="779"/>
      <c r="Z55" s="779"/>
      <c r="AA55" s="779"/>
      <c r="AB55" s="779"/>
      <c r="AC55" s="802"/>
    </row>
    <row r="56" ht="24" customHeight="1">
      <c r="B56" s="649" t="s">
        <v>856</v>
      </c>
      <c r="C56" s="268"/>
      <c r="D56" s="753" t="n">
        <f t="shared" ref="D56:I56" si="27">D12-D14-D15-D21</f>
        <v>1411.2</v>
      </c>
      <c r="E56" s="302" t="n">
        <f t="shared" si="27"/>
        <v>1471.4</v>
      </c>
      <c r="F56" s="302" t="n">
        <f t="shared" si="27"/>
        <v>1476.7</v>
      </c>
      <c r="G56" s="302" t="n">
        <f t="shared" si="27"/>
        <v>1483.7</v>
      </c>
      <c r="H56" s="302" t="n">
        <f t="shared" si="27"/>
        <v>1492.4000000000003</v>
      </c>
      <c r="I56" s="302" t="n">
        <f t="shared" si="27"/>
        <v>1541.5000000000002</v>
      </c>
      <c r="J56" s="772" t="n">
        <f>I56+($H$56-$E$56)/3</f>
        <v>1548.5000000000002</v>
      </c>
      <c r="K56" s="772" t="n">
        <f>J56+($H$56-$E$56)/3</f>
        <v>1555.5000000000002</v>
      </c>
      <c r="L56" s="772" t="n">
        <f>K56+($H$56-$E$56)/3</f>
        <v>1562.5000000000002</v>
      </c>
      <c r="M56" s="773" t="n">
        <f>L56+($H$56-$E$56)/3 +(M57-L57)</f>
        <v>1586.9430000000002</v>
      </c>
      <c r="N56" s="772" t="n">
        <f>M56+($H$56-$E$56)/3</f>
        <v>1593.9430000000002</v>
      </c>
      <c r="O56" s="772" t="n">
        <f>N56+($H$56-$E$56)/3</f>
        <v>1600.9430000000002</v>
      </c>
      <c r="P56" s="772" t="n">
        <f>O56+($H$56-$E$56)/3</f>
        <v>1607.9430000000002</v>
      </c>
      <c r="Q56" s="773" t="n">
        <f>P56+($H$56-$E$56)/3 + 0.06*Q57</f>
        <v>1686.8657200000002</v>
      </c>
      <c r="R56" s="772" t="n">
        <f>Q56+($H$56-$E$56)/3</f>
        <v>1693.8657200000002</v>
      </c>
      <c r="S56" s="772" t="n">
        <f>R56+($H$56-$E$56)/3</f>
        <v>1700.8657200000002</v>
      </c>
      <c r="T56" s="803" t="n">
        <f>S56+($H$56-$E$56)/3</f>
        <v>1707.8657200000002</v>
      </c>
      <c r="U56" s="792" t="n">
        <f>T56+($H$56-$E$56)/3+0.087*U57</f>
        <v>1822.2249380000003</v>
      </c>
      <c r="V56" s="791" t="n">
        <f>U56+($H$56-$E$56)/3</f>
        <v>1829.2249380000003</v>
      </c>
      <c r="W56" s="791" t="n">
        <f>V56+($H$56-$E$56)/3</f>
        <v>1836.2249380000003</v>
      </c>
      <c r="X56" s="791" t="n">
        <f>W56+($H$56-$E$56)/3</f>
        <v>1843.2249380000003</v>
      </c>
      <c r="Y56" s="792" t="n">
        <f>X56+($H$56-$E$56)/3 + 0.03*Y57</f>
        <v>1888.2053580000004</v>
      </c>
      <c r="Z56" s="791" t="n">
        <f>Y56+($H$56-$E$56)/3</f>
        <v>1895.2053580000004</v>
      </c>
      <c r="AA56" s="791" t="n">
        <f>Z56+($H$56-$E$56)/3</f>
        <v>1902.2053580000004</v>
      </c>
      <c r="AB56" s="791" t="n">
        <f>AA56+($H$56-$E$56)/3</f>
        <v>1909.2053580000004</v>
      </c>
      <c r="AC56" s="793" t="n">
        <f>AB56+($H$56-$E$56)/3 + 0.02*AC57</f>
        <v>1942.1656380000004</v>
      </c>
    </row>
    <row r="57">
      <c r="B57" s="649" t="s">
        <v>525</v>
      </c>
      <c r="C57" s="268" t="s">
        <v>526</v>
      </c>
      <c r="D57" s="649" t="n">
        <f>'Haver Pivoted'!GO88/1000</f>
        <v>983.88599999999997</v>
      </c>
      <c r="E57" s="268" t="n">
        <f>'Haver Pivoted'!GP88/1000</f>
        <v>1019.2089999999999</v>
      </c>
      <c r="F57" s="268" t="n">
        <f>'Haver Pivoted'!GQ88/1000</f>
        <v>1026.6220000000001</v>
      </c>
      <c r="G57" s="268" t="n">
        <f>'Haver Pivoted'!GR88/1000</f>
        <v>1034.357</v>
      </c>
      <c r="H57" s="268" t="n">
        <f>'Haver Pivoted'!GS88/1000</f>
        <v>1042.7819999999999</v>
      </c>
      <c r="I57" s="268" t="n">
        <f>'Haver Pivoted'!GT88/1000</f>
        <v>1068.2280000000001</v>
      </c>
      <c r="J57" s="268" t="n">
        <f>'Haver Pivoted'!GU88/1000</f>
        <v>1074.912</v>
      </c>
      <c r="K57" s="268" t="n">
        <f>'Haver Pivoted'!GV88/1000</f>
        <v>1080.3399999999999</v>
      </c>
      <c r="L57" s="268" t="n">
        <f>'Haver Pivoted'!GW88/1000</f>
        <v>1088.2329999999999</v>
      </c>
      <c r="M57" s="268" t="n">
        <f>'Haver Pivoted'!GX88/1000</f>
        <v>1105.6759999999999</v>
      </c>
      <c r="N57" s="268" t="n">
        <f>'Haver Pivoted'!GY88/1000</f>
        <v>1109.3710000000001</v>
      </c>
      <c r="O57" s="268" t="n">
        <f>'Haver Pivoted'!GZ88/1000</f>
        <v>1116.8150000000001</v>
      </c>
      <c r="P57" s="268" t="n">
        <f>'Haver Pivoted'!HA88/1000</f>
        <v>1126.539</v>
      </c>
      <c r="Q57" s="268" t="n">
        <f>'Haver Pivoted'!HB88/1000</f>
        <v>1198.712</v>
      </c>
      <c r="R57" s="268" t="n">
        <f>'Haver Pivoted'!HC88/1000</f>
        <v>1206.8920000000001</v>
      </c>
      <c r="S57" s="763" t="n">
        <f>'Haver Pivoted'!HD88/1000</f>
        <v>1214.6369999999999</v>
      </c>
      <c r="T57" s="776" t="n">
        <f>'Haver Pivoted'!HE88/1000</f>
        <v>1226.0139999999999</v>
      </c>
      <c r="U57" s="779" t="n">
        <f t="shared" ref="U57:AC57" si="28">T57+8</f>
        <v>1234.0139999999999</v>
      </c>
      <c r="V57" s="779" t="n">
        <f t="shared" si="28"/>
        <v>1242.0139999999999</v>
      </c>
      <c r="W57" s="779" t="n">
        <f t="shared" si="28"/>
        <v>1250.0139999999999</v>
      </c>
      <c r="X57" s="779" t="n">
        <f t="shared" si="28"/>
        <v>1258.0139999999999</v>
      </c>
      <c r="Y57" s="779" t="n">
        <f t="shared" si="28"/>
        <v>1266.0139999999999</v>
      </c>
      <c r="Z57" s="779" t="n">
        <f t="shared" si="28"/>
        <v>1274.0139999999999</v>
      </c>
      <c r="AA57" s="779" t="n">
        <f t="shared" si="28"/>
        <v>1282.0139999999999</v>
      </c>
      <c r="AB57" s="779" t="n">
        <f t="shared" si="28"/>
        <v>1290.0139999999999</v>
      </c>
      <c r="AC57" s="802" t="n">
        <f t="shared" si="28"/>
        <v>1298.0139999999999</v>
      </c>
    </row>
    <row r="58" ht="69" customHeight="1">
      <c r="B58" s="587" t="s">
        <v>1514</v>
      </c>
      <c r="C58" s="334"/>
      <c r="D58" s="796" t="n">
        <f>D55-D56</f>
        <v>0</v>
      </c>
      <c r="E58" s="794" t="n">
        <f t="shared" ref="E58:O58" si="29">E55-E56</f>
        <v>0</v>
      </c>
      <c r="F58" s="794" t="n">
        <f t="shared" si="29"/>
        <v>0</v>
      </c>
      <c r="G58" s="794" t="n">
        <f t="shared" si="29"/>
        <v>0</v>
      </c>
      <c r="H58" s="794" t="n">
        <f t="shared" si="29"/>
        <v>0</v>
      </c>
      <c r="I58" s="794" t="n">
        <f t="shared" si="29"/>
        <v>-5.0235000000002401</v>
      </c>
      <c r="J58" s="794" t="n">
        <f t="shared" si="29"/>
        <v>-36.906500000000278</v>
      </c>
      <c r="K58" s="794" t="n">
        <f t="shared" si="29"/>
        <v>86.321499999999787</v>
      </c>
      <c r="L58" s="794" t="n">
        <f t="shared" si="29"/>
        <v>18.985499999999547</v>
      </c>
      <c r="M58" s="794" t="n">
        <f t="shared" si="29"/>
        <v>6.8144999999999527</v>
      </c>
      <c r="N58" s="794" t="n">
        <f t="shared" si="29"/>
        <v>-23.256340000000137</v>
      </c>
      <c r="O58" s="794" t="n">
        <f t="shared" si="29"/>
        <v>-28.106993333332866</v>
      </c>
      <c r="P58" s="794" t="n">
        <f>P55-P56</f>
        <v>-48.677833333332956</v>
      </c>
      <c r="Q58" s="794" t="n">
        <f>Q55-Q56</f>
        <v>-29.785220000000209</v>
      </c>
      <c r="R58" s="794" t="n">
        <f>R55-R56</f>
        <v>-28.244220000000269</v>
      </c>
      <c r="S58" s="774" t="n">
        <f>S55-S56</f>
        <v>-31.321220000000267</v>
      </c>
      <c r="T58" s="751" t="n">
        <f>T55-T56</f>
        <v>10.909779999999955</v>
      </c>
      <c r="U58" s="795" t="n">
        <f t="shared" ref="U58:AC58" si="30">T58</f>
        <v>10.909779999999955</v>
      </c>
      <c r="V58" s="795" t="n">
        <f t="shared" si="30"/>
        <v>10.909779999999955</v>
      </c>
      <c r="W58" s="795" t="n">
        <f t="shared" si="30"/>
        <v>10.909779999999955</v>
      </c>
      <c r="X58" s="795" t="n">
        <f t="shared" si="30"/>
        <v>10.909779999999955</v>
      </c>
      <c r="Y58" s="795" t="n">
        <f t="shared" si="30"/>
        <v>10.909779999999955</v>
      </c>
      <c r="Z58" s="795" t="n">
        <f t="shared" si="30"/>
        <v>10.909779999999955</v>
      </c>
      <c r="AA58" s="795" t="n">
        <f t="shared" si="30"/>
        <v>10.909779999999955</v>
      </c>
      <c r="AB58" s="795" t="n">
        <f t="shared" si="30"/>
        <v>10.909779999999955</v>
      </c>
      <c r="AC58" s="795" t="n">
        <f t="shared" si="30"/>
        <v>10.909779999999955</v>
      </c>
    </row>
    <row r="59" ht="69" customHeight="1">
      <c r="B59" s="540"/>
      <c r="C59" s="268"/>
      <c r="D59" s="302"/>
      <c r="E59" s="302"/>
      <c r="F59" s="302"/>
      <c r="G59" s="302"/>
      <c r="H59" s="302"/>
      <c r="I59" s="302"/>
      <c r="J59" s="302"/>
      <c r="K59" s="302"/>
      <c r="L59" s="302"/>
      <c r="M59" s="302"/>
      <c r="N59" s="302"/>
      <c r="O59" s="302"/>
      <c r="P59" s="302"/>
      <c r="Q59" s="302"/>
      <c r="R59" s="302"/>
      <c r="S59" s="302"/>
      <c r="T59" s="302"/>
      <c r="U59" s="302"/>
      <c r="V59" s="302"/>
      <c r="W59" s="302"/>
      <c r="X59" s="302"/>
      <c r="Y59" s="302"/>
      <c r="Z59" s="302"/>
      <c r="AA59" s="302"/>
      <c r="AB59" s="302"/>
      <c r="AC59" s="302"/>
    </row>
    <row r="60" ht="69" customHeight="1">
      <c r="B60" s="540"/>
      <c r="C60" s="268"/>
      <c r="D60" s="302"/>
      <c r="E60" s="302"/>
      <c r="F60" s="302"/>
      <c r="G60" s="302"/>
      <c r="H60" s="302"/>
      <c r="I60" s="302"/>
      <c r="J60" s="302"/>
      <c r="K60" s="302"/>
      <c r="L60" s="302"/>
      <c r="M60" s="302"/>
      <c r="N60" s="302"/>
      <c r="O60" s="302"/>
      <c r="P60" s="302"/>
      <c r="Q60" s="302"/>
      <c r="R60" s="302"/>
      <c r="S60" s="302"/>
      <c r="T60" s="302"/>
      <c r="U60" s="302"/>
      <c r="V60" s="302"/>
      <c r="W60" s="302"/>
      <c r="X60" s="302"/>
      <c r="Y60" s="302"/>
      <c r="Z60" s="302"/>
      <c r="AA60" s="302"/>
      <c r="AB60" s="302"/>
      <c r="AC60" s="302"/>
    </row>
    <row r="61" ht="69" customHeight="1">
      <c r="B61" s="540"/>
      <c r="C61" s="268"/>
      <c r="D61" s="302"/>
      <c r="E61" s="302"/>
      <c r="F61" s="302"/>
      <c r="G61" s="302"/>
      <c r="H61" s="302"/>
      <c r="I61" s="302"/>
      <c r="J61" s="302"/>
      <c r="K61" s="302"/>
      <c r="L61" s="302"/>
      <c r="M61" s="302"/>
      <c r="N61" s="302"/>
      <c r="O61" s="302"/>
      <c r="P61" s="302"/>
      <c r="Q61" s="302"/>
      <c r="R61" s="302"/>
      <c r="S61" s="302"/>
      <c r="T61" s="302"/>
      <c r="U61" s="302"/>
      <c r="V61" s="302"/>
      <c r="W61" s="302"/>
      <c r="X61" s="302"/>
      <c r="Y61" s="302"/>
      <c r="Z61" s="302"/>
      <c r="AA61" s="302"/>
      <c r="AB61" s="302"/>
      <c r="AC61" s="302"/>
    </row>
    <row r="62">
      <c r="B62" s="103" t="s">
        <v>1513</v>
      </c>
      <c r="D62" s="268"/>
      <c r="E62" s="268"/>
      <c r="F62" s="268"/>
      <c r="G62" s="268"/>
      <c r="H62" s="268"/>
      <c r="I62" s="268"/>
      <c r="J62" s="268"/>
      <c r="K62" s="268"/>
      <c r="L62" s="268"/>
      <c r="M62" s="302"/>
      <c r="N62" s="302"/>
      <c r="O62" s="302"/>
      <c r="P62" s="268"/>
    </row>
    <row r="63">
      <c r="B63" s="671" t="s">
        <v>862</v>
      </c>
      <c r="C63" s="786"/>
      <c r="D63" s="798" t="n">
        <v>2021</v>
      </c>
      <c r="E63" s="798" t="n">
        <v>2022</v>
      </c>
      <c r="F63" s="798" t="n">
        <v>2023</v>
      </c>
      <c r="G63" s="799" t="n">
        <v>2024</v>
      </c>
      <c r="R63" s="669"/>
    </row>
    <row r="64">
      <c r="B64" s="797" t="s">
        <v>863</v>
      </c>
      <c r="C64" s="806"/>
      <c r="D64" s="783" t="n">
        <v>3605.8330000000001</v>
      </c>
      <c r="E64" s="783" t="n">
        <v>2900</v>
      </c>
      <c r="F64" s="783" t="n">
        <f>E64*1.02</f>
        <v>2958</v>
      </c>
      <c r="G64" s="784" t="n">
        <f>F64*1.06</f>
        <v>3135.48</v>
      </c>
    </row>
    <row r="65">
      <c r="B65" s="797" t="s">
        <v>866</v>
      </c>
      <c r="C65" s="785"/>
      <c r="D65" s="758" t="n">
        <f>AVERAGE(Medicare!L10:O10)</f>
        <v>865</v>
      </c>
      <c r="E65" s="758" t="n">
        <f>AVERAGE(Medicare!P10:S10)</f>
        <v>910.02500000000009</v>
      </c>
      <c r="F65" s="758" t="n">
        <f>AVERAGE(Medicare!T10:W10)</f>
        <v>967.5423759338363</v>
      </c>
      <c r="G65" s="804" t="n">
        <f>AVERAGE(Medicare!X10:AA10)</f>
        <v>1055.1701282460017</v>
      </c>
    </row>
    <row r="66" ht="13.35" customHeight="1">
      <c r="B66" s="797" t="s">
        <v>864</v>
      </c>
      <c r="C66" s="785"/>
      <c r="D66" s="758" t="n">
        <f>D64-D65</f>
        <v>2740.8330000000001</v>
      </c>
      <c r="E66" s="758" t="n">
        <f t="shared" ref="E66:G66" si="31">E64-E65</f>
        <v>1989.9749999999999</v>
      </c>
      <c r="F66" s="758" t="n">
        <f t="shared" si="31"/>
        <v>1990.4576240661636</v>
      </c>
      <c r="G66" s="804" t="n">
        <f t="shared" si="31"/>
        <v>2080.3098717539983</v>
      </c>
    </row>
    <row r="67">
      <c r="B67" s="797" t="s">
        <v>867</v>
      </c>
      <c r="C67" s="785"/>
      <c r="D67" s="758" t="n">
        <f>AVERAGE(L12:O12)</f>
        <v>3629.5749999999998</v>
      </c>
      <c r="E67" s="758" t="n">
        <f>AVERAGE(P12:S12)</f>
        <v>2871.75</v>
      </c>
      <c r="F67" s="758" t="n">
        <f>AVERAGE(T12:W12)</f>
        <v>2938.7426373505027</v>
      </c>
      <c r="G67" s="804" t="n">
        <f>AVERAGE(X12:AA12)</f>
        <v>3084.278819579335</v>
      </c>
    </row>
    <row r="68">
      <c r="B68" s="797" t="s">
        <v>866</v>
      </c>
      <c r="C68" s="785"/>
      <c r="D68" s="758" t="n">
        <f>AVERAGE(Medicare!L10:O10)</f>
        <v>865</v>
      </c>
      <c r="E68" s="758" t="n">
        <f>AVERAGE(Medicare!P10:S10)</f>
        <v>910.02500000000009</v>
      </c>
      <c r="F68" s="758" t="n">
        <f>AVERAGE(Medicare!T10:W10)</f>
        <v>967.5423759338363</v>
      </c>
      <c r="G68" s="804" t="n">
        <f>AVERAGE(Medicare!X10:AA10)</f>
        <v>1055.1701282460017</v>
      </c>
    </row>
    <row r="69">
      <c r="B69" s="797" t="s">
        <v>585</v>
      </c>
      <c r="C69" s="785"/>
      <c r="D69" s="758" t="n">
        <f>AVERAGE(L25:O25)</f>
        <v>1586.0822500000002</v>
      </c>
      <c r="E69" s="758" t="n">
        <f>AVERAGE(P25:S25)</f>
        <v>1672.3850400000001</v>
      </c>
      <c r="F69" s="758" t="n">
        <f>AVERAGE(T25:W25)</f>
        <v>1798.8851335000002</v>
      </c>
      <c r="G69" s="804" t="n">
        <f>AVERAGE(X25:AA25)</f>
        <v>1882.2102530000002</v>
      </c>
    </row>
    <row r="70" ht="27.6" customHeight="1">
      <c r="B70" s="787" t="s">
        <v>865</v>
      </c>
      <c r="C70" s="333"/>
      <c r="D70" s="713"/>
      <c r="E70" s="800" t="n">
        <v>1.157</v>
      </c>
      <c r="F70" s="800" t="n">
        <v>1.0109999999999999</v>
      </c>
      <c r="G70" s="805" t="n">
        <v>1.0529999999999999</v>
      </c>
    </row>
    <row r="71">
      <c r="B71" s="268" t="s">
        <v>868</v>
      </c>
      <c r="D71" s="801" t="n">
        <f>D67-D64</f>
        <v>23.741999999999734</v>
      </c>
      <c r="E71" s="801" t="n">
        <f>E67-E64</f>
        <v>-28.25</v>
      </c>
      <c r="F71" s="801" t="n">
        <f>F67-F64</f>
        <v>-19.257362649497281</v>
      </c>
      <c r="G71" s="801" t="n">
        <f t="shared" ref="G71" si="32">G67-G64</f>
        <v>-51.201180420664969</v>
      </c>
    </row>
    <row r="73">
      <c r="B73" t="s">
        <v>863</v>
      </c>
      <c r="D73" t="n">
        <v>3605.8330000000001</v>
      </c>
      <c r="E73" t="n">
        <v>2832.5949999999998</v>
      </c>
      <c r="F73" t="n">
        <v>2833.72</v>
      </c>
      <c r="G73" t="n">
        <v>2976.7339999999999</v>
      </c>
    </row>
  </sheetData>
  <mergeCells count="32">
    <mergeCell ref="Y51:AB51"/>
    <mergeCell ref="B11:C11"/>
    <mergeCell ref="B38:AC38"/>
    <mergeCell ref="B39:C41"/>
    <mergeCell ref="E40:H40"/>
    <mergeCell ref="I40:L40"/>
    <mergeCell ref="B28:C28"/>
    <mergeCell ref="U40:X40"/>
    <mergeCell ref="Y40:AB40"/>
    <mergeCell ref="B50:C52"/>
    <mergeCell ref="E51:H51"/>
    <mergeCell ref="I51:L51"/>
    <mergeCell ref="U51:X51"/>
    <mergeCell ref="M40:P40"/>
    <mergeCell ref="M51:P51"/>
    <mergeCell ref="Q51:T51"/>
    <mergeCell ref="B1:AC1"/>
    <mergeCell ref="B2:AC6"/>
    <mergeCell ref="B8:C10"/>
    <mergeCell ref="E9:H9"/>
    <mergeCell ref="I9:L9"/>
    <mergeCell ref="U9:X9"/>
    <mergeCell ref="Y9:AB9"/>
    <mergeCell ref="M9:P9"/>
    <mergeCell ref="D8:T8"/>
    <mergeCell ref="U8:AC8"/>
    <mergeCell ref="Q9:T9"/>
    <mergeCell ref="D39:T39"/>
    <mergeCell ref="U39:AC39"/>
    <mergeCell ref="Q40:T40"/>
    <mergeCell ref="D50:T50"/>
    <mergeCell ref="U50:AC50"/>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37" zoomScale="89" zoomScaleNormal="89" workbookViewId="0">
      <selection activeCell="U12" sqref="U12"/>
    </sheetView>
  </sheetViews>
  <sheetFormatPr defaultRowHeight="15.0" baseColWidth="10"/>
  <cols>
    <col min="1" max="1" width="0" hidden="1" customWidth="1"/>
    <col min="2" max="2" width="0" hidden="1" customWidth="1"/>
    <col min="4" max="4" width="45.140625" hidden="0" customWidth="1"/>
    <col min="5" max="5" width="11.140625" hidden="0" customWidth="1"/>
    <col min="13" max="13" width="12.42578125" hidden="0" customWidth="1"/>
    <col min="14" max="14" width="13.42578125" hidden="0" customWidth="1"/>
    <col min="15" max="15" width="13.42578125" hidden="0" customWidth="1"/>
    <col min="16" max="16" width="11.140625" hidden="0" customWidth="1"/>
    <col min="19" max="19" width="12" hidden="0" customWidth="1"/>
  </cols>
  <sheetData>
    <row r="1">
      <c r="D1" s="233" t="s">
        <v>58</v>
      </c>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25" customHeight="1">
      <c r="D2" s="265" t="s">
        <v>986</v>
      </c>
      <c r="E2" s="265"/>
      <c r="F2" s="265"/>
      <c r="G2" s="265"/>
      <c r="H2" s="265"/>
      <c r="I2" s="265"/>
      <c r="J2" s="265"/>
      <c r="K2" s="265"/>
      <c r="L2" s="265"/>
      <c r="M2" s="265"/>
      <c r="N2" s="265"/>
      <c r="O2" s="265"/>
      <c r="P2" s="265"/>
      <c r="Q2" s="265"/>
      <c r="R2" s="265"/>
      <c r="S2" s="265"/>
      <c r="T2" s="265"/>
      <c r="U2" s="265"/>
      <c r="V2" s="265"/>
      <c r="W2" s="265"/>
      <c r="X2" s="265"/>
      <c r="Y2" s="265"/>
      <c r="Z2" s="265"/>
      <c r="AA2" s="265"/>
      <c r="AB2" s="265"/>
      <c r="AC2" s="265"/>
    </row>
    <row r="3" ht="84.75" customHeight="1">
      <c r="D3" s="265"/>
      <c r="E3" s="265"/>
      <c r="F3" s="265"/>
      <c r="G3" s="265"/>
      <c r="H3" s="265"/>
      <c r="I3" s="265"/>
      <c r="J3" s="265"/>
      <c r="K3" s="265"/>
      <c r="L3" s="265"/>
      <c r="M3" s="265"/>
      <c r="N3" s="265"/>
      <c r="O3" s="265"/>
      <c r="P3" s="265"/>
      <c r="Q3" s="265"/>
      <c r="R3" s="265"/>
      <c r="S3" s="265"/>
      <c r="T3" s="265"/>
      <c r="U3" s="265"/>
      <c r="V3" s="265"/>
      <c r="W3" s="265"/>
      <c r="X3" s="265"/>
      <c r="Y3" s="265"/>
      <c r="Z3" s="265"/>
      <c r="AA3" s="265"/>
      <c r="AB3" s="265"/>
      <c r="AC3" s="265"/>
    </row>
    <row r="4">
      <c r="D4" s="1012" t="s">
        <v>380</v>
      </c>
      <c r="S4" t="n">
        <f>SUM(P10:S10)/4</f>
        <v>2509.8999999999996</v>
      </c>
      <c r="W4" s="63" t="n">
        <f>SUM(T10:W10)/4</f>
        <v>2571.1886261689424</v>
      </c>
      <c r="X4" t="n">
        <f>W4/S4</f>
        <v>1.0244187522088302</v>
      </c>
    </row>
    <row r="5">
      <c r="D5" s="237" t="s">
        <v>453</v>
      </c>
      <c r="E5" s="238"/>
      <c r="F5" s="820" t="s">
        <v>325</v>
      </c>
      <c r="G5" s="821"/>
      <c r="H5" s="821"/>
      <c r="I5" s="821"/>
      <c r="J5" s="821"/>
      <c r="K5" s="821"/>
      <c r="L5" s="821"/>
      <c r="M5" s="821"/>
      <c r="N5" s="821"/>
      <c r="O5" s="821"/>
      <c r="P5" s="821"/>
      <c r="Q5" s="822"/>
      <c r="R5" s="822"/>
      <c r="S5" s="822"/>
      <c r="T5" s="748"/>
      <c r="U5" s="251" t="s">
        <v>326</v>
      </c>
      <c r="V5" s="251"/>
      <c r="W5" s="251"/>
      <c r="X5" s="251"/>
      <c r="Y5" s="251"/>
      <c r="Z5" s="251"/>
      <c r="AA5" s="251"/>
      <c r="AB5" s="251"/>
      <c r="AC5" s="252"/>
      <c r="AD5" s="970"/>
      <c r="AE5" s="970"/>
      <c r="AF5" s="970"/>
      <c r="AG5" s="970"/>
      <c r="AH5" s="970"/>
      <c r="AI5" s="970"/>
      <c r="AJ5" s="970"/>
      <c r="AK5" s="970"/>
      <c r="AL5" s="970"/>
      <c r="AM5" s="970"/>
      <c r="AN5" s="970"/>
      <c r="AO5" s="970"/>
      <c r="AP5" s="970"/>
      <c r="AQ5" s="970"/>
      <c r="AR5" s="970"/>
      <c r="AS5" s="970"/>
      <c r="AT5" s="970"/>
      <c r="AU5" s="970"/>
      <c r="AV5" s="970"/>
      <c r="AW5" s="970"/>
      <c r="AX5" s="970"/>
      <c r="AY5" s="970"/>
      <c r="AZ5" s="970"/>
      <c r="BA5" s="970"/>
      <c r="BB5" s="970"/>
      <c r="BC5" s="970"/>
      <c r="BD5" s="970"/>
    </row>
    <row r="6">
      <c r="D6" s="239"/>
      <c r="E6" s="491"/>
      <c r="F6" s="204" t="n">
        <v>2019</v>
      </c>
      <c r="G6" s="217"/>
      <c r="H6" s="200"/>
      <c r="I6" s="217" t="n">
        <v>2020</v>
      </c>
      <c r="J6" s="217"/>
      <c r="K6" s="217"/>
      <c r="L6" s="217"/>
      <c r="M6" s="198" t="n">
        <v>2021</v>
      </c>
      <c r="N6" s="235"/>
      <c r="O6" s="235"/>
      <c r="P6" s="235"/>
      <c r="Q6" s="198" t="n">
        <v>2022</v>
      </c>
      <c r="R6" s="199"/>
      <c r="S6" s="199"/>
      <c r="T6" s="236"/>
      <c r="U6" s="350" t="n">
        <v>2023</v>
      </c>
      <c r="V6" s="350"/>
      <c r="W6" s="350"/>
      <c r="X6" s="350"/>
      <c r="Y6" s="244" t="n">
        <v>2024</v>
      </c>
      <c r="Z6" s="242"/>
      <c r="AA6" s="242"/>
      <c r="AB6" s="242"/>
      <c r="AC6" s="290" t="n">
        <v>2025</v>
      </c>
      <c r="AD6" s="968"/>
      <c r="AE6" s="968"/>
      <c r="AF6" s="968"/>
      <c r="AG6" s="971"/>
      <c r="AH6" s="971"/>
      <c r="AI6" s="971"/>
      <c r="AJ6" s="971"/>
      <c r="AK6" s="971"/>
      <c r="AL6" s="971"/>
      <c r="AM6" s="971"/>
      <c r="AN6" s="971"/>
      <c r="AO6" s="971"/>
      <c r="AP6" s="971"/>
      <c r="AQ6" s="971"/>
      <c r="AR6" s="971"/>
      <c r="AS6" s="971"/>
      <c r="AT6" s="971"/>
      <c r="AU6" s="971"/>
      <c r="AV6" s="971"/>
      <c r="AW6" s="971"/>
      <c r="AX6" s="971"/>
      <c r="AY6" s="971"/>
      <c r="AZ6" s="971"/>
      <c r="BA6" s="971"/>
      <c r="BB6" s="971"/>
      <c r="BC6" s="971"/>
    </row>
    <row r="7">
      <c r="D7" s="319"/>
      <c r="E7" s="492"/>
      <c r="F7" s="204" t="s">
        <v>329</v>
      </c>
      <c r="G7" s="217" t="s">
        <v>238</v>
      </c>
      <c r="H7" s="200" t="s">
        <v>327</v>
      </c>
      <c r="I7" s="217" t="s">
        <v>328</v>
      </c>
      <c r="J7" s="217" t="s">
        <v>329</v>
      </c>
      <c r="K7" s="217" t="s">
        <v>238</v>
      </c>
      <c r="L7" s="217" t="s">
        <v>327</v>
      </c>
      <c r="M7" s="204" t="s">
        <v>328</v>
      </c>
      <c r="N7" s="217" t="s">
        <v>329</v>
      </c>
      <c r="O7" s="217" t="s">
        <v>238</v>
      </c>
      <c r="P7" s="217" t="s">
        <v>327</v>
      </c>
      <c r="Q7" s="204" t="s">
        <v>328</v>
      </c>
      <c r="R7" s="217" t="s">
        <v>329</v>
      </c>
      <c r="S7" s="217" t="s">
        <v>238</v>
      </c>
      <c r="T7" s="200" t="s">
        <v>327</v>
      </c>
      <c r="U7" s="350" t="s">
        <v>328</v>
      </c>
      <c r="V7" s="350" t="s">
        <v>329</v>
      </c>
      <c r="W7" s="350" t="s">
        <v>238</v>
      </c>
      <c r="X7" s="350" t="s">
        <v>327</v>
      </c>
      <c r="Y7" s="418" t="s">
        <v>328</v>
      </c>
      <c r="Z7" s="283" t="s">
        <v>329</v>
      </c>
      <c r="AA7" s="350" t="s">
        <v>238</v>
      </c>
      <c r="AB7" s="350" t="s">
        <v>327</v>
      </c>
      <c r="AC7" s="443" t="s">
        <v>328</v>
      </c>
      <c r="AD7" s="902"/>
      <c r="AE7" s="902"/>
      <c r="AF7" s="902"/>
      <c r="AG7" s="902"/>
      <c r="AH7" s="902"/>
      <c r="AI7" s="902"/>
      <c r="AJ7" s="902"/>
      <c r="AK7" s="902"/>
      <c r="AL7" s="902"/>
      <c r="AM7" s="902"/>
      <c r="AN7" s="902"/>
      <c r="AO7" s="902"/>
      <c r="AP7" s="902"/>
      <c r="AQ7" s="902"/>
      <c r="AR7" s="902"/>
      <c r="AS7" s="902"/>
      <c r="AT7" s="902"/>
      <c r="AU7" s="902"/>
      <c r="AV7" s="902"/>
      <c r="AW7" s="902"/>
      <c r="AX7" s="902"/>
      <c r="AY7" s="902"/>
      <c r="AZ7" s="902"/>
      <c r="BA7" s="902"/>
      <c r="BB7" s="902"/>
      <c r="BC7" s="902"/>
    </row>
    <row r="8">
      <c r="D8" s="427" t="s">
        <v>515</v>
      </c>
      <c r="E8" s="97"/>
      <c r="F8" s="894"/>
      <c r="G8" s="873"/>
      <c r="H8" s="873"/>
      <c r="I8" s="873"/>
      <c r="J8" s="873"/>
      <c r="K8" s="873"/>
      <c r="L8" s="873"/>
      <c r="M8" s="873"/>
      <c r="N8" s="873"/>
      <c r="O8" s="873"/>
      <c r="P8" s="873"/>
      <c r="Q8" s="873"/>
      <c r="R8" s="873"/>
      <c r="S8" s="873"/>
      <c r="T8" s="873"/>
      <c r="U8" s="882"/>
      <c r="V8" s="883"/>
      <c r="W8" s="883"/>
      <c r="X8" s="883"/>
      <c r="Y8" s="883"/>
      <c r="Z8" s="883"/>
      <c r="AA8" s="883"/>
      <c r="AB8" s="883"/>
      <c r="AC8" s="884"/>
      <c r="AD8" s="868"/>
      <c r="AE8" s="868"/>
      <c r="AF8" s="868"/>
      <c r="AG8" s="868"/>
      <c r="AH8" s="868"/>
      <c r="AI8" s="868"/>
      <c r="AJ8" s="868"/>
      <c r="AK8" s="868"/>
      <c r="AL8" s="868"/>
      <c r="AM8" s="868"/>
      <c r="AN8" s="868"/>
      <c r="AO8" s="868"/>
      <c r="AP8" s="868"/>
      <c r="AQ8" s="868"/>
      <c r="AR8" s="868"/>
      <c r="AS8" s="868"/>
      <c r="AT8" s="868"/>
      <c r="AU8" s="868"/>
      <c r="AV8" s="868"/>
      <c r="AW8" s="868"/>
      <c r="AX8" s="868"/>
      <c r="AY8" s="868"/>
      <c r="AZ8" s="868"/>
      <c r="BA8" s="868"/>
      <c r="BB8" s="868"/>
      <c r="BC8" s="868"/>
    </row>
    <row r="9" ht="14.85" customHeight="1">
      <c r="D9" s="567" t="s">
        <v>531</v>
      </c>
      <c r="E9" s="948"/>
      <c r="F9" s="1013" t="n">
        <f t="shared" ref="F9:P9" si="0">SUM(F10:F15)</f>
        <v>3266.5</v>
      </c>
      <c r="G9" s="874" t="n">
        <f t="shared" si="0"/>
        <v>3286.9</v>
      </c>
      <c r="H9" s="874" t="n">
        <f t="shared" si="0"/>
        <v>3332.3</v>
      </c>
      <c r="I9" s="874" t="n">
        <f t="shared" si="0"/>
        <v>3393.2999999999997</v>
      </c>
      <c r="J9" s="874" t="n">
        <f t="shared" si="0"/>
        <v>3128.1</v>
      </c>
      <c r="K9" s="874" t="n">
        <f t="shared" si="0"/>
        <v>3303.4</v>
      </c>
      <c r="L9" s="874" t="n">
        <f t="shared" si="0"/>
        <v>3457.8</v>
      </c>
      <c r="M9" s="874" t="n">
        <f>SUM(M10:M15)</f>
        <v>3596.7999999999997</v>
      </c>
      <c r="N9" s="874" t="n">
        <f t="shared" si="0"/>
        <v>3753.5</v>
      </c>
      <c r="O9" s="874" t="n">
        <f t="shared" si="0"/>
        <v>3871.9000000000005</v>
      </c>
      <c r="P9" s="874" t="n">
        <f t="shared" si="0"/>
        <v>4000.8999999999996</v>
      </c>
      <c r="Q9" s="874" t="n">
        <f t="shared" ref="Q9:S9" si="1">SUM(Q10:Q15)</f>
        <v>4383.5999999999995</v>
      </c>
      <c r="R9" s="874" t="n">
        <f t="shared" si="1"/>
        <v>4444.7999999999993</v>
      </c>
      <c r="S9" s="874" t="n">
        <f t="shared" si="1"/>
        <v>4522.2</v>
      </c>
      <c r="T9" s="874" t="n">
        <f t="shared" ref="T9:AC9" si="2">SUM(T10,T13,T15)</f>
        <v>4546</v>
      </c>
      <c r="U9" s="885" t="n">
        <f t="shared" si="2"/>
        <v>4484.8338396206082</v>
      </c>
      <c r="V9" s="878" t="n">
        <f t="shared" si="2"/>
        <v>4475.1256243972575</v>
      </c>
      <c r="W9" s="878" t="n">
        <f t="shared" si="2"/>
        <v>4465.8739335289974</v>
      </c>
      <c r="X9" s="878" t="n">
        <f t="shared" si="2"/>
        <v>4478.3368458791647</v>
      </c>
      <c r="Y9" s="878" t="n">
        <f t="shared" si="2"/>
        <v>4486.1153485047389</v>
      </c>
      <c r="Z9" s="878" t="n">
        <f t="shared" si="2"/>
        <v>4494.2116295943742</v>
      </c>
      <c r="AA9" s="878" t="n">
        <f t="shared" si="2"/>
        <v>4502.6279087443791</v>
      </c>
      <c r="AB9" s="878" t="n">
        <f t="shared" si="2"/>
        <v>4532.842930779605</v>
      </c>
      <c r="AC9" s="869" t="n">
        <f t="shared" si="2"/>
        <v>4563.3094931572341</v>
      </c>
      <c r="AD9" s="975"/>
      <c r="AF9" s="856"/>
      <c r="AG9" s="856"/>
      <c r="AH9" s="856"/>
      <c r="AI9" s="856"/>
      <c r="AJ9" s="856"/>
      <c r="AK9" s="856"/>
      <c r="AL9" s="856"/>
      <c r="AM9" s="856"/>
      <c r="AN9" s="856"/>
      <c r="AO9" s="856"/>
      <c r="AU9" s="975"/>
      <c r="AV9" s="975"/>
      <c r="AW9" s="975"/>
      <c r="AX9" s="975"/>
      <c r="AY9" s="975"/>
      <c r="AZ9" s="975"/>
      <c r="BA9" s="975"/>
      <c r="BB9" s="975"/>
      <c r="BC9" s="975"/>
    </row>
    <row r="10">
      <c r="D10" s="574" t="s">
        <v>532</v>
      </c>
      <c r="E10" s="80" t="s">
        <v>115</v>
      </c>
      <c r="F10" s="865" t="n">
        <f>'Haver Pivoted'!GQ27</f>
        <v>1692.6</v>
      </c>
      <c r="G10" s="866" t="n">
        <f>'Haver Pivoted'!GR27</f>
        <v>1700.6</v>
      </c>
      <c r="H10" s="866" t="n">
        <f>'Haver Pivoted'!GS27</f>
        <v>1726.4</v>
      </c>
      <c r="I10" s="866" t="n">
        <f>'Haver Pivoted'!GT27</f>
        <v>1751.6</v>
      </c>
      <c r="J10" s="866" t="n">
        <f>'Haver Pivoted'!GU27</f>
        <v>1610.2</v>
      </c>
      <c r="K10" s="866" t="n">
        <f>'Haver Pivoted'!GV27</f>
        <v>1722.1</v>
      </c>
      <c r="L10" s="866" t="n">
        <f>'Haver Pivoted'!GW27</f>
        <v>1837.8</v>
      </c>
      <c r="M10" s="866" t="n">
        <f>'Haver Pivoted'!GX27</f>
        <v>1965.4</v>
      </c>
      <c r="N10" s="866" t="n">
        <f>'Haver Pivoted'!GY27</f>
        <v>2071.9</v>
      </c>
      <c r="O10" s="866" t="n">
        <f>'Haver Pivoted'!GZ27</f>
        <v>2158.8000000000002</v>
      </c>
      <c r="P10" s="866" t="n">
        <f>'Haver Pivoted'!HA27</f>
        <v>2235.1999999999998</v>
      </c>
      <c r="Q10" s="866" t="n">
        <f>'Haver Pivoted'!HB27</f>
        <v>2564.1</v>
      </c>
      <c r="R10" s="866" t="n">
        <f>'Haver Pivoted'!HC27</f>
        <v>2598.6</v>
      </c>
      <c r="S10" s="866" t="n">
        <f>'Haver Pivoted'!HD27</f>
        <v>2641.7</v>
      </c>
      <c r="T10" s="866" t="n">
        <f>'Haver Pivoted'!HE27</f>
        <v>2650.4</v>
      </c>
      <c r="U10" s="886" t="n">
        <f t="shared" ref="U10:AC10" si="3">SUM(U11:U12)</f>
        <v>2571.8993364990092</v>
      </c>
      <c r="V10" s="876" t="n">
        <f t="shared" si="3"/>
        <v>2544.689060992564</v>
      </c>
      <c r="W10" s="876" t="n">
        <f t="shared" si="3"/>
        <v>2517.7661071841958</v>
      </c>
      <c r="X10" s="876" t="n">
        <f t="shared" si="3"/>
        <v>2508.7258210615078</v>
      </c>
      <c r="Y10" s="876" t="n">
        <f t="shared" si="3"/>
        <v>2494.7636752126427</v>
      </c>
      <c r="Z10" s="876" t="n">
        <f t="shared" si="3"/>
        <v>2480.8792347531307</v>
      </c>
      <c r="AA10" s="876" t="n">
        <f t="shared" si="3"/>
        <v>2467.0720672188213</v>
      </c>
      <c r="AB10" s="876" t="n">
        <f t="shared" si="3"/>
        <v>2477.9809534610226</v>
      </c>
      <c r="AC10" s="949" t="n">
        <f t="shared" si="3"/>
        <v>2488.9380765588176</v>
      </c>
      <c r="AD10" s="868"/>
      <c r="AF10" s="856"/>
      <c r="AG10" s="856"/>
      <c r="AH10" s="856"/>
      <c r="AI10" s="856"/>
      <c r="AJ10" s="856"/>
      <c r="AK10" s="856"/>
      <c r="AL10" s="856"/>
      <c r="AM10" s="856"/>
      <c r="AN10" s="856"/>
      <c r="AO10" s="856"/>
      <c r="AU10" s="868"/>
      <c r="AV10" s="868"/>
      <c r="AW10" s="868"/>
      <c r="AX10" s="868"/>
      <c r="AY10" s="868"/>
      <c r="AZ10" s="868"/>
      <c r="BA10" s="868"/>
      <c r="BB10" s="868"/>
      <c r="BC10" s="868"/>
    </row>
    <row r="11" ht="15.6" customHeight="1">
      <c r="D11" s="574" t="s">
        <v>1457</v>
      </c>
      <c r="E11" s="80"/>
      <c r="F11" s="865"/>
      <c r="G11" s="866"/>
      <c r="H11" s="866"/>
      <c r="I11" s="866"/>
      <c r="J11" s="866"/>
      <c r="K11" s="866"/>
      <c r="L11" s="866"/>
      <c r="M11" s="866"/>
      <c r="N11" s="866"/>
      <c r="O11" s="866"/>
      <c r="P11" s="866"/>
      <c r="Q11" s="866"/>
      <c r="R11" s="866"/>
      <c r="S11" s="857"/>
      <c r="T11" s="857" t="n">
        <f>T10-T12</f>
        <v>2604.4</v>
      </c>
      <c r="U11" s="886" t="n">
        <f>T11*(1+$J41)^0.25</f>
        <v>2576.8993364990092</v>
      </c>
      <c r="V11" s="876" t="n">
        <f>U11*(1+$J41)^0.25</f>
        <v>2549.689060992564</v>
      </c>
      <c r="W11" s="876" t="n">
        <f>V11*(1+$J41)^0.25</f>
        <v>2522.7661071841958</v>
      </c>
      <c r="X11" s="876" t="n">
        <f>W11*(1+$K41)^0.25</f>
        <v>2508.7258210615078</v>
      </c>
      <c r="Y11" s="876" t="n">
        <f>X11*(1+$K41)^0.25</f>
        <v>2494.7636752126427</v>
      </c>
      <c r="Z11" s="876" t="n">
        <f>Y11*(1+$K41)^0.25</f>
        <v>2480.8792347531307</v>
      </c>
      <c r="AA11" s="876" t="n">
        <f>Z11*(1+$K41)^0.25</f>
        <v>2467.0720672188213</v>
      </c>
      <c r="AB11" s="876" t="n">
        <f>AA11*(1+$L41)^0.25</f>
        <v>2477.9809534610226</v>
      </c>
      <c r="AC11" s="949" t="n">
        <f>AB11*(1+$L41)^0.25</f>
        <v>2488.9380765588176</v>
      </c>
      <c r="AD11" s="868"/>
      <c r="AF11" s="856"/>
      <c r="AG11" s="856"/>
      <c r="AH11" s="856"/>
      <c r="AI11" s="856"/>
      <c r="AJ11" s="856"/>
      <c r="AK11" s="856"/>
      <c r="AL11" s="856"/>
      <c r="AM11" s="856"/>
      <c r="AN11" s="856"/>
      <c r="AO11" s="856"/>
      <c r="AU11" s="868"/>
      <c r="AV11" s="868"/>
      <c r="AW11" s="868"/>
      <c r="AX11" s="868"/>
      <c r="AY11" s="868"/>
      <c r="AZ11" s="868"/>
      <c r="BA11" s="868"/>
      <c r="BB11" s="868"/>
      <c r="BC11" s="868"/>
    </row>
    <row r="12">
      <c r="D12" s="961" t="s">
        <v>1918</v>
      </c>
      <c r="E12" s="962"/>
      <c r="F12" s="865"/>
      <c r="G12" s="866"/>
      <c r="H12" s="866"/>
      <c r="I12" s="866"/>
      <c r="J12" s="866"/>
      <c r="K12" s="866"/>
      <c r="L12" s="866"/>
      <c r="M12" s="866"/>
      <c r="N12" s="866"/>
      <c r="O12" s="866"/>
      <c r="P12" s="866"/>
      <c r="Q12" s="866"/>
      <c r="R12" s="866"/>
      <c r="S12" s="857"/>
      <c r="T12" s="963" t="n">
        <v>46</v>
      </c>
      <c r="U12" s="886" t="n">
        <v>-5</v>
      </c>
      <c r="V12" s="876" t="n">
        <v>-5</v>
      </c>
      <c r="W12" s="876" t="n">
        <v>-5</v>
      </c>
      <c r="X12" s="876"/>
      <c r="Y12" s="876"/>
      <c r="Z12" s="876"/>
      <c r="AA12" s="876"/>
      <c r="AB12" s="876"/>
      <c r="AC12" s="949"/>
      <c r="AD12" s="868"/>
      <c r="AF12" s="856"/>
      <c r="AG12" s="856"/>
      <c r="AH12" s="856"/>
      <c r="AI12" s="856"/>
      <c r="AJ12" s="856"/>
      <c r="AK12" s="856"/>
      <c r="AL12" s="856"/>
      <c r="AM12" s="856"/>
      <c r="AN12" s="856"/>
      <c r="AO12" s="856"/>
      <c r="AU12" s="868"/>
      <c r="AV12" s="868"/>
      <c r="AW12" s="868"/>
      <c r="AX12" s="868"/>
      <c r="AY12" s="868"/>
      <c r="AZ12" s="868"/>
      <c r="BA12" s="868"/>
      <c r="BB12" s="868"/>
      <c r="BC12" s="868"/>
    </row>
    <row r="13">
      <c r="D13" s="950" t="s">
        <v>533</v>
      </c>
      <c r="E13" s="964" t="s">
        <v>121</v>
      </c>
      <c r="F13" s="865" t="n">
        <f>'Haver Pivoted'!GQ30</f>
        <v>1402.6</v>
      </c>
      <c r="G13" s="866" t="n">
        <f>'Haver Pivoted'!GR30</f>
        <v>1410</v>
      </c>
      <c r="H13" s="866" t="n">
        <f>'Haver Pivoted'!GS30</f>
        <v>1429</v>
      </c>
      <c r="I13" s="866" t="n">
        <f>'Haver Pivoted'!GT30</f>
        <v>1455.1</v>
      </c>
      <c r="J13" s="866" t="n">
        <f>'Haver Pivoted'!GU30</f>
        <v>1385.3</v>
      </c>
      <c r="K13" s="866" t="n">
        <f>'Haver Pivoted'!GV30</f>
        <v>1432.2</v>
      </c>
      <c r="L13" s="866" t="n">
        <f>'Haver Pivoted'!GW30</f>
        <v>1465</v>
      </c>
      <c r="M13" s="866" t="n">
        <f>'Haver Pivoted'!GX30</f>
        <v>1474.8</v>
      </c>
      <c r="N13" s="866" t="n">
        <f>'Haver Pivoted'!GY30</f>
        <v>1504.3</v>
      </c>
      <c r="O13" s="866" t="n">
        <f>'Haver Pivoted'!GZ30</f>
        <v>1536.3</v>
      </c>
      <c r="P13" s="866" t="n">
        <f>'Haver Pivoted'!HA30</f>
        <v>1578.1</v>
      </c>
      <c r="Q13" s="866" t="n">
        <f>'Haver Pivoted'!HB30</f>
        <v>1617.1</v>
      </c>
      <c r="R13" s="866" t="n">
        <f>'Haver Pivoted'!HC30</f>
        <v>1636.8</v>
      </c>
      <c r="S13" s="875" t="n">
        <f>'Haver Pivoted'!HD30</f>
        <v>1677.7</v>
      </c>
      <c r="T13" s="875" t="n">
        <f>'Haver Pivoted'!HE30</f>
        <v>1703.1</v>
      </c>
      <c r="U13" s="886" t="n">
        <f>T13*(1+$J42)^0.25</f>
        <v>1719.9245648797018</v>
      </c>
      <c r="V13" s="876" t="n">
        <f>U13*(1+$J42)^0.25</f>
        <v>1736.9153360792859</v>
      </c>
      <c r="W13" s="876" t="n">
        <f>V13*(1+$J42)^0.25</f>
        <v>1754.0739555158516</v>
      </c>
      <c r="X13" s="876" t="n">
        <f>W13*(1+$K42)^0.25</f>
        <v>1773.5661717250646</v>
      </c>
      <c r="Y13" s="876" t="n">
        <f>X13*(1+$K42)^0.25</f>
        <v>1793.2749959578741</v>
      </c>
      <c r="Z13" s="876" t="n">
        <f>Y13*(1+$K42)^0.25</f>
        <v>1813.2028352795101</v>
      </c>
      <c r="AA13" s="876" t="n">
        <f>Z13*(1+$K42)^0.25</f>
        <v>1833.3521235038095</v>
      </c>
      <c r="AB13" s="876" t="n">
        <f>AA13*(1+$L42)^0.25</f>
        <v>1852.6582592968339</v>
      </c>
      <c r="AC13" s="949" t="n">
        <f>AB13*(1+$L42)^0.25</f>
        <v>1872.167698576668</v>
      </c>
      <c r="AD13" s="868"/>
      <c r="AF13" s="856"/>
      <c r="AG13" s="856"/>
      <c r="AH13" s="856"/>
      <c r="AI13" s="856"/>
      <c r="AJ13" s="856"/>
      <c r="AK13" s="856"/>
      <c r="AL13" s="856"/>
      <c r="AM13" s="856"/>
      <c r="AN13" s="856"/>
      <c r="AO13" s="856"/>
      <c r="AU13" s="868"/>
      <c r="AV13" s="868"/>
      <c r="AW13" s="868"/>
      <c r="AX13" s="868"/>
      <c r="AY13" s="868"/>
      <c r="AZ13" s="868"/>
      <c r="BA13" s="868"/>
      <c r="BB13" s="868"/>
      <c r="BC13" s="868"/>
    </row>
    <row r="14">
      <c r="D14" s="574" t="s">
        <v>1828</v>
      </c>
      <c r="E14" s="77"/>
      <c r="F14" s="865"/>
      <c r="G14" s="866"/>
      <c r="H14" s="866"/>
      <c r="I14" s="866"/>
      <c r="J14" s="866"/>
      <c r="K14" s="866"/>
      <c r="L14" s="866"/>
      <c r="M14" s="866"/>
      <c r="N14" s="866"/>
      <c r="O14" s="866"/>
      <c r="P14" s="866"/>
      <c r="Q14" s="866"/>
      <c r="R14" s="866"/>
      <c r="S14" s="875"/>
      <c r="T14" s="857"/>
      <c r="U14" s="886"/>
      <c r="V14" s="876"/>
      <c r="W14" s="876"/>
      <c r="X14" s="876"/>
      <c r="Y14" s="876"/>
      <c r="Z14" s="876"/>
      <c r="AA14" s="876"/>
      <c r="AB14" s="876"/>
      <c r="AC14" s="949"/>
      <c r="AD14" s="868"/>
      <c r="AF14" s="856"/>
      <c r="AG14" s="856"/>
      <c r="AH14" s="856"/>
      <c r="AI14" s="856"/>
      <c r="AJ14" s="856"/>
      <c r="AK14" s="856"/>
      <c r="AL14" s="856"/>
      <c r="AM14" s="856"/>
      <c r="AN14" s="856"/>
      <c r="AO14" s="856"/>
      <c r="AU14" s="868"/>
      <c r="AV14" s="868"/>
      <c r="AW14" s="868"/>
      <c r="AX14" s="868"/>
      <c r="AY14" s="868"/>
      <c r="AZ14" s="868"/>
      <c r="BA14" s="868"/>
      <c r="BB14" s="868"/>
      <c r="BC14" s="868"/>
    </row>
    <row r="15">
      <c r="D15" s="574" t="s">
        <v>534</v>
      </c>
      <c r="E15" s="80" t="s">
        <v>117</v>
      </c>
      <c r="F15" s="865" t="n">
        <f>'Haver Pivoted'!GQ28</f>
        <v>171.3</v>
      </c>
      <c r="G15" s="866" t="n">
        <f>'Haver Pivoted'!GR28</f>
        <v>176.3</v>
      </c>
      <c r="H15" s="866" t="n">
        <f>'Haver Pivoted'!GS28</f>
        <v>176.9</v>
      </c>
      <c r="I15" s="866" t="n">
        <f>'Haver Pivoted'!GT28</f>
        <v>186.6</v>
      </c>
      <c r="J15" s="866" t="n">
        <f>'Haver Pivoted'!GU28</f>
        <v>132.6</v>
      </c>
      <c r="K15" s="866" t="n">
        <f>'Haver Pivoted'!GV28</f>
        <v>149.1</v>
      </c>
      <c r="L15" s="866" t="n">
        <f>'Haver Pivoted'!GW28</f>
        <v>155</v>
      </c>
      <c r="M15" s="866" t="n">
        <f>'Haver Pivoted'!GX28</f>
        <v>156.6</v>
      </c>
      <c r="N15" s="866" t="n">
        <f>'Haver Pivoted'!GY28</f>
        <v>177.3</v>
      </c>
      <c r="O15" s="866" t="n">
        <f>'Haver Pivoted'!GZ28</f>
        <v>176.8</v>
      </c>
      <c r="P15" s="866" t="n">
        <f>'Haver Pivoted'!HA28</f>
        <v>187.6</v>
      </c>
      <c r="Q15" s="866" t="n">
        <f>'Haver Pivoted'!HB28</f>
        <v>202.4</v>
      </c>
      <c r="R15" s="866" t="n">
        <f>'Haver Pivoted'!HC28</f>
        <v>209.4</v>
      </c>
      <c r="S15" s="866" t="n">
        <f>'Haver Pivoted'!HD28</f>
        <v>202.8</v>
      </c>
      <c r="T15" s="866" t="n">
        <f>'Haver Pivoted'!HE28</f>
        <v>192.5</v>
      </c>
      <c r="U15" s="886" t="n">
        <f t="shared" ref="U15:AC15" si="4">SUM(U16:U17)</f>
        <v>193.00993824189698</v>
      </c>
      <c r="V15" s="876" t="n">
        <f t="shared" si="4"/>
        <v>193.52122732540718</v>
      </c>
      <c r="W15" s="876" t="n">
        <f t="shared" si="4"/>
        <v>194.03387082895034</v>
      </c>
      <c r="X15" s="876" t="n">
        <f t="shared" si="4"/>
        <v>196.04485309259218</v>
      </c>
      <c r="Y15" s="876" t="n">
        <f t="shared" si="4"/>
        <v>198.0766773342217</v>
      </c>
      <c r="Z15" s="876" t="n">
        <f t="shared" si="4"/>
        <v>200.12955956173431</v>
      </c>
      <c r="AA15" s="876" t="n">
        <f t="shared" si="4"/>
        <v>202.20371802174816</v>
      </c>
      <c r="AB15" s="876" t="n">
        <f t="shared" si="4"/>
        <v>202.20371802174816</v>
      </c>
      <c r="AC15" s="949" t="n">
        <f t="shared" si="4"/>
        <v>202.20371802174816</v>
      </c>
      <c r="AD15" s="868"/>
      <c r="AF15" s="856"/>
      <c r="AG15" s="856"/>
      <c r="AH15" s="856"/>
      <c r="AI15" s="856"/>
      <c r="AJ15" s="856"/>
      <c r="AK15" s="856"/>
      <c r="AL15" s="856"/>
      <c r="AM15" s="856"/>
      <c r="AN15" s="856"/>
      <c r="AO15" s="856"/>
      <c r="AU15" s="868"/>
      <c r="AV15" s="868"/>
      <c r="AW15" s="868"/>
      <c r="AX15" s="868"/>
      <c r="AY15" s="868"/>
      <c r="AZ15" s="868"/>
      <c r="BA15" s="868"/>
      <c r="BB15" s="868"/>
      <c r="BC15" s="868"/>
    </row>
    <row r="16">
      <c r="D16" s="574" t="s">
        <v>1511</v>
      </c>
      <c r="E16" s="80"/>
      <c r="F16" s="865"/>
      <c r="G16" s="866"/>
      <c r="H16" s="866"/>
      <c r="I16" s="866"/>
      <c r="J16" s="866"/>
      <c r="K16" s="866"/>
      <c r="L16" s="866"/>
      <c r="M16" s="866"/>
      <c r="N16" s="866"/>
      <c r="O16" s="866"/>
      <c r="P16" s="866"/>
      <c r="Q16" s="866"/>
      <c r="R16" s="866"/>
      <c r="S16" s="857"/>
      <c r="T16" s="857"/>
      <c r="U16" s="886" t="n">
        <f>T15*(1+$J43)^0.25</f>
        <v>193.00993824189698</v>
      </c>
      <c r="V16" s="876" t="n">
        <f>U16*(1+$J43)^0.25</f>
        <v>193.52122732540718</v>
      </c>
      <c r="W16" s="876" t="n">
        <f>V16*(1+$J43)^0.25</f>
        <v>194.03387082895034</v>
      </c>
      <c r="X16" s="876" t="n">
        <f>W16*(1+$K43)^0.25</f>
        <v>196.04485309259218</v>
      </c>
      <c r="Y16" s="876" t="n">
        <f>X16*(1+$K43)^0.25</f>
        <v>198.0766773342217</v>
      </c>
      <c r="Z16" s="876" t="n">
        <f>Y16*(1+$K43)^0.25</f>
        <v>200.12955956173431</v>
      </c>
      <c r="AA16" s="876" t="n">
        <f>Z16*(1+$K43)^0.25</f>
        <v>202.20371802174816</v>
      </c>
      <c r="AB16" s="876" t="n">
        <f>AA16*(1+$L43)^0.25</f>
        <v>202.20371802174816</v>
      </c>
      <c r="AC16" s="949" t="n">
        <f>AB16*(1+$L43)^0.25</f>
        <v>202.20371802174816</v>
      </c>
      <c r="AD16" s="868"/>
      <c r="AF16" s="856"/>
      <c r="AG16" s="856"/>
      <c r="AH16" s="856"/>
      <c r="AI16" s="856"/>
      <c r="AJ16" s="856"/>
      <c r="AK16" s="856"/>
      <c r="AL16" s="856"/>
      <c r="AM16" s="856"/>
      <c r="AN16" s="856"/>
      <c r="AO16" s="856"/>
      <c r="AU16" s="868"/>
      <c r="AV16" s="868"/>
      <c r="AW16" s="868"/>
      <c r="AX16" s="868"/>
      <c r="AY16" s="868"/>
      <c r="AZ16" s="868"/>
      <c r="BA16" s="868"/>
      <c r="BB16" s="868"/>
      <c r="BC16" s="868"/>
    </row>
    <row r="17">
      <c r="D17" s="961" t="s">
        <v>1512</v>
      </c>
      <c r="E17" s="962"/>
      <c r="F17" s="865"/>
      <c r="G17" s="866"/>
      <c r="H17" s="866"/>
      <c r="I17" s="866"/>
      <c r="J17" s="866"/>
      <c r="K17" s="866"/>
      <c r="L17" s="866"/>
      <c r="M17" s="866"/>
      <c r="N17" s="866"/>
      <c r="O17" s="866"/>
      <c r="P17" s="866"/>
      <c r="Q17" s="866"/>
      <c r="R17" s="866"/>
      <c r="S17" s="857"/>
      <c r="T17" s="857"/>
      <c r="U17" s="886" t="n">
        <v>0</v>
      </c>
      <c r="V17" s="876" t="n">
        <v>0</v>
      </c>
      <c r="W17" s="876" t="n">
        <v>0</v>
      </c>
      <c r="X17" s="876" t="n">
        <v>0</v>
      </c>
      <c r="Y17" s="876" t="n">
        <v>0</v>
      </c>
      <c r="Z17" s="876" t="n">
        <v>0</v>
      </c>
      <c r="AA17" s="876" t="n">
        <v>0</v>
      </c>
      <c r="AB17" s="876" t="n">
        <v>0</v>
      </c>
      <c r="AC17" s="949" t="n">
        <v>0</v>
      </c>
      <c r="AD17" s="868"/>
      <c r="AF17" s="856"/>
      <c r="AG17" s="856"/>
      <c r="AH17" s="856"/>
      <c r="AI17" s="856"/>
      <c r="AJ17" s="856"/>
      <c r="AK17" s="856"/>
      <c r="AL17" s="856"/>
      <c r="AM17" s="856"/>
      <c r="AN17" s="856"/>
      <c r="AO17" s="856"/>
      <c r="AU17" s="868"/>
      <c r="AV17" s="868"/>
      <c r="AW17" s="868"/>
      <c r="AX17" s="868"/>
      <c r="AY17" s="868"/>
      <c r="AZ17" s="868"/>
      <c r="BA17" s="868"/>
      <c r="BB17" s="868"/>
      <c r="BC17" s="868"/>
    </row>
    <row r="18" ht="14.85" customHeight="1">
      <c r="D18" s="567" t="s">
        <v>535</v>
      </c>
      <c r="E18" s="951" t="s">
        <v>119</v>
      </c>
      <c r="F18" s="1014" t="n">
        <f>'Haver Pivoted'!GQ29</f>
        <v>215.9</v>
      </c>
      <c r="G18" s="877" t="n">
        <f>'Haver Pivoted'!GR29</f>
        <v>196.9</v>
      </c>
      <c r="H18" s="877" t="n">
        <f>'Haver Pivoted'!GS29</f>
        <v>226.2</v>
      </c>
      <c r="I18" s="877" t="n">
        <f>'Haver Pivoted'!GT29</f>
        <v>183.1</v>
      </c>
      <c r="J18" s="877" t="n">
        <f>'Haver Pivoted'!GU29</f>
        <v>177.8</v>
      </c>
      <c r="K18" s="877" t="n">
        <f>'Haver Pivoted'!GV29</f>
        <v>218.4</v>
      </c>
      <c r="L18" s="877" t="n">
        <f>'Haver Pivoted'!GW29</f>
        <v>226.5</v>
      </c>
      <c r="M18" s="877" t="n">
        <f>'Haver Pivoted'!GX29</f>
        <v>249.6</v>
      </c>
      <c r="N18" s="877" t="n">
        <f>'Haver Pivoted'!GY29</f>
        <v>281.39999999999998</v>
      </c>
      <c r="O18" s="877" t="n">
        <f>'Haver Pivoted'!GZ29</f>
        <v>278.39999999999998</v>
      </c>
      <c r="P18" s="877" t="n">
        <f>'Haver Pivoted'!HA29</f>
        <v>304.8</v>
      </c>
      <c r="Q18" s="877" t="n">
        <f>'Haver Pivoted'!HB29</f>
        <v>313.8</v>
      </c>
      <c r="R18" s="877" t="n">
        <f>'Haver Pivoted'!HC29</f>
        <v>353.2</v>
      </c>
      <c r="S18" s="917" t="n">
        <f>'Haver Pivoted'!HD29</f>
        <v>340.6</v>
      </c>
      <c r="T18" s="876" t="n">
        <f t="shared" ref="T18:AC18" si="5">T20+T19</f>
        <v>350.30119606059549</v>
      </c>
      <c r="U18" s="886" t="n">
        <f t="shared" si="5"/>
        <v>360.27870804898345</v>
      </c>
      <c r="V18" s="876" t="n">
        <f t="shared" si="5"/>
        <v>370.54040617946271</v>
      </c>
      <c r="W18" s="876" t="n">
        <f t="shared" si="5"/>
        <v>381.09438483101775</v>
      </c>
      <c r="X18" s="876" t="n">
        <f t="shared" si="5"/>
        <v>381.72153892635089</v>
      </c>
      <c r="Y18" s="876" t="n">
        <f t="shared" si="5"/>
        <v>382.34972510789402</v>
      </c>
      <c r="Z18" s="876" t="n">
        <f t="shared" si="5"/>
        <v>382.97894507411644</v>
      </c>
      <c r="AA18" s="876" t="n">
        <f t="shared" si="5"/>
        <v>383.60920052628245</v>
      </c>
      <c r="AB18" s="876" t="n">
        <f t="shared" si="5"/>
        <v>385.61244152866738</v>
      </c>
      <c r="AC18" s="949" t="n">
        <f t="shared" si="5"/>
        <v>400.52681927840081</v>
      </c>
      <c r="AD18" s="975"/>
      <c r="AF18" s="856"/>
      <c r="AG18" s="856"/>
      <c r="AH18" s="856"/>
      <c r="AI18" s="856"/>
      <c r="AJ18" s="856"/>
      <c r="AK18" s="856"/>
      <c r="AL18" s="856"/>
      <c r="AM18" s="856"/>
      <c r="AN18" s="856"/>
      <c r="AO18" s="856"/>
      <c r="AU18" s="975"/>
      <c r="AV18" s="975"/>
      <c r="AW18" s="975"/>
      <c r="AX18" s="975"/>
      <c r="AY18" s="975"/>
      <c r="AZ18" s="975"/>
      <c r="BA18" s="975"/>
      <c r="BB18" s="975"/>
      <c r="BC18" s="975"/>
    </row>
    <row r="19">
      <c r="D19" s="293" t="s">
        <v>1458</v>
      </c>
      <c r="E19" s="97"/>
      <c r="F19" s="993"/>
      <c r="G19" s="916"/>
      <c r="H19" s="916"/>
      <c r="I19" s="916"/>
      <c r="J19" s="916"/>
      <c r="K19" s="916"/>
      <c r="L19" s="916"/>
      <c r="M19" s="916"/>
      <c r="N19" s="916"/>
      <c r="O19" s="916"/>
      <c r="P19" s="916"/>
      <c r="Q19" s="918"/>
      <c r="R19" s="916"/>
      <c r="S19" s="857"/>
      <c r="T19" s="857" t="n">
        <f>S18*(1+$J44)^0.25</f>
        <v>350.30119606059549</v>
      </c>
      <c r="U19" s="886" t="n">
        <f>T18*(1+$J44)^0.25</f>
        <v>360.27870804898345</v>
      </c>
      <c r="V19" s="876" t="n">
        <f>U19*(1+$J44)^0.25</f>
        <v>370.54040617946271</v>
      </c>
      <c r="W19" s="876" t="n">
        <f>V19*(1+$J44)^0.25</f>
        <v>381.09438483101775</v>
      </c>
      <c r="X19" s="876" t="n">
        <f>W19*(1+$K44)^0.25</f>
        <v>381.72153892635089</v>
      </c>
      <c r="Y19" s="876" t="n">
        <f>X19*(1+$K44)^0.25</f>
        <v>382.34972510789402</v>
      </c>
      <c r="Z19" s="876" t="n">
        <f>Y19*(1+$K44)^0.25</f>
        <v>382.97894507411644</v>
      </c>
      <c r="AA19" s="876" t="n">
        <f>Z19*(1+$K44)^0.25</f>
        <v>383.60920052628245</v>
      </c>
      <c r="AB19" s="876" t="n">
        <f>AA19*(1+$L44)^0.25</f>
        <v>385.61244152866738</v>
      </c>
      <c r="AC19" s="949" t="n">
        <f>AB19*(1+$I44)^0.25</f>
        <v>400.52681927840081</v>
      </c>
      <c r="AD19" s="868"/>
      <c r="AF19" s="856"/>
      <c r="AG19" s="856"/>
      <c r="AH19" s="856"/>
      <c r="AI19" s="856"/>
      <c r="AJ19" s="856"/>
      <c r="AK19" s="856"/>
      <c r="AL19" s="856"/>
      <c r="AM19" s="856"/>
      <c r="AN19" s="856"/>
      <c r="AO19" s="856"/>
      <c r="AU19" s="868"/>
      <c r="AV19" s="868"/>
      <c r="AW19" s="868"/>
      <c r="AX19" s="868"/>
      <c r="AY19" s="868"/>
      <c r="AZ19" s="868"/>
      <c r="BA19" s="868"/>
      <c r="BB19" s="868"/>
      <c r="BC19" s="868"/>
    </row>
    <row r="20" ht="14.85" customHeight="1">
      <c r="D20" s="293" t="s">
        <v>1456</v>
      </c>
      <c r="E20" s="951"/>
      <c r="F20" s="1014"/>
      <c r="G20" s="877"/>
      <c r="H20" s="877"/>
      <c r="I20" s="877"/>
      <c r="J20" s="877"/>
      <c r="K20" s="877"/>
      <c r="L20" s="877"/>
      <c r="M20" s="877"/>
      <c r="N20" s="877"/>
      <c r="O20" s="877"/>
      <c r="P20" s="877"/>
      <c r="Q20" s="877"/>
      <c r="R20" s="877"/>
      <c r="S20" s="857"/>
      <c r="T20" s="857" t="n">
        <v>0</v>
      </c>
      <c r="U20" s="886" t="n">
        <v>0</v>
      </c>
      <c r="V20" s="876" t="n">
        <v>0</v>
      </c>
      <c r="W20" s="876" t="n">
        <v>0</v>
      </c>
      <c r="X20" s="876" t="n">
        <v>0</v>
      </c>
      <c r="Y20" s="876" t="n">
        <v>0</v>
      </c>
      <c r="Z20" s="876" t="n">
        <v>0</v>
      </c>
      <c r="AA20" s="876" t="n">
        <v>0</v>
      </c>
      <c r="AB20" s="876" t="n">
        <v>0</v>
      </c>
      <c r="AC20" s="949" t="n">
        <v>0</v>
      </c>
      <c r="AD20" s="975"/>
      <c r="AF20" s="856"/>
      <c r="AG20" s="856"/>
      <c r="AH20" s="856"/>
      <c r="AI20" s="856"/>
      <c r="AJ20" s="856"/>
      <c r="AK20" s="856"/>
      <c r="AL20" s="856"/>
      <c r="AM20" s="856"/>
      <c r="AN20" s="856"/>
      <c r="AO20" s="856"/>
      <c r="AU20" s="975"/>
      <c r="AV20" s="975"/>
      <c r="AW20" s="975"/>
      <c r="AX20" s="975"/>
      <c r="AY20" s="975"/>
      <c r="AZ20" s="975"/>
      <c r="BA20" s="975"/>
      <c r="BB20" s="975"/>
      <c r="BC20" s="975"/>
    </row>
    <row r="21">
      <c r="D21" s="959" t="s">
        <v>523</v>
      </c>
      <c r="E21" s="447"/>
      <c r="F21" s="894"/>
      <c r="G21" s="873"/>
      <c r="H21" s="873"/>
      <c r="I21" s="873"/>
      <c r="J21" s="873"/>
      <c r="K21" s="873"/>
      <c r="L21" s="873"/>
      <c r="M21" s="873"/>
      <c r="N21" s="873"/>
      <c r="O21" s="873"/>
      <c r="P21" s="873"/>
      <c r="Q21" s="873"/>
      <c r="R21" s="873"/>
      <c r="S21" s="873"/>
      <c r="T21" s="895"/>
      <c r="U21" s="896"/>
      <c r="V21" s="897"/>
      <c r="W21" s="897"/>
      <c r="X21" s="897"/>
      <c r="Y21" s="897"/>
      <c r="Z21" s="897"/>
      <c r="AA21" s="897"/>
      <c r="AB21" s="897"/>
      <c r="AC21" s="898"/>
      <c r="AF21" s="856"/>
      <c r="AG21" s="856"/>
      <c r="AH21" s="856"/>
      <c r="AI21" s="856"/>
      <c r="AJ21" s="856"/>
      <c r="AK21" s="856"/>
      <c r="AL21" s="856"/>
      <c r="AM21" s="856"/>
      <c r="AN21" s="856"/>
      <c r="AO21" s="856"/>
    </row>
    <row r="22" ht="14.85" customHeight="1">
      <c r="D22" s="973" t="s">
        <v>531</v>
      </c>
      <c r="E22" s="952"/>
      <c r="F22" s="1014" t="n">
        <f t="shared" ref="F22:P22" si="6">SUM(F24:F26)</f>
        <v>1894.6</v>
      </c>
      <c r="G22" s="877" t="n">
        <f t="shared" si="6"/>
        <v>1889.1999999999998</v>
      </c>
      <c r="H22" s="877" t="n">
        <f t="shared" si="6"/>
        <v>1883</v>
      </c>
      <c r="I22" s="877" t="n">
        <f t="shared" si="6"/>
        <v>1897.5</v>
      </c>
      <c r="J22" s="877" t="n">
        <f t="shared" si="6"/>
        <v>1801.6</v>
      </c>
      <c r="K22" s="877" t="n">
        <f t="shared" si="6"/>
        <v>1933.3000000000002</v>
      </c>
      <c r="L22" s="877" t="n">
        <f t="shared" si="6"/>
        <v>1955.6</v>
      </c>
      <c r="M22" s="877" t="n">
        <f t="shared" si="6"/>
        <v>1992.6</v>
      </c>
      <c r="N22" s="877" t="n">
        <f t="shared" si="6"/>
        <v>2088.7000000000003</v>
      </c>
      <c r="O22" s="877" t="n">
        <f t="shared" si="6"/>
        <v>2060.8000000000002</v>
      </c>
      <c r="P22" s="877" t="n">
        <f t="shared" si="6"/>
        <v>2119.9</v>
      </c>
      <c r="Q22" s="877" t="n">
        <f>SUM(Q23:Q26)</f>
        <v>2152.4</v>
      </c>
      <c r="R22" s="877" t="n">
        <f t="shared" ref="R22:AC22" si="7">SUM(R23:R26)</f>
        <v>2179.5</v>
      </c>
      <c r="S22" s="877" t="n">
        <f t="shared" si="7"/>
        <v>2201</v>
      </c>
      <c r="T22" s="928" t="n">
        <f t="shared" si="7"/>
        <v>2199.6</v>
      </c>
      <c r="U22" s="887" t="n">
        <f>SUM(U24:U26)</f>
        <v>2226.1294937253679</v>
      </c>
      <c r="V22" s="879" t="n">
        <f t="shared" si="7"/>
        <v>2250.9709737525445</v>
      </c>
      <c r="W22" s="879" t="n">
        <f t="shared" si="7"/>
        <v>2276.4323222605917</v>
      </c>
      <c r="X22" s="879" t="n">
        <f t="shared" si="7"/>
        <v>2302.0361619190921</v>
      </c>
      <c r="Y22" s="879" t="n">
        <f t="shared" si="7"/>
        <v>2325.7222045243498</v>
      </c>
      <c r="Z22" s="879" t="n">
        <f t="shared" si="7"/>
        <v>2348.6593465954388</v>
      </c>
      <c r="AA22" s="879" t="n">
        <f t="shared" si="7"/>
        <v>2371.5043954523735</v>
      </c>
      <c r="AB22" s="879" t="n">
        <f t="shared" si="7"/>
        <v>2395.3037749815721</v>
      </c>
      <c r="AC22" s="960" t="n">
        <f t="shared" si="7"/>
        <v>2419.8446359260029</v>
      </c>
      <c r="AF22" s="856"/>
      <c r="AG22" s="856"/>
      <c r="AH22" s="856"/>
      <c r="AI22" s="856"/>
      <c r="AJ22" s="856"/>
      <c r="AK22" s="856"/>
      <c r="AL22" s="856"/>
      <c r="AM22" s="856"/>
      <c r="AN22" s="856"/>
      <c r="AO22" s="856"/>
    </row>
    <row r="23" ht="42" customHeight="1">
      <c r="D23" s="967" t="s">
        <v>883</v>
      </c>
      <c r="E23" s="952"/>
      <c r="F23" s="1014"/>
      <c r="G23" s="877"/>
      <c r="H23" s="877"/>
      <c r="I23" s="877"/>
      <c r="J23" s="877"/>
      <c r="K23" s="877"/>
      <c r="L23" s="877"/>
      <c r="M23" s="877"/>
      <c r="N23" s="877"/>
      <c r="O23" s="877"/>
      <c r="P23" s="877"/>
      <c r="Q23" s="420"/>
      <c r="R23" s="420"/>
      <c r="S23" s="420"/>
      <c r="T23" s="462"/>
      <c r="U23" s="888" t="n">
        <v>0</v>
      </c>
      <c r="V23" s="450"/>
      <c r="W23" s="450"/>
      <c r="X23" s="450"/>
      <c r="Y23" s="450"/>
      <c r="Z23" s="450"/>
      <c r="AA23" s="450"/>
      <c r="AB23" s="450"/>
      <c r="AC23" s="451"/>
      <c r="AF23" s="856"/>
      <c r="AG23" s="856"/>
      <c r="AH23" s="856"/>
      <c r="AI23" s="856"/>
      <c r="AJ23" s="856"/>
      <c r="AK23" s="856"/>
      <c r="AL23" s="856"/>
      <c r="AM23" s="856"/>
      <c r="AN23" s="856"/>
      <c r="AO23" s="856"/>
    </row>
    <row r="24">
      <c r="D24" s="574" t="s">
        <v>536</v>
      </c>
      <c r="E24" s="77" t="s">
        <v>537</v>
      </c>
      <c r="F24" s="865" t="n">
        <f>'Haver Pivoted'!GQ33</f>
        <v>529</v>
      </c>
      <c r="G24" s="866" t="n">
        <f>'Haver Pivoted'!GR33</f>
        <v>495.2</v>
      </c>
      <c r="H24" s="866" t="n">
        <f>'Haver Pivoted'!GS33</f>
        <v>489.6</v>
      </c>
      <c r="I24" s="866" t="n">
        <f>'Haver Pivoted'!GT33</f>
        <v>497.5</v>
      </c>
      <c r="J24" s="866" t="n">
        <f>'Haver Pivoted'!GU33</f>
        <v>488</v>
      </c>
      <c r="K24" s="866" t="n">
        <f>'Haver Pivoted'!GV33</f>
        <v>515.4</v>
      </c>
      <c r="L24" s="866" t="n">
        <f>'Haver Pivoted'!GW33</f>
        <v>522.9</v>
      </c>
      <c r="M24" s="866" t="n">
        <f>'Haver Pivoted'!GX33</f>
        <v>543.6</v>
      </c>
      <c r="N24" s="866" t="n">
        <f>'Haver Pivoted'!GY33</f>
        <v>566.6</v>
      </c>
      <c r="O24" s="866" t="n">
        <f>'Haver Pivoted'!GZ33</f>
        <v>534.4</v>
      </c>
      <c r="P24" s="866" t="n">
        <f>'Haver Pivoted'!HA33</f>
        <v>570.79999999999995</v>
      </c>
      <c r="Q24" s="866" t="n">
        <f>'Haver Pivoted'!HB33</f>
        <v>581.29999999999995</v>
      </c>
      <c r="R24" s="866" t="n">
        <f>'Haver Pivoted'!HC33</f>
        <v>589.79999999999995</v>
      </c>
      <c r="S24" s="866" t="n">
        <f>'Haver Pivoted'!HD33</f>
        <v>594.79999999999995</v>
      </c>
      <c r="T24" s="867" t="n">
        <f>'Haver Pivoted'!HE33</f>
        <v>582.1</v>
      </c>
      <c r="U24" s="889" t="n">
        <f>$T114*U123*(U96/$T96)+U23</f>
        <v>589.36973265003007</v>
      </c>
      <c r="V24" s="880" t="n">
        <f>$T114*V123*(V96/$T96)+V23</f>
        <v>597.16085329765656</v>
      </c>
      <c r="W24" s="880" t="n">
        <f>$T114*W123*(W96/$T96)+W23</f>
        <v>604.46028526400528</v>
      </c>
      <c r="X24" s="880" t="n">
        <f>$T114*X123*(X96/$T96)+X23</f>
        <v>612.21180682320664</v>
      </c>
      <c r="Y24" s="880" t="n">
        <f>$T114*Y123*(Y96/$T96)+Y23</f>
        <v>618.89415299493203</v>
      </c>
      <c r="Z24" s="880" t="n">
        <f>$T114*Z123*(Z96/$T96)+Z23</f>
        <v>625.20690767469023</v>
      </c>
      <c r="AA24" s="880" t="n">
        <f>$T114*AA123*(AA96/$T96)+AA23</f>
        <v>631.54606174673199</v>
      </c>
      <c r="AB24" s="880" t="n">
        <f>$T114*AB123*(AB96/$T96)+AB23</f>
        <v>637.9776136917651</v>
      </c>
      <c r="AC24" s="890" t="n">
        <f>$T114*AC123*(AC96/$T96)+AC23</f>
        <v>644.62696062313637</v>
      </c>
      <c r="AF24" s="856"/>
      <c r="AG24" s="856"/>
      <c r="AH24" s="856"/>
      <c r="AI24" s="856"/>
      <c r="AJ24" s="856"/>
      <c r="AK24" s="856"/>
      <c r="AL24" s="856"/>
      <c r="AM24" s="856"/>
      <c r="AN24" s="856"/>
      <c r="AO24" s="856"/>
    </row>
    <row r="25">
      <c r="D25" s="574" t="s">
        <v>533</v>
      </c>
      <c r="E25" s="77" t="s">
        <v>538</v>
      </c>
      <c r="F25" s="865" t="n">
        <f>'Haver Pivoted'!GQ36</f>
        <v>20.8</v>
      </c>
      <c r="G25" s="866" t="n">
        <f>'Haver Pivoted'!GR36</f>
        <v>20.7</v>
      </c>
      <c r="H25" s="866" t="n">
        <f>'Haver Pivoted'!GS36</f>
        <v>20.7</v>
      </c>
      <c r="I25" s="866" t="n">
        <f>'Haver Pivoted'!GT36</f>
        <v>20.7</v>
      </c>
      <c r="J25" s="866" t="n">
        <f>'Haver Pivoted'!GU36</f>
        <v>19.8</v>
      </c>
      <c r="K25" s="866" t="n">
        <f>'Haver Pivoted'!GV36</f>
        <v>20.5</v>
      </c>
      <c r="L25" s="866" t="n">
        <f>'Haver Pivoted'!GW36</f>
        <v>21.3</v>
      </c>
      <c r="M25" s="866" t="n">
        <f>'Haver Pivoted'!GX36</f>
        <v>22</v>
      </c>
      <c r="N25" s="866" t="n">
        <f>'Haver Pivoted'!GY36</f>
        <v>22.7</v>
      </c>
      <c r="O25" s="866" t="n">
        <f>'Haver Pivoted'!GZ36</f>
        <v>23.2</v>
      </c>
      <c r="P25" s="866" t="n">
        <f>'Haver Pivoted'!HA36</f>
        <v>23.4</v>
      </c>
      <c r="Q25" s="866" t="n">
        <f>'Haver Pivoted'!HB36</f>
        <v>23.4</v>
      </c>
      <c r="R25" s="866" t="n">
        <f>'Haver Pivoted'!HC36</f>
        <v>23.6</v>
      </c>
      <c r="S25" s="875" t="n">
        <f>'Haver Pivoted'!HD36</f>
        <v>23.9</v>
      </c>
      <c r="T25" s="939" t="n">
        <f>'Haver Pivoted'!HE36</f>
        <v>24.5</v>
      </c>
      <c r="U25" s="891" t="n">
        <f>$T115*U124*(U97/$T97)</f>
        <v>24.769872497042456</v>
      </c>
      <c r="V25" s="881" t="n">
        <f>$T115*V124*(V97/$T97)</f>
        <v>25.007755334530955</v>
      </c>
      <c r="W25" s="881" t="n">
        <f>$T115*W124*(W97/$T97)</f>
        <v>25.277413135871711</v>
      </c>
      <c r="X25" s="881" t="n">
        <f>$T115*X124*(X97/$T97)</f>
        <v>25.585501467817551</v>
      </c>
      <c r="Y25" s="881" t="n">
        <f>$T115*Y124*(Y97/$T97)</f>
        <v>25.892731016956578</v>
      </c>
      <c r="Z25" s="881" t="n">
        <f>$T115*Z124*(Z97/$T97)</f>
        <v>26.195451956359815</v>
      </c>
      <c r="AA25" s="881" t="n">
        <f>$T115*AA124*(AA97/$T97)</f>
        <v>26.504613766814181</v>
      </c>
      <c r="AB25" s="881" t="n">
        <f>$T115*AB124*(AB97/$T97)</f>
        <v>26.827945493581034</v>
      </c>
      <c r="AC25" s="892" t="n">
        <f>$T115*AC124*(AC97/$T97)</f>
        <v>27.166305919467202</v>
      </c>
      <c r="AF25" s="856"/>
      <c r="AG25" s="856"/>
      <c r="AH25" s="856"/>
      <c r="AI25" s="856"/>
      <c r="AJ25" s="856"/>
      <c r="AK25" s="856"/>
      <c r="AL25" s="856"/>
      <c r="AM25" s="856"/>
      <c r="AN25" s="856"/>
      <c r="AO25" s="856"/>
    </row>
    <row r="26">
      <c r="D26" s="574" t="s">
        <v>534</v>
      </c>
      <c r="E26" s="77" t="s">
        <v>539</v>
      </c>
      <c r="F26" s="865" t="n">
        <f>'Haver Pivoted'!GQ34</f>
        <v>1344.8</v>
      </c>
      <c r="G26" s="866" t="n">
        <f>'Haver Pivoted'!GR34</f>
        <v>1373.3</v>
      </c>
      <c r="H26" s="866" t="n">
        <f>'Haver Pivoted'!GS34</f>
        <v>1372.7</v>
      </c>
      <c r="I26" s="866" t="n">
        <f>'Haver Pivoted'!GT34</f>
        <v>1379.3</v>
      </c>
      <c r="J26" s="866" t="n">
        <f>'Haver Pivoted'!GU34</f>
        <v>1293.8</v>
      </c>
      <c r="K26" s="866" t="n">
        <f>'Haver Pivoted'!GV34</f>
        <v>1397.4</v>
      </c>
      <c r="L26" s="866" t="n">
        <f>'Haver Pivoted'!GW34</f>
        <v>1411.4</v>
      </c>
      <c r="M26" s="866" t="n">
        <f>'Haver Pivoted'!GX34</f>
        <v>1427</v>
      </c>
      <c r="N26" s="866" t="n">
        <f>'Haver Pivoted'!GY34</f>
        <v>1499.4</v>
      </c>
      <c r="O26" s="866" t="n">
        <f>'Haver Pivoted'!GZ34</f>
        <v>1503.2</v>
      </c>
      <c r="P26" s="866" t="n">
        <f>'Haver Pivoted'!HA34</f>
        <v>1525.7</v>
      </c>
      <c r="Q26" s="866" t="n">
        <f>'Haver Pivoted'!HB34</f>
        <v>1547.7</v>
      </c>
      <c r="R26" s="866" t="n">
        <f>'Haver Pivoted'!HC34</f>
        <v>1566.1</v>
      </c>
      <c r="S26" s="866" t="n">
        <f>'Haver Pivoted'!HD34</f>
        <v>1582.3</v>
      </c>
      <c r="T26" s="867" t="n">
        <f>'Haver Pivoted'!HE34</f>
        <v>1593</v>
      </c>
      <c r="U26" s="889" t="n">
        <f>$T120*U125*(U99/$T99)</f>
        <v>1611.9898885782952</v>
      </c>
      <c r="V26" s="880" t="n">
        <f>$T120*V125*(V99/$T99)</f>
        <v>1628.8023651203569</v>
      </c>
      <c r="W26" s="880" t="n">
        <f>$T120*W125*(W99/$T99)</f>
        <v>1646.6946238607147</v>
      </c>
      <c r="X26" s="880" t="n">
        <f>$T120*X125*(X99/$T99)</f>
        <v>1664.238853628068</v>
      </c>
      <c r="Y26" s="880" t="n">
        <f>$T120*Y125*(Y99/$T99)</f>
        <v>1680.9353205124614</v>
      </c>
      <c r="Z26" s="880" t="n">
        <f>$T120*Z125*(Z99/$T99)</f>
        <v>1697.2569869643889</v>
      </c>
      <c r="AA26" s="880" t="n">
        <f>$T120*AA125*(AA99/$T99)</f>
        <v>1713.4537199388274</v>
      </c>
      <c r="AB26" s="880" t="n">
        <f>$T120*AB125*(AB99/$T99)</f>
        <v>1730.4982157962258</v>
      </c>
      <c r="AC26" s="890" t="n">
        <f>$T120*AC125*(AC99/$T99)</f>
        <v>1748.0513693833993</v>
      </c>
      <c r="AF26" s="856"/>
      <c r="AG26" s="856"/>
      <c r="AH26" s="856"/>
      <c r="AI26" s="856"/>
      <c r="AJ26" s="856"/>
      <c r="AK26" s="856"/>
      <c r="AL26" s="856"/>
      <c r="AM26" s="856"/>
      <c r="AN26" s="856"/>
      <c r="AO26" s="856"/>
    </row>
    <row r="27" ht="14.85" customHeight="1">
      <c r="D27" s="976" t="s">
        <v>535</v>
      </c>
      <c r="E27" s="994" t="s">
        <v>540</v>
      </c>
      <c r="F27" s="1015" t="n">
        <f>'Haver Pivoted'!GQ35</f>
        <v>74.5</v>
      </c>
      <c r="G27" s="943" t="n">
        <f>'Haver Pivoted'!GR35</f>
        <v>73.400000000000006</v>
      </c>
      <c r="H27" s="943" t="n">
        <f>'Haver Pivoted'!GS35</f>
        <v>72.099999999999994</v>
      </c>
      <c r="I27" s="943" t="n">
        <f>'Haver Pivoted'!GT35</f>
        <v>67.7</v>
      </c>
      <c r="J27" s="943" t="n">
        <f>'Haver Pivoted'!GU35</f>
        <v>65</v>
      </c>
      <c r="K27" s="943" t="n">
        <f>'Haver Pivoted'!GV35</f>
        <v>80.900000000000006</v>
      </c>
      <c r="L27" s="943" t="n">
        <f>'Haver Pivoted'!GW35</f>
        <v>84.8</v>
      </c>
      <c r="M27" s="943" t="n">
        <f>'Haver Pivoted'!GX35</f>
        <v>88</v>
      </c>
      <c r="N27" s="943" t="n">
        <f>'Haver Pivoted'!GY35</f>
        <v>90.3</v>
      </c>
      <c r="O27" s="943" t="n">
        <f>'Haver Pivoted'!GZ35</f>
        <v>94.4</v>
      </c>
      <c r="P27" s="943" t="n">
        <f>'Haver Pivoted'!HA35</f>
        <v>110.5</v>
      </c>
      <c r="Q27" s="943" t="n">
        <f>'Haver Pivoted'!HB35</f>
        <v>165.9</v>
      </c>
      <c r="R27" s="943" t="n">
        <f>'Haver Pivoted'!HC35</f>
        <v>109.8</v>
      </c>
      <c r="S27" s="938" t="n">
        <f>'Haver Pivoted'!HD35</f>
        <v>100.7</v>
      </c>
      <c r="T27" s="919" t="n">
        <f t="shared" ref="T27:AC27" si="8">$S121*T126*(T100/$S100)</f>
        <v>95.360546952748706</v>
      </c>
      <c r="U27" s="893" t="n">
        <f t="shared" si="8"/>
        <v>88.958815333784486</v>
      </c>
      <c r="V27" s="953" t="n">
        <f t="shared" si="8"/>
        <v>83.91599856693604</v>
      </c>
      <c r="W27" s="953" t="n">
        <f t="shared" si="8"/>
        <v>81.073902312806027</v>
      </c>
      <c r="X27" s="953" t="n">
        <f t="shared" si="8"/>
        <v>78.997448349986072</v>
      </c>
      <c r="Y27" s="953" t="n">
        <f t="shared" si="8"/>
        <v>79.891365789578444</v>
      </c>
      <c r="Z27" s="953" t="n">
        <f t="shared" si="8"/>
        <v>81.322435412602999</v>
      </c>
      <c r="AA27" s="953" t="n">
        <f t="shared" si="8"/>
        <v>83.346777596433256</v>
      </c>
      <c r="AB27" s="953" t="n">
        <f t="shared" si="8"/>
        <v>86.228959834401508</v>
      </c>
      <c r="AC27" s="919" t="n">
        <f t="shared" si="8"/>
        <v>89.010927112774183</v>
      </c>
      <c r="AF27" s="856"/>
      <c r="AG27" s="856"/>
      <c r="AH27" s="856"/>
      <c r="AI27" s="856"/>
      <c r="AJ27" s="856"/>
      <c r="AK27" s="856"/>
      <c r="AL27" s="856"/>
      <c r="AM27" s="856"/>
      <c r="AN27" s="856"/>
      <c r="AO27" s="856"/>
    </row>
    <row r="28" ht="14.85" customHeight="1">
      <c r="D28" s="958"/>
      <c r="E28" s="952"/>
    </row>
    <row r="29" ht="14.85" customHeight="1">
      <c r="D29" s="958"/>
      <c r="E29" s="952"/>
    </row>
    <row r="30" ht="14.85" customHeight="1">
      <c r="D30" s="958"/>
      <c r="E30" s="952"/>
    </row>
    <row r="31" ht="14.85" customHeight="1">
      <c r="D31" s="958"/>
      <c r="E31" s="952"/>
    </row>
    <row r="32" ht="14.85" customHeight="1">
      <c r="D32" s="958"/>
      <c r="E32" s="952"/>
      <c r="F32" s="877"/>
      <c r="G32" s="877"/>
      <c r="H32" s="877"/>
      <c r="I32" s="877"/>
      <c r="J32" s="877"/>
      <c r="K32" s="877"/>
      <c r="L32" s="877"/>
      <c r="M32" s="877"/>
      <c r="N32" s="877"/>
      <c r="O32" s="877"/>
      <c r="P32" s="877"/>
      <c r="AB32" s="866"/>
      <c r="AC32" s="866"/>
    </row>
    <row r="33" ht="14.85" customHeight="1">
      <c r="D33" s="958"/>
      <c r="E33" s="952"/>
      <c r="F33" s="877"/>
      <c r="G33" s="877"/>
      <c r="H33" s="877"/>
      <c r="I33" s="877"/>
      <c r="J33" s="877"/>
      <c r="K33" s="877"/>
      <c r="L33" s="877"/>
      <c r="M33" s="877"/>
      <c r="N33" s="877"/>
      <c r="O33" s="877"/>
      <c r="P33" s="877"/>
      <c r="AB33" s="916"/>
      <c r="AC33" s="929"/>
    </row>
    <row r="34" ht="14.85" customHeight="1">
      <c r="D34" s="958"/>
      <c r="E34" s="952"/>
      <c r="F34" s="983"/>
      <c r="G34" s="983"/>
      <c r="H34" s="877"/>
      <c r="I34" s="877"/>
      <c r="J34" s="877"/>
      <c r="K34" s="877"/>
      <c r="L34" s="877"/>
      <c r="AD34" s="552"/>
      <c r="AE34" s="552"/>
      <c r="AF34" s="552"/>
      <c r="AG34" s="552"/>
      <c r="AH34" s="552"/>
      <c r="AI34" s="552"/>
      <c r="AJ34" s="552"/>
      <c r="AK34" s="552"/>
      <c r="AL34" s="289"/>
      <c r="AM34" s="289"/>
      <c r="AN34" s="289"/>
    </row>
    <row r="35" ht="14.85" customHeight="1">
      <c r="D35" s="584"/>
      <c r="E35" s="221"/>
      <c r="F35" s="221"/>
      <c r="G35" s="221"/>
      <c r="H35" s="221"/>
      <c r="I35" s="221"/>
      <c r="J35" s="221"/>
      <c r="K35" s="221"/>
      <c r="L35" s="221"/>
      <c r="AD35" s="289"/>
      <c r="AE35" s="289"/>
      <c r="AF35" s="289"/>
      <c r="AG35" s="289"/>
      <c r="AH35" s="289"/>
      <c r="AI35" s="289"/>
      <c r="AJ35" s="289"/>
      <c r="AK35" s="289"/>
      <c r="AL35" s="289"/>
      <c r="AM35" s="289"/>
      <c r="AN35" s="289"/>
    </row>
    <row r="36" ht="14.85" customHeight="1">
      <c r="D36" s="825" t="s">
        <v>992</v>
      </c>
      <c r="E36" s="826"/>
      <c r="F36" s="827"/>
      <c r="G36" s="487" t="n">
        <v>2020</v>
      </c>
      <c r="H36" s="487" t="n">
        <v>2021</v>
      </c>
      <c r="I36" s="486" t="n">
        <v>2022</v>
      </c>
      <c r="J36" s="996" t="n">
        <v>2023</v>
      </c>
      <c r="K36" s="996" t="n">
        <v>2024</v>
      </c>
      <c r="L36" s="997" t="n">
        <v>2025</v>
      </c>
      <c r="AD36" s="289"/>
      <c r="AE36" s="289"/>
      <c r="AF36" s="289"/>
      <c r="AG36" s="289"/>
      <c r="AH36" s="289"/>
      <c r="AI36" s="289"/>
      <c r="AJ36" s="289"/>
      <c r="AK36" s="289"/>
      <c r="AL36" s="289"/>
      <c r="AM36" s="289"/>
      <c r="AN36" s="289"/>
    </row>
    <row r="37" ht="14.85" customHeight="1">
      <c r="D37" s="966" t="s">
        <v>541</v>
      </c>
      <c r="E37" s="925"/>
      <c r="F37" s="766"/>
      <c r="G37" s="965" t="n">
        <f>AVERAGE(H10:K10)</f>
        <v>1702.5749999999998</v>
      </c>
      <c r="H37" s="269" t="n">
        <f>AVERAGE(L10:O10)</f>
        <v>2008.4750000000001</v>
      </c>
      <c r="I37" s="269" t="n">
        <f>AVERAGE(P10:S10)</f>
        <v>2509.8999999999996</v>
      </c>
      <c r="J37" s="269" t="n">
        <f>I37*J50/I50</f>
        <v>2405.556083764382</v>
      </c>
      <c r="K37" s="269" t="n">
        <f>J37*K50/J50</f>
        <v>2352.4496398944584</v>
      </c>
      <c r="L37" s="349" t="n">
        <f>K37*L50/K50</f>
        <v>2394.3346262838863</v>
      </c>
      <c r="M37" t="s">
        <v>975</v>
      </c>
      <c r="AD37" s="289"/>
      <c r="AE37" s="289"/>
    </row>
    <row r="38" ht="14.85" customHeight="1">
      <c r="D38" s="899" t="s">
        <v>547</v>
      </c>
      <c r="E38" s="264"/>
      <c r="F38" s="647"/>
      <c r="G38" s="965" t="n">
        <f>AVERAGE(H13:K13)</f>
        <v>1425.3999999999999</v>
      </c>
      <c r="H38" s="269" t="n">
        <f>AVERAGE(L13:O13)</f>
        <v>1495.1000000000001</v>
      </c>
      <c r="I38" s="269" t="n">
        <f>AVERAGE(P13:S13)</f>
        <v>1627.425</v>
      </c>
      <c r="J38" s="269" t="n">
        <f>I38*J51/I51</f>
        <v>1713.8486935180104</v>
      </c>
      <c r="K38" s="269" t="n">
        <f>J38*K51/J51</f>
        <v>1791.3088166806649</v>
      </c>
      <c r="L38" s="349" t="n">
        <f>K38*L51/K51</f>
        <v>1867.9626463405427</v>
      </c>
      <c r="AD38" s="289"/>
      <c r="AE38" s="289"/>
    </row>
    <row r="39" ht="14.85" customHeight="1">
      <c r="D39" s="899" t="s">
        <v>105</v>
      </c>
      <c r="E39" s="264"/>
      <c r="F39" s="647"/>
      <c r="G39" s="965" t="n">
        <f>AVERAGE(H15:K15)</f>
        <v>161.30000000000001</v>
      </c>
      <c r="H39" s="269" t="n">
        <f>AVERAGE(L15:O15)</f>
        <v>166.42500000000001</v>
      </c>
      <c r="I39" s="269" t="n">
        <f>AVERAGE(P15:S15)</f>
        <v>200.55</v>
      </c>
      <c r="J39" s="269" t="n">
        <f>I39*J52/I52</f>
        <v>202.68351063829786</v>
      </c>
      <c r="K39" s="269" t="n">
        <f>J39*K52/J52</f>
        <v>211.21755319148934</v>
      </c>
      <c r="L39" s="349" t="n">
        <f>K39*L52/K52</f>
        <v>211.21755319148934</v>
      </c>
      <c r="AD39" s="289"/>
      <c r="AE39" s="289"/>
    </row>
    <row r="40" ht="14.85" customHeight="1">
      <c r="D40" s="899" t="s">
        <v>303</v>
      </c>
      <c r="E40" s="264"/>
      <c r="F40" s="647"/>
      <c r="G40" s="965" t="n">
        <f>AVERAGE(H18:K18)</f>
        <v>201.37499999999997</v>
      </c>
      <c r="H40" s="269" t="n">
        <f>AVERAGE(L18:O18)</f>
        <v>258.97500000000002</v>
      </c>
      <c r="I40" s="269" t="n">
        <f>AVERAGE(P18:S18)</f>
        <v>328.1</v>
      </c>
      <c r="J40" s="269" t="n">
        <f>I40*J55/I55</f>
        <v>367.10824328554583</v>
      </c>
      <c r="K40" s="269" t="n">
        <f>J40*K55/J55</f>
        <v>369.53076539246399</v>
      </c>
      <c r="L40" s="349" t="n">
        <f>K40*L55/K55</f>
        <v>377.3103279379194</v>
      </c>
      <c r="AD40" s="289"/>
      <c r="AE40" s="289"/>
    </row>
    <row r="41" ht="14.85" customHeight="1">
      <c r="C41" s="63"/>
      <c r="D41" s="899" t="s">
        <v>988</v>
      </c>
      <c r="E41" s="63"/>
      <c r="F41" s="716"/>
      <c r="G41" s="268"/>
      <c r="H41" s="900" t="n">
        <f>H37/G37-1+0.021</f>
        <v>0.20066903073286077</v>
      </c>
      <c r="I41" s="900" t="n">
        <f>I37/H37-1.05</f>
        <v>0.19965458868046615</v>
      </c>
      <c r="J41" s="900" t="n">
        <f>J37/I37-1</f>
        <v>-4.1572937661109033E-2</v>
      </c>
      <c r="K41" s="900" t="n">
        <f>K37/J37-1</f>
        <v>-2.2076576899765721E-2</v>
      </c>
      <c r="L41" s="901" t="n">
        <f>L37/K37-1</f>
        <v>1.7804838700524517E-2</v>
      </c>
      <c r="M41" t="s">
        <v>974</v>
      </c>
      <c r="AD41" s="289"/>
      <c r="AE41" s="289"/>
    </row>
    <row r="42" ht="14.85" customHeight="1">
      <c r="C42" s="63"/>
      <c r="D42" s="899" t="s">
        <v>989</v>
      </c>
      <c r="E42" s="63"/>
      <c r="F42" s="716"/>
      <c r="G42" s="268"/>
      <c r="H42" s="900" t="n">
        <f>H38/G38-1.03</f>
        <v>1.8898554791637601E-2</v>
      </c>
      <c r="I42" s="900" t="n">
        <f>I38/H38-1.013</f>
        <v>7.5505785566182926E-2</v>
      </c>
      <c r="J42" s="902" t="n">
        <f>J38/I38-1-0.013</f>
        <v>4.0104563047765787E-2</v>
      </c>
      <c r="K42" s="900" t="n">
        <f t="shared" ref="K42" si="9">K38/J38-1</f>
        <v>4.5196593757441006E-2</v>
      </c>
      <c r="L42" s="901" t="n">
        <f>L38/K38-1</f>
        <v>4.2792079705116892E-2</v>
      </c>
      <c r="M42" t="s">
        <v>976</v>
      </c>
      <c r="AD42" s="289"/>
      <c r="AE42" s="289"/>
    </row>
    <row r="43" ht="14.85" customHeight="1">
      <c r="C43" s="63"/>
      <c r="D43" s="899" t="s">
        <v>990</v>
      </c>
      <c r="E43" s="63"/>
      <c r="F43" s="716"/>
      <c r="G43" s="268"/>
      <c r="H43" s="900" t="n">
        <f t="shared" ref="H43:H44" si="10">H39/G39-1</f>
        <v>3.1773093614383185E-2</v>
      </c>
      <c r="I43" s="900" t="n">
        <f>I39/H39-1.01</f>
        <v>0.19504731861198743</v>
      </c>
      <c r="J43" s="900" t="n">
        <f>J39/I39-1</f>
        <v>1.0638297872340274E-2</v>
      </c>
      <c r="K43" s="900" t="n">
        <f t="shared" ref="K43" si="11">K39/J39-1</f>
        <v>4.2105263157894646E-2</v>
      </c>
      <c r="L43" s="901" t="n">
        <f>L39/K39-1</f>
        <v>0</v>
      </c>
      <c r="AD43" s="289"/>
      <c r="AE43" s="289"/>
    </row>
    <row r="44" ht="14.85" customHeight="1">
      <c r="C44" s="63"/>
      <c r="D44" s="903" t="s">
        <v>991</v>
      </c>
      <c r="E44" s="64"/>
      <c r="F44" s="468"/>
      <c r="G44" s="334"/>
      <c r="H44" s="904" t="n">
        <f t="shared" si="10"/>
        <v>0.28603351955307299</v>
      </c>
      <c r="I44" s="904" t="n">
        <f>I40/H40-1.103</f>
        <v>0.16391765614441556</v>
      </c>
      <c r="J44" s="904" t="n">
        <f>J40/I40-1</f>
        <v>0.11889132363775001</v>
      </c>
      <c r="K44" s="904" t="n">
        <f>K40/J40-1</f>
        <v>6.5989313812109263E-3</v>
      </c>
      <c r="L44" s="905" t="n">
        <f>L40/K40-1</f>
        <v>2.1052543587793071E-2</v>
      </c>
      <c r="AD44" s="289"/>
      <c r="AE44" s="289"/>
    </row>
    <row r="45" ht="14.85" customHeight="1">
      <c r="D45" s="958"/>
      <c r="E45" s="952"/>
      <c r="F45" s="983"/>
      <c r="G45" s="983"/>
      <c r="H45" s="877"/>
      <c r="I45" s="877"/>
      <c r="J45" s="877"/>
      <c r="K45" s="877"/>
      <c r="L45" s="877"/>
      <c r="AD45" s="289"/>
      <c r="AE45" s="289"/>
    </row>
    <row r="46" ht="14.85" customHeight="1">
      <c r="D46" s="958"/>
      <c r="E46" s="952"/>
      <c r="F46" s="983"/>
      <c r="G46" s="983"/>
      <c r="H46" s="877"/>
      <c r="I46" s="877"/>
      <c r="J46" s="1024"/>
      <c r="K46" s="877"/>
      <c r="L46" s="877"/>
      <c r="AD46" s="289"/>
      <c r="AE46" s="289"/>
    </row>
    <row r="47" ht="14.85" customHeight="1">
      <c r="D47" s="958"/>
      <c r="E47" s="952"/>
      <c r="F47" s="983"/>
      <c r="G47" s="983"/>
      <c r="H47" s="877"/>
      <c r="I47" s="877"/>
      <c r="J47" s="877"/>
      <c r="K47" s="877"/>
      <c r="L47" s="877"/>
      <c r="AD47" s="289"/>
      <c r="AE47" s="289"/>
    </row>
    <row r="48" ht="41.85" customHeight="1">
      <c r="F48" s="268"/>
      <c r="G48" s="268"/>
      <c r="H48" s="758"/>
      <c r="I48" s="758"/>
      <c r="J48" s="758"/>
      <c r="K48" s="758"/>
      <c r="L48" s="758"/>
      <c r="M48" s="540"/>
      <c r="N48" s="540"/>
      <c r="AD48" s="758"/>
      <c r="AE48" s="758"/>
      <c r="AF48" s="758"/>
      <c r="AG48" s="758"/>
      <c r="AH48" s="758"/>
      <c r="AI48" s="758"/>
      <c r="AJ48" s="758"/>
      <c r="AK48" s="758"/>
      <c r="AM48" s="758"/>
      <c r="AN48" s="758"/>
    </row>
    <row r="49" ht="30.75" customHeight="1">
      <c r="D49" s="828" t="s">
        <v>1899</v>
      </c>
      <c r="E49" s="744" t="n">
        <v>2018</v>
      </c>
      <c r="F49" s="829" t="n">
        <v>2019</v>
      </c>
      <c r="G49" s="829" t="n">
        <v>2020</v>
      </c>
      <c r="H49" s="829" t="n">
        <v>2021</v>
      </c>
      <c r="I49" s="830" t="n">
        <v>2022</v>
      </c>
      <c r="J49" s="831" t="n">
        <v>2023</v>
      </c>
      <c r="K49" s="831" t="n">
        <v>2024</v>
      </c>
      <c r="L49" s="832" t="n">
        <v>2025</v>
      </c>
      <c r="N49" s="995"/>
      <c r="O49" s="302"/>
    </row>
    <row r="50" ht="30.75" customHeight="1">
      <c r="D50" s="835" t="s">
        <v>1898</v>
      </c>
      <c r="E50" s="836" t="n">
        <v>1683.5</v>
      </c>
      <c r="F50" s="836" t="n">
        <v>1717.9</v>
      </c>
      <c r="G50" s="836" t="n">
        <v>1609</v>
      </c>
      <c r="H50" s="355" t="n">
        <v>2044.377</v>
      </c>
      <c r="I50" s="544" t="n">
        <v>2632.145</v>
      </c>
      <c r="J50" s="1026" t="n">
        <v>2522.7190000000001</v>
      </c>
      <c r="K50" s="544" t="n">
        <v>2467.0259999999998</v>
      </c>
      <c r="L50" s="402" t="n">
        <v>2510.951</v>
      </c>
      <c r="M50" s="1004" t="s">
        <v>542</v>
      </c>
      <c r="N50" s="995"/>
      <c r="O50" s="302"/>
    </row>
    <row r="51" ht="16.5" customHeight="1">
      <c r="D51" s="1000" t="s">
        <v>1900</v>
      </c>
      <c r="E51" s="833" t="n">
        <v>1170.7</v>
      </c>
      <c r="F51" s="833" t="n">
        <v>1243.4000000000001</v>
      </c>
      <c r="G51" s="833" t="n">
        <v>1310</v>
      </c>
      <c r="H51" s="834" t="n">
        <v>1314.088</v>
      </c>
      <c r="I51" s="269" t="n">
        <v>1483.5260000000001</v>
      </c>
      <c r="J51" s="1025" t="n">
        <v>1562.308</v>
      </c>
      <c r="K51" s="269" t="n">
        <v>1632.9190000000001</v>
      </c>
      <c r="L51" s="349" t="n">
        <v>1702.7950000000001</v>
      </c>
      <c r="M51" s="1004"/>
      <c r="N51" s="989"/>
      <c r="O51" s="972"/>
      <c r="P51" s="986"/>
    </row>
    <row r="52">
      <c r="D52" s="649" t="s">
        <v>544</v>
      </c>
      <c r="E52" s="834" t="n">
        <f>E53+E54</f>
        <v>136.30000000000001</v>
      </c>
      <c r="F52" s="834" t="n">
        <f>F53+F54</f>
        <v>170.6</v>
      </c>
      <c r="G52" s="834" t="n">
        <f>G53+G54</f>
        <v>156</v>
      </c>
      <c r="H52" s="834" t="n">
        <f>H53+H54</f>
        <v>155.25900000000001</v>
      </c>
      <c r="I52" s="834" t="n">
        <f>I53+I54</f>
        <v>188</v>
      </c>
      <c r="J52" s="913" t="n">
        <f>J53+J54</f>
        <v>190</v>
      </c>
      <c r="K52" s="834" t="n">
        <f>K53+K54</f>
        <v>198</v>
      </c>
      <c r="L52" s="921" t="n">
        <f>L53+L54</f>
        <v>198</v>
      </c>
      <c r="N52" s="221"/>
      <c r="P52" s="990"/>
      <c r="Q52" s="990"/>
      <c r="R52" s="990"/>
      <c r="S52" s="990"/>
      <c r="T52" s="990"/>
      <c r="U52" s="990"/>
      <c r="V52" s="990"/>
      <c r="W52" s="990"/>
    </row>
    <row r="53">
      <c r="D53" s="969" t="s">
        <v>1901</v>
      </c>
      <c r="E53" s="833" t="n">
        <v>95</v>
      </c>
      <c r="F53" s="833" t="n">
        <v>99.8</v>
      </c>
      <c r="G53" s="833" t="n">
        <v>87</v>
      </c>
      <c r="H53" s="834" t="n">
        <v>75.274000000000001</v>
      </c>
      <c r="I53" s="839" t="n">
        <v>88</v>
      </c>
      <c r="J53" s="840" t="n">
        <v>91</v>
      </c>
      <c r="K53" s="839" t="n">
        <v>101</v>
      </c>
      <c r="L53" s="841" t="n">
        <v>100</v>
      </c>
      <c r="N53" s="221"/>
      <c r="P53" s="990"/>
      <c r="Q53" s="990"/>
      <c r="R53" s="990"/>
      <c r="S53" s="990"/>
      <c r="T53" s="990"/>
      <c r="U53" s="990"/>
      <c r="V53" s="990"/>
      <c r="W53" s="990"/>
    </row>
    <row r="54" ht="16.5" customHeight="1">
      <c r="D54" s="574" t="s">
        <v>1902</v>
      </c>
      <c r="E54" s="833" t="n">
        <v>41.3</v>
      </c>
      <c r="F54" s="833" t="n">
        <v>70.8</v>
      </c>
      <c r="G54" s="833" t="n">
        <v>69</v>
      </c>
      <c r="H54" s="834" t="n">
        <v>79.984999999999999</v>
      </c>
      <c r="I54" s="839" t="n">
        <v>100</v>
      </c>
      <c r="J54" s="840" t="n">
        <v>99</v>
      </c>
      <c r="K54" s="839" t="n">
        <v>97</v>
      </c>
      <c r="L54" s="841" t="n">
        <v>98</v>
      </c>
      <c r="M54" s="984"/>
      <c r="N54" s="984"/>
      <c r="O54" s="988"/>
      <c r="P54" s="986"/>
      <c r="Q54" s="986"/>
      <c r="R54" s="986"/>
      <c r="S54" s="986"/>
      <c r="T54" s="986"/>
      <c r="U54" s="986"/>
      <c r="V54" s="986"/>
      <c r="W54" s="986"/>
      <c r="X54" s="984"/>
      <c r="Y54" s="984"/>
      <c r="Z54" s="987"/>
    </row>
    <row r="55" ht="16.5" customHeight="1">
      <c r="D55" s="837" t="s">
        <v>1903</v>
      </c>
      <c r="E55" s="838" t="n">
        <v>204.7</v>
      </c>
      <c r="F55" s="838" t="n">
        <v>230.2</v>
      </c>
      <c r="G55" s="838" t="n">
        <v>212</v>
      </c>
      <c r="H55" s="944" t="n">
        <v>371.83100000000002</v>
      </c>
      <c r="I55" s="557" t="n">
        <v>424.86700000000002</v>
      </c>
      <c r="J55" s="842" t="n">
        <v>475.38</v>
      </c>
      <c r="K55" s="557" t="n">
        <v>478.517</v>
      </c>
      <c r="L55" s="437" t="n">
        <v>488.59100000000001</v>
      </c>
      <c r="M55" s="984"/>
      <c r="N55" s="984"/>
      <c r="O55" s="988"/>
      <c r="P55" s="986"/>
      <c r="Q55" s="986"/>
      <c r="R55" s="986"/>
      <c r="S55" s="986"/>
      <c r="T55" s="986"/>
      <c r="U55" s="986"/>
      <c r="V55" s="986"/>
      <c r="W55" s="986"/>
      <c r="X55" s="984"/>
      <c r="Y55" s="984"/>
      <c r="Z55" s="987"/>
    </row>
    <row r="56" ht="16.5" customHeight="1"/>
    <row r="57">
      <c r="D57" s="977" t="s">
        <v>545</v>
      </c>
      <c r="E57" s="825" t="n">
        <v>2018</v>
      </c>
      <c r="F57" s="826" t="n">
        <v>2019</v>
      </c>
      <c r="G57" s="827" t="n">
        <v>2020</v>
      </c>
      <c r="H57" s="826" t="n">
        <v>2021</v>
      </c>
      <c r="I57" s="826" t="n">
        <v>2022</v>
      </c>
      <c r="J57" s="996" t="n">
        <v>2023</v>
      </c>
      <c r="K57" s="996" t="n">
        <v>2024</v>
      </c>
      <c r="L57" s="997" t="n">
        <v>2025</v>
      </c>
      <c r="O57" s="584" t="s">
        <v>546</v>
      </c>
    </row>
    <row r="58" ht="14.85" customHeight="1">
      <c r="D58" s="979" t="s">
        <v>541</v>
      </c>
      <c r="E58" s="264" t="n">
        <v>1622</v>
      </c>
      <c r="F58" s="264" t="n">
        <v>1687</v>
      </c>
      <c r="G58" s="974" t="n">
        <f>G37</f>
        <v>1702.5749999999998</v>
      </c>
      <c r="H58" s="974" t="n">
        <f>H37</f>
        <v>2008.4750000000001</v>
      </c>
      <c r="I58" s="974" t="n">
        <f>I37</f>
        <v>2509.8999999999996</v>
      </c>
      <c r="J58" s="974" t="n">
        <f>J37</f>
        <v>2405.556083764382</v>
      </c>
      <c r="K58" s="974" t="n">
        <f>K37</f>
        <v>2352.4496398944584</v>
      </c>
      <c r="L58" s="974" t="n">
        <f>L37</f>
        <v>2394.3346262838863</v>
      </c>
    </row>
    <row r="59">
      <c r="D59" s="979" t="s">
        <v>547</v>
      </c>
      <c r="E59" s="264" t="n">
        <v>1332</v>
      </c>
      <c r="F59" s="264" t="n">
        <v>1388</v>
      </c>
      <c r="G59" s="974" t="n">
        <f>G38</f>
        <v>1425.3999999999999</v>
      </c>
      <c r="H59" s="974" t="n">
        <f>H38</f>
        <v>1495.1000000000001</v>
      </c>
      <c r="I59" s="974" t="n">
        <f>I38</f>
        <v>1627.425</v>
      </c>
      <c r="J59" s="974" t="n">
        <f>J38</f>
        <v>1713.8486935180104</v>
      </c>
      <c r="K59" s="974" t="n">
        <f>K38</f>
        <v>1791.3088166806649</v>
      </c>
      <c r="L59" s="974" t="n">
        <f>L38</f>
        <v>1867.9626463405427</v>
      </c>
      <c r="N59" s="982"/>
    </row>
    <row r="60">
      <c r="D60" s="979" t="s">
        <v>105</v>
      </c>
      <c r="E60" s="264" t="n">
        <v>150</v>
      </c>
      <c r="F60" s="264" t="n">
        <v>175</v>
      </c>
      <c r="G60" s="974" t="n">
        <f>G39</f>
        <v>161.30000000000001</v>
      </c>
      <c r="H60" s="974" t="n">
        <f>H39</f>
        <v>166.42500000000001</v>
      </c>
      <c r="I60" s="974" t="n">
        <f>I39</f>
        <v>200.55</v>
      </c>
      <c r="J60" s="974" t="n">
        <f>J39</f>
        <v>202.68351063829786</v>
      </c>
      <c r="K60" s="974" t="n">
        <f>K39</f>
        <v>211.21755319148934</v>
      </c>
      <c r="L60" s="974" t="n">
        <f>L39</f>
        <v>211.21755319148934</v>
      </c>
      <c r="N60" s="982"/>
    </row>
    <row r="61">
      <c r="D61" s="978" t="s">
        <v>303</v>
      </c>
      <c r="E61" s="642" t="n">
        <v>208</v>
      </c>
      <c r="F61" s="642" t="n">
        <v>219</v>
      </c>
      <c r="G61" s="1022" t="n">
        <f>G40</f>
        <v>201.37499999999997</v>
      </c>
      <c r="H61" s="1022" t="n">
        <f>H40</f>
        <v>258.97500000000002</v>
      </c>
      <c r="I61" s="1022" t="n">
        <f>I40</f>
        <v>328.1</v>
      </c>
      <c r="J61" s="1022" t="n">
        <f>J40</f>
        <v>367.10824328554583</v>
      </c>
      <c r="K61" s="1022" t="n">
        <f>K40</f>
        <v>369.53076539246399</v>
      </c>
      <c r="L61" s="1022" t="n">
        <f>L40</f>
        <v>377.3103279379194</v>
      </c>
      <c r="O61" s="815" t="s">
        <v>969</v>
      </c>
      <c r="P61" s="815" t="s">
        <v>969</v>
      </c>
      <c r="Q61" s="815" t="s">
        <v>969</v>
      </c>
      <c r="R61" s="815" t="s">
        <v>969</v>
      </c>
      <c r="S61" s="815" t="s">
        <v>969</v>
      </c>
      <c r="T61" s="815" t="s">
        <v>969</v>
      </c>
      <c r="U61" s="815" t="s">
        <v>969</v>
      </c>
      <c r="V61" s="816" t="s">
        <v>969</v>
      </c>
    </row>
    <row r="62" ht="14.85" customHeight="1">
      <c r="D62" s="297"/>
      <c r="E62" s="264"/>
      <c r="F62" s="264"/>
      <c r="G62" s="264"/>
      <c r="P62" s="817" t="n">
        <v>2022</v>
      </c>
      <c r="Q62" s="818" t="n">
        <v>2022</v>
      </c>
      <c r="R62" s="818" t="n">
        <v>2022</v>
      </c>
      <c r="S62" s="819" t="n">
        <v>2022</v>
      </c>
    </row>
    <row r="63" ht="17.25" customHeight="1">
      <c r="D63" s="511" t="s">
        <v>549</v>
      </c>
      <c r="E63" s="264"/>
      <c r="F63" s="264"/>
      <c r="G63" s="264"/>
      <c r="P63" s="1021" t="s">
        <v>970</v>
      </c>
      <c r="Q63" s="1021" t="s">
        <v>971</v>
      </c>
      <c r="R63" s="1021" t="s">
        <v>972</v>
      </c>
      <c r="S63" s="1021" t="s">
        <v>973</v>
      </c>
      <c r="T63" s="1023" t="s">
        <v>987</v>
      </c>
    </row>
    <row r="64" ht="30" customHeight="1">
      <c r="D64" s="1016" t="s">
        <v>550</v>
      </c>
      <c r="E64" s="826" t="n">
        <v>2018</v>
      </c>
      <c r="F64" s="826" t="n">
        <v>2019</v>
      </c>
      <c r="G64" s="827" t="n">
        <v>2020</v>
      </c>
      <c r="H64" s="744" t="n">
        <v>2021</v>
      </c>
      <c r="I64" s="745" t="n">
        <v>2022</v>
      </c>
      <c r="J64" s="998" t="n">
        <v>2023</v>
      </c>
      <c r="K64" s="998" t="n">
        <v>2024</v>
      </c>
      <c r="L64" s="999" t="n">
        <v>2025</v>
      </c>
      <c r="O64" s="58" t="s">
        <v>548</v>
      </c>
      <c r="P64" s="1019" t="n">
        <v>2973</v>
      </c>
      <c r="Q64" s="1019" t="n">
        <v>3062.8</v>
      </c>
      <c r="R64" s="1019" t="n">
        <v>3085.2</v>
      </c>
      <c r="S64" s="1020" t="n">
        <v>2106.1999999999998</v>
      </c>
      <c r="T64" s="1019" t="n">
        <v>3123.2</v>
      </c>
    </row>
    <row r="65">
      <c r="D65" s="979" t="s">
        <v>541</v>
      </c>
      <c r="E65" s="508" t="n">
        <f>E58/E50</f>
        <v>0.96346896346896349</v>
      </c>
      <c r="F65" s="508" t="n">
        <f>F58/F50</f>
        <v>0.98201292275452579</v>
      </c>
      <c r="G65" s="508" t="n">
        <f>G58/G50</f>
        <v>1.0581572405220632</v>
      </c>
      <c r="H65" s="954" t="n">
        <f>H58/H50</f>
        <v>0.98243865979709233</v>
      </c>
      <c r="I65" s="955" t="n">
        <f>I58/I50</f>
        <v>0.9535568899129796</v>
      </c>
      <c r="J65" s="955" t="n">
        <f>J58/J50</f>
        <v>0.9535568899129796</v>
      </c>
      <c r="K65" s="955" t="n">
        <f>K58/K50</f>
        <v>0.95355688991297971</v>
      </c>
      <c r="L65" s="956"/>
      <c r="T65" s="302"/>
    </row>
    <row r="66">
      <c r="D66" s="979" t="s">
        <v>547</v>
      </c>
      <c r="E66" s="508" t="n">
        <f>E59/E51</f>
        <v>1.1377808148970701</v>
      </c>
      <c r="F66" s="508" t="n">
        <f>F59/F51</f>
        <v>1.1162940324915553</v>
      </c>
      <c r="G66" s="508" t="n">
        <f>G59/G51</f>
        <v>1.0880916030534351</v>
      </c>
      <c r="H66" s="906" t="n">
        <f>H59/H51</f>
        <v>1.1377472437157938</v>
      </c>
      <c r="I66" s="508" t="n">
        <f>I59/I51</f>
        <v>1.0969979629612152</v>
      </c>
      <c r="J66" s="508" t="n">
        <f>J59/J51</f>
        <v>1.0969979629612152</v>
      </c>
      <c r="K66" s="508" t="n">
        <f>K59/K51</f>
        <v>1.0969979629612154</v>
      </c>
      <c r="L66" s="716"/>
    </row>
    <row r="67">
      <c r="D67" s="979" t="s">
        <v>105</v>
      </c>
      <c r="E67" s="508" t="n">
        <f>E60/E52</f>
        <v>1.1005135730007336</v>
      </c>
      <c r="F67" s="508" t="n">
        <f>F60/F52</f>
        <v>1.0257913247362251</v>
      </c>
      <c r="G67" s="508" t="n">
        <f>G60/G52</f>
        <v>1.0339743589743591</v>
      </c>
      <c r="H67" s="906" t="n">
        <f>H60/H52</f>
        <v>1.0719185361235097</v>
      </c>
      <c r="I67" s="508" t="n">
        <f>I60/I52</f>
        <v>1.0667553191489363</v>
      </c>
      <c r="J67" s="508" t="n">
        <f>J60/J52</f>
        <v>1.0667553191489361</v>
      </c>
      <c r="K67" s="508" t="n">
        <f>K60/K52</f>
        <v>1.0667553191489361</v>
      </c>
      <c r="L67" s="716"/>
    </row>
    <row r="68">
      <c r="D68" s="978" t="s">
        <v>303</v>
      </c>
      <c r="E68" s="908" t="n">
        <f t="shared" ref="E68:K68" si="12">E61/E55</f>
        <v>1.0161211529066927</v>
      </c>
      <c r="F68" s="908" t="n">
        <f t="shared" si="12"/>
        <v>0.95134665508253702</v>
      </c>
      <c r="G68" s="908" t="n">
        <f t="shared" si="12"/>
        <v>0.94988207547169801</v>
      </c>
      <c r="H68" s="907" t="n">
        <f t="shared" si="12"/>
        <v>0.69648576907250881</v>
      </c>
      <c r="I68" s="908" t="n">
        <f t="shared" si="12"/>
        <v>0.77224166621554513</v>
      </c>
      <c r="J68" s="908" t="n">
        <f t="shared" si="12"/>
        <v>0.77224166621554513</v>
      </c>
      <c r="K68" s="908" t="n">
        <f t="shared" si="12"/>
        <v>0.77224166621554513</v>
      </c>
      <c r="L68" s="468"/>
    </row>
    <row r="70">
      <c r="D70" s="297"/>
      <c r="E70" s="264"/>
      <c r="F70" s="264"/>
      <c r="G70" s="264"/>
    </row>
    <row r="71">
      <c r="D71" s="268" t="s">
        <v>551</v>
      </c>
    </row>
    <row r="72">
      <c r="D72" s="843"/>
      <c r="E72" s="744" t="n">
        <v>2018</v>
      </c>
      <c r="F72" s="829" t="n">
        <v>2019</v>
      </c>
      <c r="G72" s="829" t="n">
        <v>2020</v>
      </c>
      <c r="H72" s="871" t="n">
        <v>2021</v>
      </c>
      <c r="I72" s="829" t="n">
        <v>2022</v>
      </c>
      <c r="J72" s="844" t="n">
        <v>2023</v>
      </c>
      <c r="K72" s="844" t="n">
        <v>2024</v>
      </c>
      <c r="L72" s="1001" t="n">
        <v>2025</v>
      </c>
    </row>
    <row r="73">
      <c r="D73" s="671" t="s">
        <v>1904</v>
      </c>
      <c r="E73" s="355" t="n">
        <v>14016.099999999999</v>
      </c>
      <c r="F73" s="355" t="n">
        <v>14604.2</v>
      </c>
      <c r="G73" s="355" t="n">
        <v>14711.300000000001</v>
      </c>
      <c r="H73" s="502" t="n">
        <v>20725.8</v>
      </c>
      <c r="I73" s="846" t="n">
        <v>21482.5</v>
      </c>
      <c r="J73" s="846" t="n">
        <v>22812.2</v>
      </c>
      <c r="K73" s="846" t="n">
        <v>23945.599999999999</v>
      </c>
      <c r="L73" s="847" t="n">
        <v>24950.7</v>
      </c>
    </row>
    <row r="74">
      <c r="D74" s="899" t="s">
        <v>1905</v>
      </c>
      <c r="E74" s="264" t="n">
        <v>8804</v>
      </c>
      <c r="F74" s="264" t="n">
        <v>9209</v>
      </c>
      <c r="G74" s="834" t="n">
        <v>9300</v>
      </c>
      <c r="H74" s="845" t="n">
        <v>10082.5</v>
      </c>
      <c r="I74" s="512" t="n">
        <v>10994.5</v>
      </c>
      <c r="J74" s="512" t="n">
        <v>11592.6</v>
      </c>
      <c r="K74" s="512" t="n">
        <v>12130.9</v>
      </c>
      <c r="L74" s="848" t="n">
        <v>12724.9</v>
      </c>
    </row>
    <row r="75">
      <c r="D75" s="899" t="s">
        <v>1906</v>
      </c>
      <c r="E75" s="264" t="n">
        <v>13844</v>
      </c>
      <c r="F75" s="264" t="n">
        <v>14403</v>
      </c>
      <c r="G75" s="834" t="n">
        <v>14201</v>
      </c>
      <c r="H75" s="845" t="n">
        <v>15279.9</v>
      </c>
      <c r="I75" s="512" t="n">
        <v>17042.8</v>
      </c>
      <c r="J75" s="512" t="n">
        <v>18155</v>
      </c>
      <c r="K75" s="512" t="n">
        <v>18926.599999999999</v>
      </c>
      <c r="L75" s="848" t="n">
        <v>19683.400000000001</v>
      </c>
    </row>
    <row r="76">
      <c r="D76" s="903" t="s">
        <v>1908</v>
      </c>
      <c r="E76" s="944" t="n">
        <v>2211</v>
      </c>
      <c r="F76" s="944" t="n">
        <v>2243</v>
      </c>
      <c r="G76" s="944" t="n">
        <v>2125</v>
      </c>
      <c r="H76" s="849" t="n">
        <v>2678.6</v>
      </c>
      <c r="I76" s="807" t="n">
        <v>2926.6</v>
      </c>
      <c r="J76" s="807" t="n">
        <v>2669.9</v>
      </c>
      <c r="K76" s="807" t="n">
        <v>2538.6999999999998</v>
      </c>
      <c r="L76" s="850" t="n">
        <v>2803.5</v>
      </c>
    </row>
    <row r="78">
      <c r="D78" s="268" t="s">
        <v>555</v>
      </c>
    </row>
    <row r="79">
      <c r="D79" s="977" t="s">
        <v>556</v>
      </c>
      <c r="E79" s="745" t="n">
        <v>2018</v>
      </c>
      <c r="F79" s="872" t="n">
        <v>2019</v>
      </c>
      <c r="G79" s="872" t="n">
        <v>2020</v>
      </c>
      <c r="H79" s="871" t="n">
        <v>2021</v>
      </c>
      <c r="I79" s="872" t="n">
        <v>2022</v>
      </c>
      <c r="J79" s="991" t="n">
        <v>2023</v>
      </c>
      <c r="K79" s="991" t="n">
        <v>2024</v>
      </c>
      <c r="L79" s="1001" t="n">
        <v>2025</v>
      </c>
    </row>
    <row r="80">
      <c r="D80" s="1005" t="s">
        <v>541</v>
      </c>
      <c r="E80" s="957" t="n">
        <f>E50/E73</f>
        <v>0.12011187134794987</v>
      </c>
      <c r="F80" s="931" t="n">
        <f>F50/F73</f>
        <v>0.11763054463784391</v>
      </c>
      <c r="G80" s="926" t="n">
        <f>G50/G73</f>
        <v>0.10937170746297063</v>
      </c>
      <c r="H80" s="931" t="n">
        <f>H50/H73</f>
        <v>9.8639232261239621E-2</v>
      </c>
      <c r="I80" s="931" t="n">
        <f>I50/I73</f>
        <v>0.12252507855231001</v>
      </c>
      <c r="J80" s="931" t="n">
        <f>J50/J73</f>
        <v>0.11058639675261482</v>
      </c>
      <c r="K80" s="931" t="n">
        <f>K50/K73</f>
        <v>0.10302627622611252</v>
      </c>
      <c r="L80" s="926" t="n">
        <f>L50/L73</f>
        <v>0.10063649516847223</v>
      </c>
    </row>
    <row r="81">
      <c r="D81" s="1005" t="s">
        <v>543</v>
      </c>
      <c r="E81" s="945" t="n">
        <f>E51/E74</f>
        <v>0.13297364834166289</v>
      </c>
      <c r="F81" s="859" t="n">
        <f>F51/F74</f>
        <v>0.13502008904332718</v>
      </c>
      <c r="G81" s="927" t="n">
        <f>G51/G74</f>
        <v>0.14086021505376345</v>
      </c>
      <c r="H81" s="859" t="n">
        <f>H51/H74</f>
        <v>0.1303335482271262</v>
      </c>
      <c r="I81" s="859" t="n">
        <f>I51/I74</f>
        <v>0.1349334667333667</v>
      </c>
      <c r="J81" s="859" t="n">
        <f>J51/J74</f>
        <v>0.13476769663405966</v>
      </c>
      <c r="K81" s="859" t="n">
        <f>K51/K74</f>
        <v>0.13460823187067739</v>
      </c>
      <c r="L81" s="927" t="n">
        <f>L51/L74</f>
        <v>0.1338159828368003</v>
      </c>
    </row>
    <row r="82">
      <c r="D82" s="899" t="s">
        <v>557</v>
      </c>
      <c r="E82" s="945" t="n">
        <f>E52/E75</f>
        <v>9.8454203987286912E-3</v>
      </c>
      <c r="F82" s="859" t="n">
        <f>F52/F75</f>
        <v>1.1844754565021176E-2</v>
      </c>
      <c r="G82" s="927" t="n">
        <f>G52/G75</f>
        <v>1.0985141891416098E-2</v>
      </c>
      <c r="H82" s="859" t="n">
        <f>H52/H75</f>
        <v>1.016099581803546E-2</v>
      </c>
      <c r="I82" s="859" t="n">
        <f>I52/I75</f>
        <v>1.1031051235712443E-2</v>
      </c>
      <c r="J82" s="859" t="n">
        <f>J52/J75</f>
        <v>1.0465436518865326E-2</v>
      </c>
      <c r="K82" s="859" t="n">
        <f>K52/K75</f>
        <v>1.0461466930140649E-2</v>
      </c>
      <c r="L82" s="927" t="n">
        <f>L52/L75</f>
        <v>1.0059237733318431E-2</v>
      </c>
    </row>
    <row r="83">
      <c r="D83" s="1006" t="s">
        <v>106</v>
      </c>
      <c r="E83" s="909" t="n">
        <f>E55/E76</f>
        <v>9.258254183627318E-2</v>
      </c>
      <c r="F83" s="910" t="n">
        <f>F55/F76</f>
        <v>0.10263040570664288</v>
      </c>
      <c r="G83" s="911" t="n">
        <f>G55/G76</f>
        <v>9.9764705882352936E-2</v>
      </c>
      <c r="H83" s="910" t="n">
        <f>H55/H76</f>
        <v>0.13881542596878968</v>
      </c>
      <c r="I83" s="910" t="n">
        <f>I55/I76</f>
        <v>0.14517426365065264</v>
      </c>
      <c r="J83" s="910" t="n">
        <f>J55/J76</f>
        <v>0.1780516124199408</v>
      </c>
      <c r="K83" s="910" t="n">
        <f>K55/K76</f>
        <v>0.18848899042817191</v>
      </c>
      <c r="L83" s="911" t="n">
        <f>L55/L76</f>
        <v>0.174278937042982</v>
      </c>
    </row>
    <row r="85">
      <c r="D85" s="268" t="s">
        <v>558</v>
      </c>
    </row>
    <row r="86">
      <c r="D86" s="1012" t="s">
        <v>399</v>
      </c>
    </row>
    <row r="87">
      <c r="D87" s="977" t="s">
        <v>559</v>
      </c>
      <c r="E87" s="826" t="n">
        <v>2018</v>
      </c>
      <c r="F87" s="864" t="n">
        <v>2019</v>
      </c>
      <c r="G87" s="864" t="n">
        <v>2020</v>
      </c>
      <c r="H87" s="870" t="n">
        <v>2021</v>
      </c>
      <c r="I87" s="864" t="n">
        <v>2022</v>
      </c>
      <c r="J87" s="1002" t="n">
        <v>2023</v>
      </c>
      <c r="K87" s="1002" t="n">
        <v>2024</v>
      </c>
      <c r="L87" s="1003" t="n">
        <v>2025</v>
      </c>
    </row>
    <row r="88" ht="20.25" customHeight="1">
      <c r="D88" s="980" t="s">
        <v>541</v>
      </c>
      <c r="E88" s="957" t="n">
        <f>E80*E65</f>
        <v>0.11572406018792676</v>
      </c>
      <c r="F88" s="931" t="n">
        <f>F80*F65</f>
        <v>0.11551471494501581</v>
      </c>
      <c r="G88" s="931" t="n">
        <f>G80*G65</f>
        <v>0.11573246416020334</v>
      </c>
      <c r="H88" s="957" t="n">
        <f>N107</f>
        <v>0.13083976407289996</v>
      </c>
      <c r="I88" s="931" t="n">
        <f>H88</f>
        <v>0.13083976407289996</v>
      </c>
      <c r="J88" s="931" t="n">
        <f t="shared" ref="J88:L88" si="13">I88</f>
        <v>0.13083976407289996</v>
      </c>
      <c r="K88" s="931" t="n">
        <f t="shared" si="13"/>
        <v>0.13083976407289996</v>
      </c>
      <c r="L88" s="926" t="n">
        <f t="shared" si="13"/>
        <v>0.13083976407289996</v>
      </c>
      <c r="M88" s="1008"/>
      <c r="N88" s="1007"/>
      <c r="O88" s="859"/>
      <c r="P88" s="859"/>
      <c r="Q88" s="859"/>
      <c r="R88" s="859"/>
      <c r="S88" s="859"/>
      <c r="T88" s="859"/>
      <c r="U88" s="859"/>
      <c r="V88" s="859"/>
      <c r="W88" s="859"/>
      <c r="X88" s="859"/>
      <c r="Y88" s="859"/>
    </row>
    <row r="89" ht="18.75" customHeight="1">
      <c r="D89" s="980" t="s">
        <v>543</v>
      </c>
      <c r="E89" s="945" t="n">
        <f>E81*E66</f>
        <v>0.15129486597001363</v>
      </c>
      <c r="F89" s="859" t="n">
        <f>F81*F66</f>
        <v>0.15072211966554458</v>
      </c>
      <c r="G89" s="859" t="n">
        <f>G81*G66</f>
        <v>0.15326881720430108</v>
      </c>
      <c r="H89" s="945" t="n">
        <f>N109</f>
        <v>0.14822588114733906</v>
      </c>
      <c r="I89" s="859" t="n">
        <f>H89</f>
        <v>0.14822588114733906</v>
      </c>
      <c r="J89" s="859" t="n">
        <f>I89</f>
        <v>0.14822588114733906</v>
      </c>
      <c r="K89" s="859" t="n">
        <f t="shared" ref="K89:L89" si="14">J89</f>
        <v>0.14822588114733906</v>
      </c>
      <c r="L89" s="927" t="n">
        <f t="shared" si="14"/>
        <v>0.14822588114733906</v>
      </c>
      <c r="M89" s="1008"/>
      <c r="N89" s="1007"/>
      <c r="O89" s="859"/>
      <c r="P89" s="859"/>
      <c r="Q89" s="859"/>
      <c r="R89" s="859"/>
      <c r="S89" s="859"/>
      <c r="T89" s="859"/>
      <c r="U89" s="859"/>
      <c r="V89" s="859"/>
      <c r="W89" s="859"/>
      <c r="X89" s="859"/>
      <c r="Y89" s="859"/>
    </row>
    <row r="90" ht="19.350000000000001" customHeight="1">
      <c r="D90" s="979" t="s">
        <v>105</v>
      </c>
      <c r="E90" s="945" t="n">
        <f>E82*E67</f>
        <v>1.0835018780699219E-2</v>
      </c>
      <c r="F90" s="859" t="n">
        <f>F82*F67</f>
        <v>1.2150246476428523E-2</v>
      </c>
      <c r="G90" s="859" t="n">
        <f>G82*G67</f>
        <v>1.1358355045419337E-2</v>
      </c>
      <c r="H90" s="945" t="n">
        <f>N110</f>
        <v>1.1211939165902553E-2</v>
      </c>
      <c r="I90" s="859" t="n">
        <f>AVERAGE($F67:$G67)*I82</f>
        <v>1.1360690395286862E-2</v>
      </c>
      <c r="J90" s="859" t="n">
        <f>AVERAGE($F67:$G67)*J82</f>
        <v>1.0778173503305177E-2</v>
      </c>
      <c r="K90" s="859" t="n">
        <f>J90</f>
        <v>1.0778173503305177E-2</v>
      </c>
      <c r="L90" s="927" t="n">
        <f>K90</f>
        <v>1.0778173503305177E-2</v>
      </c>
      <c r="M90" s="1008"/>
      <c r="N90" s="1007"/>
      <c r="O90" s="859"/>
      <c r="P90" s="859"/>
      <c r="Q90" s="859"/>
      <c r="R90" s="859"/>
      <c r="S90" s="859"/>
      <c r="T90" s="859"/>
      <c r="U90" s="859"/>
      <c r="V90" s="859"/>
      <c r="W90" s="859"/>
      <c r="X90" s="859"/>
      <c r="Y90" s="859"/>
    </row>
    <row r="91" ht="19.350000000000001" customHeight="1">
      <c r="D91" s="981" t="s">
        <v>106</v>
      </c>
      <c r="E91" s="909" t="n">
        <f>E83*E68</f>
        <v>9.4075079149706017E-2</v>
      </c>
      <c r="F91" s="910" t="n">
        <f>F83*F68</f>
        <v>9.7637093178778417E-2</v>
      </c>
      <c r="G91" s="910" t="n">
        <f>G83*G68</f>
        <v>9.4764705882352931E-2</v>
      </c>
      <c r="H91" s="909" t="n">
        <f>M111</f>
        <v>0.11594202898550723</v>
      </c>
      <c r="I91" s="910" t="n">
        <f>N111</f>
        <v>0.11690415853101242</v>
      </c>
      <c r="J91" s="910" t="n">
        <f>I91</f>
        <v>0.11690415853101242</v>
      </c>
      <c r="K91" s="910" t="n">
        <f>J91</f>
        <v>0.11690415853101242</v>
      </c>
      <c r="L91" s="911" t="n">
        <f>K91</f>
        <v>0.11690415853101242</v>
      </c>
      <c r="M91" s="1008"/>
      <c r="N91" s="1007"/>
      <c r="O91" s="859"/>
      <c r="P91" s="859"/>
      <c r="Q91" s="859"/>
      <c r="R91" s="859"/>
      <c r="S91" s="859"/>
      <c r="T91" s="859"/>
      <c r="U91" s="859"/>
      <c r="V91" s="859"/>
      <c r="W91" s="859"/>
      <c r="X91" s="859"/>
      <c r="Y91" s="859"/>
    </row>
    <row r="92">
      <c r="E92" s="868"/>
      <c r="F92" s="868"/>
      <c r="G92" s="868"/>
      <c r="H92" s="868"/>
      <c r="I92" s="868"/>
      <c r="J92" s="868"/>
      <c r="K92" s="868"/>
      <c r="L92" s="868"/>
    </row>
    <row r="93">
      <c r="D93" s="1011" t="s">
        <v>412</v>
      </c>
      <c r="E93" s="859"/>
      <c r="F93" s="859"/>
      <c r="G93" s="859"/>
      <c r="H93" s="859"/>
      <c r="I93" s="859"/>
      <c r="J93" s="859"/>
      <c r="K93" s="859"/>
      <c r="L93" s="859"/>
      <c r="M93" s="859"/>
      <c r="N93" s="859"/>
      <c r="O93" s="859"/>
      <c r="P93" s="859"/>
      <c r="Q93" s="859"/>
      <c r="R93" s="859"/>
      <c r="S93" s="859"/>
      <c r="T93" s="859"/>
      <c r="U93" s="859"/>
      <c r="V93" s="859"/>
      <c r="W93" s="859"/>
      <c r="X93" s="859"/>
      <c r="Y93" s="859"/>
    </row>
    <row r="94">
      <c r="D94" s="744" t="s">
        <v>1919</v>
      </c>
      <c r="E94" s="808"/>
      <c r="F94" s="198" t="n">
        <v>2019</v>
      </c>
      <c r="G94" s="235"/>
      <c r="H94" s="236"/>
      <c r="I94" s="198" t="n">
        <v>2020</v>
      </c>
      <c r="J94" s="235"/>
      <c r="K94" s="235"/>
      <c r="L94" s="236"/>
      <c r="M94" s="198" t="n">
        <v>2021</v>
      </c>
      <c r="N94" s="235"/>
      <c r="O94" s="235"/>
      <c r="P94" s="235"/>
      <c r="Q94" s="198" t="n">
        <v>2022</v>
      </c>
      <c r="R94" s="199"/>
      <c r="S94" s="199"/>
      <c r="T94" s="236"/>
      <c r="U94" s="241" t="n">
        <v>2023</v>
      </c>
      <c r="V94" s="242"/>
      <c r="W94" s="242"/>
      <c r="X94" s="243"/>
      <c r="Y94" s="244" t="n">
        <v>2024</v>
      </c>
      <c r="Z94" s="242"/>
      <c r="AA94" s="242"/>
      <c r="AB94" s="242"/>
      <c r="AC94" s="290" t="n">
        <v>2025</v>
      </c>
    </row>
    <row r="95">
      <c r="D95" s="813"/>
      <c r="E95" s="814"/>
      <c r="F95" s="204" t="s">
        <v>329</v>
      </c>
      <c r="G95" s="217" t="s">
        <v>238</v>
      </c>
      <c r="H95" s="200" t="s">
        <v>327</v>
      </c>
      <c r="I95" s="204" t="s">
        <v>328</v>
      </c>
      <c r="J95" s="217" t="s">
        <v>329</v>
      </c>
      <c r="K95" s="217" t="s">
        <v>238</v>
      </c>
      <c r="L95" s="200" t="s">
        <v>327</v>
      </c>
      <c r="M95" s="204" t="s">
        <v>328</v>
      </c>
      <c r="N95" s="217" t="s">
        <v>329</v>
      </c>
      <c r="O95" s="217" t="s">
        <v>238</v>
      </c>
      <c r="P95" s="217" t="s">
        <v>327</v>
      </c>
      <c r="Q95" s="204" t="s">
        <v>328</v>
      </c>
      <c r="R95" s="217" t="s">
        <v>329</v>
      </c>
      <c r="S95" s="217" t="s">
        <v>238</v>
      </c>
      <c r="T95" s="200" t="s">
        <v>327</v>
      </c>
      <c r="U95" s="350" t="s">
        <v>328</v>
      </c>
      <c r="V95" s="350" t="s">
        <v>329</v>
      </c>
      <c r="W95" s="350" t="s">
        <v>238</v>
      </c>
      <c r="X95" s="348" t="s">
        <v>327</v>
      </c>
      <c r="Y95" s="418" t="s">
        <v>328</v>
      </c>
      <c r="Z95" s="283" t="s">
        <v>329</v>
      </c>
      <c r="AA95" s="350" t="s">
        <v>238</v>
      </c>
      <c r="AB95" s="350" t="s">
        <v>327</v>
      </c>
      <c r="AC95" s="443" t="s">
        <v>328</v>
      </c>
      <c r="AD95" s="859"/>
    </row>
    <row r="96">
      <c r="D96" s="1017" t="s">
        <v>552</v>
      </c>
      <c r="E96" s="851"/>
      <c r="F96" s="355" t="n">
        <f>F97+F98</f>
        <v>0</v>
      </c>
      <c r="G96" s="355" t="n">
        <f>G97+G98</f>
        <v>0</v>
      </c>
      <c r="H96" s="355" t="n">
        <f>H97+H98</f>
        <v>0</v>
      </c>
      <c r="I96" s="355" t="n">
        <f>I97+I98</f>
        <v>15134.800000000001</v>
      </c>
      <c r="J96" s="355" t="n">
        <f>J97+J98</f>
        <v>14265.5</v>
      </c>
      <c r="K96" s="355" t="n">
        <f>K97+K98</f>
        <v>14943.5</v>
      </c>
      <c r="L96" s="355" t="n">
        <f>L97+L98</f>
        <v>15319.300000000001</v>
      </c>
      <c r="M96" s="355" t="n">
        <f>M97+M98</f>
        <v>15357.6</v>
      </c>
      <c r="N96" s="355" t="n">
        <f>N97+N98</f>
        <v>15825.2</v>
      </c>
      <c r="O96" s="355" t="n">
        <f>O97+O98</f>
        <v>16160.699999999999</v>
      </c>
      <c r="P96" s="355" t="n">
        <f>P97+P98</f>
        <v>16536.3</v>
      </c>
      <c r="Q96" s="355" t="n">
        <f>Q97+Q98</f>
        <v>16751.7</v>
      </c>
      <c r="R96" s="355" t="n">
        <f>R97+R98</f>
        <v>16992.3</v>
      </c>
      <c r="S96" s="355" t="n">
        <f>S97+S98</f>
        <v>17266.900000000001</v>
      </c>
      <c r="T96" s="355" t="n">
        <f>T97+T98</f>
        <v>17639.8</v>
      </c>
      <c r="U96" s="861" t="n">
        <f>U97+U98</f>
        <v>17860.099999999999</v>
      </c>
      <c r="V96" s="863" t="n">
        <f>V97+V98</f>
        <v>18096.2</v>
      </c>
      <c r="W96" s="863" t="n">
        <f>W97+W98</f>
        <v>18317.400000000001</v>
      </c>
      <c r="X96" s="863" t="n">
        <f>X97+X98</f>
        <v>18552.3</v>
      </c>
      <c r="Y96" s="863" t="n">
        <f>Y97+Y98</f>
        <v>18754.800000000003</v>
      </c>
      <c r="Z96" s="863" t="n">
        <f>Z97+Z98</f>
        <v>18946.099999999999</v>
      </c>
      <c r="AA96" s="863" t="n">
        <f>AA97+AA98</f>
        <v>19138.2</v>
      </c>
      <c r="AB96" s="863" t="n">
        <f>AB97+AB98</f>
        <v>19333.099999999999</v>
      </c>
      <c r="AC96" s="862" t="n">
        <f>AC97+AC98</f>
        <v>19534.599999999999</v>
      </c>
      <c r="AD96" s="859"/>
    </row>
    <row r="97">
      <c r="D97" s="969" t="s">
        <v>1905</v>
      </c>
      <c r="E97" s="675"/>
      <c r="F97" s="834"/>
      <c r="G97" s="834"/>
      <c r="H97" s="834"/>
      <c r="I97" s="512" t="n">
        <v>9624.7000000000007</v>
      </c>
      <c r="J97" s="512" t="n">
        <v>8995.7000000000007</v>
      </c>
      <c r="K97" s="512" t="n">
        <v>9425.4</v>
      </c>
      <c r="L97" s="512" t="n">
        <v>9783.7000000000007</v>
      </c>
      <c r="M97" s="512" t="n">
        <v>9851.2000000000007</v>
      </c>
      <c r="N97" s="512" t="n">
        <v>10138.5</v>
      </c>
      <c r="O97" s="512" t="n">
        <v>10422.299999999999</v>
      </c>
      <c r="P97" s="512" t="n">
        <v>10748.4</v>
      </c>
      <c r="Q97" s="512" t="n">
        <v>10925.5</v>
      </c>
      <c r="R97" s="512" t="n">
        <v>11058</v>
      </c>
      <c r="S97" s="512" t="n">
        <v>11245.9</v>
      </c>
      <c r="T97" s="512" t="n">
        <v>11411.5</v>
      </c>
      <c r="U97" s="515" t="n">
        <v>11537.2</v>
      </c>
      <c r="V97" s="513" t="n">
        <v>11648</v>
      </c>
      <c r="W97" s="513" t="n">
        <v>11773.6</v>
      </c>
      <c r="X97" s="513" t="n">
        <v>11917.1</v>
      </c>
      <c r="Y97" s="513" t="n">
        <v>12060.2</v>
      </c>
      <c r="Z97" s="513" t="n">
        <v>12201.2</v>
      </c>
      <c r="AA97" s="513" t="n">
        <v>12345.2</v>
      </c>
      <c r="AB97" s="513" t="n">
        <v>12495.8</v>
      </c>
      <c r="AC97" s="514" t="n">
        <v>12653.4</v>
      </c>
      <c r="AD97" s="859"/>
    </row>
    <row r="98">
      <c r="D98" s="310" t="s">
        <v>1909</v>
      </c>
      <c r="E98" s="640"/>
      <c r="F98" s="834"/>
      <c r="G98" s="834"/>
      <c r="H98" s="834"/>
      <c r="I98" s="512" t="n">
        <v>5510.1</v>
      </c>
      <c r="J98" s="512" t="n">
        <v>5269.8</v>
      </c>
      <c r="K98" s="512" t="n">
        <v>5518.1</v>
      </c>
      <c r="L98" s="512" t="n">
        <v>5535.6</v>
      </c>
      <c r="M98" s="512" t="n">
        <v>5506.4</v>
      </c>
      <c r="N98" s="512" t="n">
        <v>5686.7</v>
      </c>
      <c r="O98" s="512" t="n">
        <v>5738.4</v>
      </c>
      <c r="P98" s="512" t="n">
        <v>5787.9</v>
      </c>
      <c r="Q98" s="512" t="n">
        <v>5826.2</v>
      </c>
      <c r="R98" s="512" t="n">
        <v>5934.3</v>
      </c>
      <c r="S98" s="512" t="n">
        <v>6021</v>
      </c>
      <c r="T98" s="512" t="n">
        <v>6228.3</v>
      </c>
      <c r="U98" s="515" t="n">
        <v>6322.9</v>
      </c>
      <c r="V98" s="513" t="n">
        <v>6448.2</v>
      </c>
      <c r="W98" s="513" t="n">
        <v>6543.8</v>
      </c>
      <c r="X98" s="513" t="n">
        <v>6635.2</v>
      </c>
      <c r="Y98" s="513" t="n">
        <v>6694.6</v>
      </c>
      <c r="Z98" s="513" t="n">
        <v>6744.9</v>
      </c>
      <c r="AA98" s="513" t="n">
        <v>6793</v>
      </c>
      <c r="AB98" s="513" t="n">
        <v>6837.3</v>
      </c>
      <c r="AC98" s="514" t="n">
        <v>6881.2</v>
      </c>
      <c r="AD98" s="859"/>
    </row>
    <row r="99">
      <c r="D99" s="310" t="s">
        <v>1906</v>
      </c>
      <c r="E99" s="640"/>
      <c r="F99" s="834"/>
      <c r="G99" s="834"/>
      <c r="H99" s="834"/>
      <c r="I99" s="512" t="n">
        <v>14440.2</v>
      </c>
      <c r="J99" s="512" t="n">
        <v>13049.8</v>
      </c>
      <c r="K99" s="512" t="n">
        <v>14388.7</v>
      </c>
      <c r="L99" s="512" t="n">
        <v>14586</v>
      </c>
      <c r="M99" s="512" t="n">
        <v>15131.5</v>
      </c>
      <c r="N99" s="512" t="n">
        <v>15813.5</v>
      </c>
      <c r="O99" s="512" t="n">
        <v>16147.3</v>
      </c>
      <c r="P99" s="512" t="n">
        <v>16518</v>
      </c>
      <c r="Q99" s="512" t="n">
        <v>16874.8</v>
      </c>
      <c r="R99" s="512" t="n">
        <v>17261.3</v>
      </c>
      <c r="S99" s="512" t="n">
        <v>17517.099999999999</v>
      </c>
      <c r="T99" s="512" t="n">
        <v>17851.099999999999</v>
      </c>
      <c r="U99" s="515" t="n">
        <v>18063.900000000001</v>
      </c>
      <c r="V99" s="513" t="n">
        <v>18252.3</v>
      </c>
      <c r="W99" s="513" t="n">
        <v>18452.8</v>
      </c>
      <c r="X99" s="513" t="n">
        <v>18649.400000000001</v>
      </c>
      <c r="Y99" s="513" t="n">
        <v>18836.5</v>
      </c>
      <c r="Z99" s="513" t="n">
        <v>19019.400000000001</v>
      </c>
      <c r="AA99" s="513" t="n">
        <v>19200.900000000001</v>
      </c>
      <c r="AB99" s="513" t="n">
        <v>19391.900000000001</v>
      </c>
      <c r="AC99" s="514" t="n">
        <v>19588.599999999999</v>
      </c>
      <c r="AD99" s="859"/>
    </row>
    <row r="100">
      <c r="D100" s="752" t="s">
        <v>1907</v>
      </c>
      <c r="E100" s="670"/>
      <c r="F100" s="670"/>
      <c r="G100" s="670"/>
      <c r="H100" s="944"/>
      <c r="I100" s="807" t="n">
        <v>1736.3</v>
      </c>
      <c r="J100" s="807" t="n">
        <v>1597.1</v>
      </c>
      <c r="K100" s="807" t="n">
        <v>2041.1</v>
      </c>
      <c r="L100" s="807" t="n">
        <v>1947.4</v>
      </c>
      <c r="M100" s="807" t="n">
        <v>2152.8000000000002</v>
      </c>
      <c r="N100" s="807" t="n">
        <v>2407.1</v>
      </c>
      <c r="O100" s="807" t="n">
        <v>2431.8000000000002</v>
      </c>
      <c r="P100" s="807" t="n">
        <v>2443.1999999999998</v>
      </c>
      <c r="Q100" s="807" t="n">
        <v>2432.6999999999998</v>
      </c>
      <c r="R100" s="807" t="n">
        <v>2538.9</v>
      </c>
      <c r="S100" s="807" t="n">
        <v>2512.1</v>
      </c>
      <c r="T100" s="807" t="n">
        <v>2378.9</v>
      </c>
      <c r="U100" s="854" t="n">
        <v>2219.1999999999998</v>
      </c>
      <c r="V100" s="852" t="n">
        <v>2093.4</v>
      </c>
      <c r="W100" s="852" t="n">
        <v>2022.5</v>
      </c>
      <c r="X100" s="852" t="n">
        <v>1970.7</v>
      </c>
      <c r="Y100" s="852" t="n">
        <v>1993</v>
      </c>
      <c r="Z100" s="852" t="n">
        <v>2028.7</v>
      </c>
      <c r="AA100" s="852" t="n">
        <v>2079.1999999999998</v>
      </c>
      <c r="AB100" s="852" t="n">
        <v>2151.1</v>
      </c>
      <c r="AC100" s="853" t="n">
        <v>2220.5</v>
      </c>
    </row>
    <row r="101" ht="18.75" customHeight="1"/>
    <row r="102">
      <c r="D102" s="1018"/>
      <c r="E102" s="675"/>
      <c r="F102" s="675"/>
      <c r="G102" s="675"/>
      <c r="H102" s="834"/>
      <c r="I102" s="834"/>
      <c r="J102" s="834"/>
      <c r="K102" s="834"/>
      <c r="L102" s="834"/>
      <c r="M102" s="834"/>
      <c r="N102" s="834"/>
      <c r="O102" s="834"/>
      <c r="P102" s="834"/>
      <c r="Q102" s="834"/>
      <c r="R102" s="834"/>
      <c r="S102" s="834"/>
      <c r="T102" s="834"/>
      <c r="U102" s="834"/>
      <c r="V102" s="834"/>
      <c r="W102" s="834"/>
      <c r="X102" s="834"/>
      <c r="Y102" s="834"/>
      <c r="Z102" s="834"/>
      <c r="AA102" s="834"/>
      <c r="AB102" s="834"/>
      <c r="AC102" s="834"/>
    </row>
    <row r="103">
      <c r="D103" s="584"/>
      <c r="AC103" s="63"/>
    </row>
    <row r="104">
      <c r="D104" s="744" t="s">
        <v>561</v>
      </c>
      <c r="E104" s="808"/>
      <c r="F104" s="198" t="n">
        <v>2019</v>
      </c>
      <c r="G104" s="235"/>
      <c r="H104" s="236"/>
      <c r="I104" s="235" t="n">
        <v>2020</v>
      </c>
      <c r="J104" s="235"/>
      <c r="K104" s="235"/>
      <c r="L104" s="236"/>
      <c r="M104" s="198" t="n">
        <v>2021</v>
      </c>
      <c r="N104" s="235"/>
      <c r="O104" s="235"/>
      <c r="P104" s="235"/>
      <c r="Q104" s="198" t="n">
        <v>2022</v>
      </c>
      <c r="R104" s="199"/>
      <c r="S104" s="199"/>
      <c r="T104" s="236"/>
      <c r="U104" s="241" t="n">
        <v>2023</v>
      </c>
      <c r="V104" s="242"/>
      <c r="W104" s="242"/>
      <c r="X104" s="243"/>
      <c r="Y104" s="244" t="n">
        <v>2024</v>
      </c>
      <c r="Z104" s="242"/>
      <c r="AA104" s="242"/>
      <c r="AB104" s="242"/>
      <c r="AC104" s="290" t="n">
        <v>2025</v>
      </c>
    </row>
    <row r="105">
      <c r="D105" s="813"/>
      <c r="E105" s="814"/>
      <c r="F105" s="204" t="s">
        <v>329</v>
      </c>
      <c r="G105" s="217" t="s">
        <v>238</v>
      </c>
      <c r="H105" s="200" t="s">
        <v>327</v>
      </c>
      <c r="I105" s="217" t="s">
        <v>328</v>
      </c>
      <c r="J105" s="217" t="s">
        <v>329</v>
      </c>
      <c r="K105" s="217" t="s">
        <v>238</v>
      </c>
      <c r="L105" s="200" t="s">
        <v>327</v>
      </c>
      <c r="M105" s="204" t="s">
        <v>328</v>
      </c>
      <c r="N105" s="217" t="s">
        <v>329</v>
      </c>
      <c r="O105" s="217" t="s">
        <v>238</v>
      </c>
      <c r="P105" s="217" t="s">
        <v>327</v>
      </c>
      <c r="Q105" s="204" t="s">
        <v>328</v>
      </c>
      <c r="R105" s="217" t="s">
        <v>329</v>
      </c>
      <c r="S105" s="217" t="s">
        <v>238</v>
      </c>
      <c r="T105" s="200" t="s">
        <v>327</v>
      </c>
      <c r="U105" s="304" t="s">
        <v>328</v>
      </c>
      <c r="V105" s="304" t="s">
        <v>329</v>
      </c>
      <c r="W105" s="304" t="s">
        <v>238</v>
      </c>
      <c r="X105" s="305" t="s">
        <v>327</v>
      </c>
      <c r="Y105" s="303" t="s">
        <v>328</v>
      </c>
      <c r="Z105" s="299" t="s">
        <v>329</v>
      </c>
      <c r="AA105" s="304" t="s">
        <v>238</v>
      </c>
      <c r="AB105" s="304" t="s">
        <v>327</v>
      </c>
      <c r="AC105" s="306" t="s">
        <v>328</v>
      </c>
    </row>
    <row r="106">
      <c r="D106" s="811" t="s">
        <v>562</v>
      </c>
      <c r="E106" s="812"/>
      <c r="F106" s="279"/>
      <c r="G106" s="280"/>
      <c r="H106" s="280"/>
      <c r="I106" s="280"/>
      <c r="J106" s="280"/>
      <c r="K106" s="280"/>
      <c r="L106" s="280"/>
      <c r="M106" s="280"/>
      <c r="N106" s="280"/>
      <c r="O106" s="280"/>
      <c r="P106" s="280"/>
      <c r="Q106" s="280"/>
      <c r="R106" s="280"/>
      <c r="S106" s="280"/>
      <c r="T106" s="766"/>
      <c r="U106" s="242"/>
      <c r="V106" s="242"/>
      <c r="W106" s="242"/>
      <c r="X106" s="242"/>
      <c r="Y106" s="242"/>
      <c r="Z106" s="242"/>
      <c r="AA106" s="242"/>
      <c r="AB106" s="242"/>
      <c r="AC106" s="243"/>
    </row>
    <row r="107">
      <c r="D107" s="574" t="s">
        <v>532</v>
      </c>
      <c r="F107" s="945"/>
      <c r="G107" s="859"/>
      <c r="H107" s="859" t="n">
        <f>H10/H114</f>
        <v>0.11520931070611083</v>
      </c>
      <c r="I107" s="859" t="n">
        <f>I10/I114</f>
        <v>0.11566144134388082</v>
      </c>
      <c r="J107" s="859" t="n">
        <f>J10/J114</f>
        <v>0.11281835698020669</v>
      </c>
      <c r="K107" s="859" t="n">
        <f>K10/K114</f>
        <v>0.11518678305073408</v>
      </c>
      <c r="L107" s="859" t="n">
        <f>L10/L114</f>
        <v>0.11990448353254346</v>
      </c>
      <c r="M107" s="859" t="n">
        <f>M10/M114</f>
        <v>0.12789328127541891</v>
      </c>
      <c r="N107" s="859" t="n">
        <f>N10/N114</f>
        <v>0.13083976407289996</v>
      </c>
      <c r="O107" s="859" t="n">
        <f>O10/O114</f>
        <v>0.13349080813015168</v>
      </c>
      <c r="P107" s="859" t="n">
        <f>P10/P114</f>
        <v>0.13507699001667917</v>
      </c>
      <c r="Q107" s="859" t="n">
        <f>Q10/Q114</f>
        <v>0.15293907130714859</v>
      </c>
      <c r="R107" s="859" t="n">
        <f>R10/R114</f>
        <v>0.15280309534169892</v>
      </c>
      <c r="S107" s="923" t="n">
        <f>S10/S114</f>
        <v>0.15189254768024193</v>
      </c>
      <c r="T107" s="940" t="n">
        <f>T10/T114</f>
        <v>0.14996124228381963</v>
      </c>
      <c r="U107" s="860" t="n">
        <f>T107+U108</f>
        <v>0.12996124228381964</v>
      </c>
      <c r="V107" s="860" t="n">
        <f t="shared" ref="V107:AC107" si="15">U107+V108</f>
        <v>0.12996124228381964</v>
      </c>
      <c r="W107" s="860" t="n">
        <f t="shared" si="15"/>
        <v>0.12996124228381964</v>
      </c>
      <c r="X107" s="860" t="n">
        <f t="shared" si="15"/>
        <v>0.12996124228381964</v>
      </c>
      <c r="Y107" s="860" t="n">
        <f t="shared" si="15"/>
        <v>0.12996124228381964</v>
      </c>
      <c r="Z107" s="860" t="n">
        <f t="shared" si="15"/>
        <v>0.12996124228381964</v>
      </c>
      <c r="AA107" s="860" t="n">
        <f t="shared" si="15"/>
        <v>0.12996124228381964</v>
      </c>
      <c r="AB107" s="860" t="n">
        <f t="shared" si="15"/>
        <v>0.12996124228381964</v>
      </c>
      <c r="AC107" s="860" t="n">
        <f t="shared" si="15"/>
        <v>0.12996124228381964</v>
      </c>
    </row>
    <row r="108">
      <c r="D108" s="574" t="s">
        <v>953</v>
      </c>
      <c r="F108" s="945"/>
      <c r="G108" s="859"/>
      <c r="H108" s="859"/>
      <c r="I108" s="859"/>
      <c r="J108" s="859"/>
      <c r="K108" s="859"/>
      <c r="L108" s="859"/>
      <c r="M108" s="859"/>
      <c r="N108" s="859"/>
      <c r="O108" s="859"/>
      <c r="P108" s="859"/>
      <c r="Q108" s="859"/>
      <c r="R108" s="859"/>
      <c r="S108" s="923"/>
      <c r="T108" s="940"/>
      <c r="U108" s="937" t="n">
        <v>-0.02</v>
      </c>
      <c r="V108" s="860"/>
      <c r="W108" s="860"/>
      <c r="X108" s="860"/>
      <c r="Y108" s="860"/>
      <c r="Z108" s="860"/>
      <c r="AA108" s="860"/>
      <c r="AB108" s="860"/>
      <c r="AC108" s="860"/>
    </row>
    <row r="109">
      <c r="D109" s="574" t="s">
        <v>533</v>
      </c>
      <c r="F109" s="945"/>
      <c r="G109" s="859"/>
      <c r="H109" s="859" t="n">
        <f>H13/H119</f>
        <v>0.15062717402761674</v>
      </c>
      <c r="I109" s="859" t="n">
        <f>I13/I119</f>
        <v>0.15103642270684339</v>
      </c>
      <c r="J109" s="859" t="n">
        <f>J13/J119</f>
        <v>0.15387605940440088</v>
      </c>
      <c r="K109" s="859" t="n">
        <f>K13/K119</f>
        <v>0.15183673469387757</v>
      </c>
      <c r="L109" s="859" t="n">
        <f>L13/L119</f>
        <v>0.1496195679926467</v>
      </c>
      <c r="M109" s="859" t="n">
        <f>M13/M119</f>
        <v>0.14955735161391731</v>
      </c>
      <c r="N109" s="859" t="n">
        <f>N13/N119</f>
        <v>0.14822588114733906</v>
      </c>
      <c r="O109" s="859" t="n">
        <f>O13/O119</f>
        <v>0.14724543781628582</v>
      </c>
      <c r="P109" s="859" t="n">
        <f>P13/P119</f>
        <v>0.14666765802020501</v>
      </c>
      <c r="Q109" s="859" t="n">
        <f>Q13/Q119</f>
        <v>0.1478248151161409</v>
      </c>
      <c r="R109" s="859" t="n">
        <f>R13/R119</f>
        <v>0.14783370514545832</v>
      </c>
      <c r="S109" s="923" t="n">
        <f>S13/S119</f>
        <v>0.14749399984175407</v>
      </c>
      <c r="T109" s="940" t="n">
        <f>T13/T119</f>
        <v>0.1472480157700887</v>
      </c>
      <c r="U109" s="860" t="n">
        <f t="shared" ref="U109:AC109" si="16">T109</f>
        <v>0.1472480157700887</v>
      </c>
      <c r="V109" s="860" t="n">
        <f t="shared" si="16"/>
        <v>0.1472480157700887</v>
      </c>
      <c r="W109" s="860" t="n">
        <f t="shared" si="16"/>
        <v>0.1472480157700887</v>
      </c>
      <c r="X109" s="860" t="n">
        <f t="shared" si="16"/>
        <v>0.1472480157700887</v>
      </c>
      <c r="Y109" s="860" t="n">
        <f t="shared" si="16"/>
        <v>0.1472480157700887</v>
      </c>
      <c r="Z109" s="860" t="n">
        <f t="shared" si="16"/>
        <v>0.1472480157700887</v>
      </c>
      <c r="AA109" s="860" t="n">
        <f t="shared" si="16"/>
        <v>0.1472480157700887</v>
      </c>
      <c r="AB109" s="860" t="n">
        <f t="shared" si="16"/>
        <v>0.1472480157700887</v>
      </c>
      <c r="AC109" s="860" t="n">
        <f t="shared" si="16"/>
        <v>0.1472480157700887</v>
      </c>
    </row>
    <row r="110">
      <c r="D110" s="574" t="s">
        <v>534</v>
      </c>
      <c r="F110" s="945"/>
      <c r="G110" s="859"/>
      <c r="H110" s="859" t="n">
        <f>H15/H120</f>
        <v>1.2100690881729256E-2</v>
      </c>
      <c r="I110" s="859" t="n">
        <f>I15/I120</f>
        <v>1.2922258694477915E-2</v>
      </c>
      <c r="J110" s="859" t="n">
        <f>J15/J120</f>
        <v>1.016107526552131E-2</v>
      </c>
      <c r="K110" s="859" t="n">
        <f>K15/K120</f>
        <v>1.0362298192331481E-2</v>
      </c>
      <c r="L110" s="859" t="n">
        <f>L15/L120</f>
        <v>1.0626628273687096E-2</v>
      </c>
      <c r="M110" s="859" t="n">
        <f>M15/M120</f>
        <v>1.0349271387502891E-2</v>
      </c>
      <c r="N110" s="859" t="n">
        <f>N15/N120</f>
        <v>1.1211939165902553E-2</v>
      </c>
      <c r="O110" s="859" t="n">
        <f>O15/O120</f>
        <v>1.0949198937283633E-2</v>
      </c>
      <c r="P110" s="859" t="n">
        <f>P15/P120</f>
        <v>1.135730718004601E-2</v>
      </c>
      <c r="Q110" s="859" t="n">
        <f>Q15/Q120</f>
        <v>1.1994216227747885E-2</v>
      </c>
      <c r="R110" s="859" t="n">
        <f>R15/R120</f>
        <v>1.2131183630433398E-2</v>
      </c>
      <c r="S110" s="923" t="n">
        <f>S15/S120</f>
        <v>1.1560364140069659E-2</v>
      </c>
      <c r="T110" s="940" t="n">
        <f>T15/T120</f>
        <v>1.0837316398970877E-2</v>
      </c>
      <c r="U110" s="860" t="n">
        <f t="shared" ref="U110:AC110" si="17">T110</f>
        <v>1.0837316398970877E-2</v>
      </c>
      <c r="V110" s="860" t="n">
        <f t="shared" si="17"/>
        <v>1.0837316398970877E-2</v>
      </c>
      <c r="W110" s="860" t="n">
        <f t="shared" si="17"/>
        <v>1.0837316398970877E-2</v>
      </c>
      <c r="X110" s="860" t="n">
        <f t="shared" si="17"/>
        <v>1.0837316398970877E-2</v>
      </c>
      <c r="Y110" s="860" t="n">
        <f t="shared" si="17"/>
        <v>1.0837316398970877E-2</v>
      </c>
      <c r="Z110" s="860" t="n">
        <f t="shared" si="17"/>
        <v>1.0837316398970877E-2</v>
      </c>
      <c r="AA110" s="860" t="n">
        <f t="shared" si="17"/>
        <v>1.0837316398970877E-2</v>
      </c>
      <c r="AB110" s="860" t="n">
        <f t="shared" si="17"/>
        <v>1.0837316398970877E-2</v>
      </c>
      <c r="AC110" s="860" t="n">
        <f t="shared" si="17"/>
        <v>1.0837316398970877E-2</v>
      </c>
    </row>
    <row r="111">
      <c r="D111" s="457" t="s">
        <v>535</v>
      </c>
      <c r="F111" s="945"/>
      <c r="G111" s="859"/>
      <c r="H111" s="859" t="n">
        <f>H18/H121</f>
        <v>0.11697176543592926</v>
      </c>
      <c r="I111" s="859" t="n">
        <f>I18/I121</f>
        <v>0.10545412659102689</v>
      </c>
      <c r="J111" s="859" t="n">
        <f>J18/J121</f>
        <v>0.11132677978836643</v>
      </c>
      <c r="K111" s="859" t="n">
        <f>K18/K121</f>
        <v>0.10700112684336878</v>
      </c>
      <c r="L111" s="859" t="n">
        <f>L18/L121</f>
        <v>0.11630892472013966</v>
      </c>
      <c r="M111" s="859" t="n">
        <f>M18/M121</f>
        <v>0.11594202898550723</v>
      </c>
      <c r="N111" s="859" t="n">
        <f>N18/N121</f>
        <v>0.11690415853101242</v>
      </c>
      <c r="O111" s="859" t="n">
        <f>O18/O121</f>
        <v>0.11448309893905748</v>
      </c>
      <c r="P111" s="859" t="n">
        <f>P18/P121</f>
        <v>0.12475442043222006</v>
      </c>
      <c r="Q111" s="859" t="n">
        <f>Q18/Q121</f>
        <v>0.12899247749414233</v>
      </c>
      <c r="R111" s="923" t="n">
        <f>R18/R121</f>
        <v>0.13911536492181653</v>
      </c>
      <c r="S111" s="923" t="n">
        <f>S18/S121</f>
        <v>0.13340122199592669</v>
      </c>
      <c r="T111" s="934" t="n">
        <f t="shared" ref="T111" si="18">S111</f>
        <v>0.13340122199592669</v>
      </c>
      <c r="U111" s="860" t="n">
        <f>T111+U112</f>
        <v>0.12140122199592669</v>
      </c>
      <c r="V111" s="860" t="n">
        <f t="shared" ref="V111:AC111" si="19">U111+V112</f>
        <v>0.12140122199592669</v>
      </c>
      <c r="W111" s="860" t="n">
        <f t="shared" si="19"/>
        <v>0.12140122199592669</v>
      </c>
      <c r="X111" s="860" t="n">
        <f t="shared" si="19"/>
        <v>0.12140122199592669</v>
      </c>
      <c r="Y111" s="860" t="n">
        <f t="shared" si="19"/>
        <v>0.12140122199592669</v>
      </c>
      <c r="Z111" s="860" t="n">
        <f t="shared" si="19"/>
        <v>0.12140122199592669</v>
      </c>
      <c r="AA111" s="860" t="n">
        <f t="shared" si="19"/>
        <v>0.12140122199592669</v>
      </c>
      <c r="AB111" s="860" t="n">
        <f t="shared" si="19"/>
        <v>0.12140122199592669</v>
      </c>
      <c r="AC111" s="860" t="n">
        <f t="shared" si="19"/>
        <v>0.12140122199592669</v>
      </c>
    </row>
    <row r="112">
      <c r="D112" s="457" t="s">
        <v>1916</v>
      </c>
      <c r="F112" s="945"/>
      <c r="G112" s="859"/>
      <c r="H112" s="859"/>
      <c r="I112" s="859"/>
      <c r="J112" s="859"/>
      <c r="K112" s="859"/>
      <c r="L112" s="859"/>
      <c r="M112" s="859"/>
      <c r="N112" s="859"/>
      <c r="O112" s="859"/>
      <c r="P112" s="859"/>
      <c r="Q112" s="859"/>
      <c r="R112" s="923"/>
      <c r="S112" s="923"/>
      <c r="T112" s="934"/>
      <c r="U112" s="860" t="n">
        <v>-1.2E-2</v>
      </c>
      <c r="V112" s="860"/>
      <c r="W112" s="860"/>
      <c r="X112" s="860"/>
      <c r="Y112" s="860"/>
      <c r="Z112" s="860"/>
      <c r="AA112" s="860"/>
      <c r="AB112" s="860"/>
      <c r="AC112" s="860"/>
    </row>
    <row r="113">
      <c r="D113" s="712" t="s">
        <v>563</v>
      </c>
      <c r="F113" s="311"/>
      <c r="G113" s="264"/>
      <c r="H113" s="264"/>
      <c r="I113" s="264"/>
      <c r="J113" s="264"/>
      <c r="K113" s="264"/>
      <c r="L113" s="264"/>
      <c r="M113" s="264"/>
      <c r="N113" s="264"/>
      <c r="O113" s="264"/>
      <c r="P113" s="264"/>
      <c r="Q113" s="264"/>
      <c r="R113" s="264"/>
      <c r="S113" s="264"/>
      <c r="T113" s="647"/>
      <c r="U113" s="350"/>
      <c r="V113" s="350"/>
      <c r="W113" s="350"/>
      <c r="X113" s="350"/>
      <c r="Y113" s="350"/>
      <c r="Z113" s="350"/>
      <c r="AA113" s="350"/>
      <c r="AB113" s="350"/>
      <c r="AC113" s="348"/>
    </row>
    <row r="114" ht="14.85" customHeight="1">
      <c r="D114" s="969" t="s">
        <v>564</v>
      </c>
      <c r="F114" s="913" t="n">
        <f>SUM(F115:F118)</f>
        <v>14677.800000000003</v>
      </c>
      <c r="G114" s="834" t="n">
        <f t="shared" ref="G114:O114" si="20">SUM(G115:G118)</f>
        <v>14803.5</v>
      </c>
      <c r="H114" s="834" t="n">
        <f t="shared" si="20"/>
        <v>14984.9</v>
      </c>
      <c r="I114" s="834" t="n">
        <f t="shared" si="20"/>
        <v>15144.2</v>
      </c>
      <c r="J114" s="834" t="n">
        <f t="shared" si="20"/>
        <v>14272.5</v>
      </c>
      <c r="K114" s="834" t="n">
        <f t="shared" si="20"/>
        <v>14950.5</v>
      </c>
      <c r="L114" s="834" t="n">
        <f t="shared" si="20"/>
        <v>15327.199999999999</v>
      </c>
      <c r="M114" s="834" t="n">
        <f t="shared" si="20"/>
        <v>15367.5</v>
      </c>
      <c r="N114" s="834" t="n">
        <f t="shared" si="20"/>
        <v>15835.400000000001</v>
      </c>
      <c r="O114" s="834" t="n">
        <f t="shared" si="20"/>
        <v>16171.900000000001</v>
      </c>
      <c r="P114" s="834" t="n">
        <f t="shared" ref="P114:T114" si="21">SUM(P115:P118)</f>
        <v>16547.599999999999</v>
      </c>
      <c r="Q114" s="834" t="n">
        <f t="shared" si="21"/>
        <v>16765.5</v>
      </c>
      <c r="R114" s="834" t="n">
        <f t="shared" si="21"/>
        <v>17006.199999999997</v>
      </c>
      <c r="S114" s="915" t="n">
        <f t="shared" si="21"/>
        <v>17391.900000000001</v>
      </c>
      <c r="T114" s="941" t="n">
        <f t="shared" si="21"/>
        <v>17673.900000000001</v>
      </c>
      <c r="U114" s="350"/>
      <c r="V114" s="350"/>
      <c r="W114" s="350"/>
      <c r="X114" s="350"/>
      <c r="Y114" s="350"/>
      <c r="Z114" s="350"/>
      <c r="AA114" s="350"/>
      <c r="AB114" s="350"/>
      <c r="AC114" s="348"/>
      <c r="AD114" s="985"/>
      <c r="AE114" s="985"/>
      <c r="AF114" s="985"/>
    </row>
    <row r="115">
      <c r="D115" s="1009" t="s">
        <v>838</v>
      </c>
      <c r="E115" s="268" t="s">
        <v>834</v>
      </c>
      <c r="F115" s="913" t="n">
        <f>'Haver Pivoted'!GQ81</f>
        <v>9284.7000000000007</v>
      </c>
      <c r="G115" s="834" t="n">
        <f>'Haver Pivoted'!GR81</f>
        <v>9340.5</v>
      </c>
      <c r="H115" s="834" t="n">
        <f>'Haver Pivoted'!GS81</f>
        <v>9487</v>
      </c>
      <c r="I115" s="834" t="n">
        <f>'Haver Pivoted'!GT81</f>
        <v>9634.1</v>
      </c>
      <c r="J115" s="834" t="n">
        <f>'Haver Pivoted'!GU81</f>
        <v>9002.7000000000007</v>
      </c>
      <c r="K115" s="834" t="n">
        <f>'Haver Pivoted'!GV81</f>
        <v>9432.5</v>
      </c>
      <c r="L115" s="834" t="n">
        <f>'Haver Pivoted'!GW81</f>
        <v>9791.5</v>
      </c>
      <c r="M115" s="834" t="n">
        <f>'Haver Pivoted'!GX81</f>
        <v>9861.1</v>
      </c>
      <c r="N115" s="834" t="n">
        <f>'Haver Pivoted'!GY81</f>
        <v>10148.700000000001</v>
      </c>
      <c r="O115" s="834" t="n">
        <f>'Haver Pivoted'!GZ81</f>
        <v>10433.6</v>
      </c>
      <c r="P115" s="834" t="n">
        <f>'Haver Pivoted'!HA81</f>
        <v>10759.7</v>
      </c>
      <c r="Q115" s="834" t="n">
        <f>'Haver Pivoted'!HB81</f>
        <v>10939.3</v>
      </c>
      <c r="R115" s="834" t="n">
        <f>'Haver Pivoted'!HC81</f>
        <v>11071.9</v>
      </c>
      <c r="S115" s="915" t="n">
        <f>'Haver Pivoted'!HD81</f>
        <v>11374.7</v>
      </c>
      <c r="T115" s="941" t="n">
        <f>'Haver Pivoted'!HE81</f>
        <v>11566.2</v>
      </c>
      <c r="U115" s="350"/>
      <c r="V115" s="350"/>
      <c r="W115" s="350"/>
      <c r="X115" s="350"/>
      <c r="Y115" s="350"/>
      <c r="Z115" s="350"/>
      <c r="AA115" s="350"/>
      <c r="AB115" s="350"/>
      <c r="AC115" s="348"/>
    </row>
    <row r="116">
      <c r="D116" s="1009" t="s">
        <v>565</v>
      </c>
      <c r="E116" s="268" t="s">
        <v>835</v>
      </c>
      <c r="F116" s="913" t="n">
        <f>'Haver Pivoted'!GQ82</f>
        <v>1575.2</v>
      </c>
      <c r="G116" s="834" t="n">
        <f>'Haver Pivoted'!GR82</f>
        <v>1615.3</v>
      </c>
      <c r="H116" s="834" t="n">
        <f>'Haver Pivoted'!GS82</f>
        <v>1631.9</v>
      </c>
      <c r="I116" s="834" t="n">
        <f>'Haver Pivoted'!GT82</f>
        <v>1643.2</v>
      </c>
      <c r="J116" s="834" t="n">
        <f>'Haver Pivoted'!GU82</f>
        <v>1475.6</v>
      </c>
      <c r="K116" s="834" t="n">
        <f>'Haver Pivoted'!GV82</f>
        <v>1751.6</v>
      </c>
      <c r="L116" s="834" t="n">
        <f>'Haver Pivoted'!GW82</f>
        <v>1702</v>
      </c>
      <c r="M116" s="834" t="n">
        <f>'Haver Pivoted'!GX82</f>
        <v>1655</v>
      </c>
      <c r="N116" s="834" t="n">
        <f>'Haver Pivoted'!GY82</f>
        <v>1776.9</v>
      </c>
      <c r="O116" s="834" t="n">
        <f>'Haver Pivoted'!GZ82</f>
        <v>1792.7</v>
      </c>
      <c r="P116" s="834" t="n">
        <f>'Haver Pivoted'!HA82</f>
        <v>1789.8</v>
      </c>
      <c r="Q116" s="834" t="n">
        <f>'Haver Pivoted'!HB82</f>
        <v>1811.4</v>
      </c>
      <c r="R116" s="834" t="n">
        <f>'Haver Pivoted'!HC82</f>
        <v>1835.4</v>
      </c>
      <c r="S116" s="915" t="n">
        <f>'Haver Pivoted'!HD82</f>
        <v>1863.5</v>
      </c>
      <c r="T116" s="941" t="n">
        <f>'Haver Pivoted'!HE82</f>
        <v>1883.5</v>
      </c>
      <c r="U116" s="350"/>
      <c r="V116" s="350"/>
      <c r="W116" s="350"/>
      <c r="X116" s="350"/>
      <c r="Y116" s="350"/>
      <c r="Z116" s="350"/>
      <c r="AA116" s="350"/>
      <c r="AB116" s="350"/>
      <c r="AC116" s="348"/>
    </row>
    <row r="117">
      <c r="D117" s="1009" t="s">
        <v>566</v>
      </c>
      <c r="E117" s="268" t="s">
        <v>841</v>
      </c>
      <c r="F117" s="913" t="n">
        <f>'Haver Pivoted'!GQ83</f>
        <v>696.1</v>
      </c>
      <c r="G117" s="834" t="n">
        <f>'Haver Pivoted'!GR83</f>
        <v>699.1</v>
      </c>
      <c r="H117" s="834" t="n">
        <f>'Haver Pivoted'!GS83</f>
        <v>708</v>
      </c>
      <c r="I117" s="834" t="n">
        <f>'Haver Pivoted'!GT83</f>
        <v>722.6</v>
      </c>
      <c r="J117" s="834" t="n">
        <f>'Haver Pivoted'!GU83</f>
        <v>717.9</v>
      </c>
      <c r="K117" s="834" t="n">
        <f>'Haver Pivoted'!GV83</f>
        <v>722.6</v>
      </c>
      <c r="L117" s="834" t="n">
        <f>'Haver Pivoted'!GW83</f>
        <v>716.3</v>
      </c>
      <c r="M117" s="834" t="n">
        <f>'Haver Pivoted'!GX83</f>
        <v>719.4</v>
      </c>
      <c r="N117" s="834" t="n">
        <f>'Haver Pivoted'!GY83</f>
        <v>713.5</v>
      </c>
      <c r="O117" s="834" t="n">
        <f>'Haver Pivoted'!GZ83</f>
        <v>722.7</v>
      </c>
      <c r="P117" s="834" t="n">
        <f>'Haver Pivoted'!HA83</f>
        <v>739.6</v>
      </c>
      <c r="Q117" s="834" t="n">
        <f>'Haver Pivoted'!HB83</f>
        <v>744.9</v>
      </c>
      <c r="R117" s="834" t="n">
        <f>'Haver Pivoted'!HC83</f>
        <v>775.9</v>
      </c>
      <c r="S117" s="915" t="n">
        <f>'Haver Pivoted'!HD83</f>
        <v>794.9</v>
      </c>
      <c r="T117" s="941" t="n">
        <f>'Haver Pivoted'!HE83</f>
        <v>809.4</v>
      </c>
      <c r="U117" s="350"/>
      <c r="V117" s="350"/>
      <c r="W117" s="350"/>
      <c r="X117" s="350"/>
      <c r="Y117" s="350"/>
      <c r="Z117" s="350"/>
      <c r="AA117" s="350"/>
      <c r="AB117" s="350"/>
      <c r="AC117" s="348"/>
    </row>
    <row r="118">
      <c r="D118" s="1009" t="s">
        <v>567</v>
      </c>
      <c r="E118" s="268" t="s">
        <v>837</v>
      </c>
      <c r="F118" s="913" t="n">
        <f>'Haver Pivoted'!GQ84</f>
        <v>3121.8</v>
      </c>
      <c r="G118" s="834" t="n">
        <f>'Haver Pivoted'!GR84</f>
        <v>3148.6</v>
      </c>
      <c r="H118" s="834" t="n">
        <f>'Haver Pivoted'!GS84</f>
        <v>3158</v>
      </c>
      <c r="I118" s="834" t="n">
        <f>'Haver Pivoted'!GT84</f>
        <v>3144.3</v>
      </c>
      <c r="J118" s="834" t="n">
        <f>'Haver Pivoted'!GU84</f>
        <v>3076.3</v>
      </c>
      <c r="K118" s="834" t="n">
        <f>'Haver Pivoted'!GV84</f>
        <v>3043.8</v>
      </c>
      <c r="L118" s="834" t="n">
        <f>'Haver Pivoted'!GW84</f>
        <v>3117.4</v>
      </c>
      <c r="M118" s="834" t="n">
        <f>'Haver Pivoted'!GX84</f>
        <v>3132</v>
      </c>
      <c r="N118" s="834" t="n">
        <f>'Haver Pivoted'!GY84</f>
        <v>3196.3</v>
      </c>
      <c r="O118" s="834" t="n">
        <f>'Haver Pivoted'!GZ84</f>
        <v>3222.9</v>
      </c>
      <c r="P118" s="834" t="n">
        <f>'Haver Pivoted'!HA84</f>
        <v>3258.5</v>
      </c>
      <c r="Q118" s="834" t="n">
        <f>'Haver Pivoted'!HB84</f>
        <v>3269.9</v>
      </c>
      <c r="R118" s="834" t="n">
        <f>'Haver Pivoted'!HC84</f>
        <v>3323</v>
      </c>
      <c r="S118" s="915" t="n">
        <f>'Haver Pivoted'!HD84</f>
        <v>3358.8</v>
      </c>
      <c r="T118" s="941" t="n">
        <f>'Haver Pivoted'!HE84</f>
        <v>3414.8</v>
      </c>
      <c r="U118" s="350"/>
      <c r="V118" s="350"/>
      <c r="W118" s="350"/>
      <c r="X118" s="350"/>
      <c r="Y118" s="350"/>
      <c r="Z118" s="350"/>
      <c r="AA118" s="350"/>
      <c r="AB118" s="350"/>
      <c r="AC118" s="348"/>
    </row>
    <row r="119">
      <c r="D119" s="969" t="s">
        <v>553</v>
      </c>
      <c r="F119" s="913" t="n">
        <f>F115</f>
        <v>9284.7000000000007</v>
      </c>
      <c r="G119" s="834" t="n">
        <f t="shared" ref="G119:O119" si="22">G115</f>
        <v>9340.5</v>
      </c>
      <c r="H119" s="834" t="n">
        <f t="shared" si="22"/>
        <v>9487</v>
      </c>
      <c r="I119" s="834" t="n">
        <f t="shared" si="22"/>
        <v>9634.1</v>
      </c>
      <c r="J119" s="834" t="n">
        <f t="shared" si="22"/>
        <v>9002.7000000000007</v>
      </c>
      <c r="K119" s="834" t="n">
        <f t="shared" si="22"/>
        <v>9432.5</v>
      </c>
      <c r="L119" s="834" t="n">
        <f t="shared" si="22"/>
        <v>9791.5</v>
      </c>
      <c r="M119" s="834" t="n">
        <f t="shared" si="22"/>
        <v>9861.1</v>
      </c>
      <c r="N119" s="834" t="n">
        <f t="shared" si="22"/>
        <v>10148.700000000001</v>
      </c>
      <c r="O119" s="834" t="n">
        <f t="shared" si="22"/>
        <v>10433.6</v>
      </c>
      <c r="P119" s="834" t="n">
        <f t="shared" ref="P119:T119" si="23">P115</f>
        <v>10759.7</v>
      </c>
      <c r="Q119" s="834" t="n">
        <f t="shared" si="23"/>
        <v>10939.3</v>
      </c>
      <c r="R119" s="834" t="n">
        <f t="shared" si="23"/>
        <v>11071.9</v>
      </c>
      <c r="S119" s="915" t="n">
        <f t="shared" si="23"/>
        <v>11374.7</v>
      </c>
      <c r="T119" s="941" t="n">
        <f t="shared" si="23"/>
        <v>11566.2</v>
      </c>
      <c r="U119" s="350"/>
      <c r="V119" s="350"/>
      <c r="W119" s="350"/>
      <c r="X119" s="350"/>
      <c r="Y119" s="350"/>
      <c r="Z119" s="350"/>
      <c r="AA119" s="350"/>
      <c r="AB119" s="350"/>
      <c r="AC119" s="348"/>
    </row>
    <row r="120">
      <c r="D120" s="969" t="s">
        <v>554</v>
      </c>
      <c r="E120" s="268" t="s">
        <v>571</v>
      </c>
      <c r="F120" s="913" t="n">
        <f>'Haver Pivoted'!GQ5</f>
        <v>14323.7</v>
      </c>
      <c r="G120" s="834" t="n">
        <f>'Haver Pivoted'!GR5</f>
        <v>14482.2</v>
      </c>
      <c r="H120" s="834" t="n">
        <f>'Haver Pivoted'!GS5</f>
        <v>14619</v>
      </c>
      <c r="I120" s="834" t="n">
        <f>'Haver Pivoted'!GT5</f>
        <v>14440.2</v>
      </c>
      <c r="J120" s="834" t="n">
        <f>'Haver Pivoted'!GU5</f>
        <v>13049.8</v>
      </c>
      <c r="K120" s="834" t="n">
        <f>'Haver Pivoted'!GV5</f>
        <v>14388.7</v>
      </c>
      <c r="L120" s="834" t="n">
        <f>'Haver Pivoted'!GW5</f>
        <v>14586</v>
      </c>
      <c r="M120" s="834" t="n">
        <f>'Haver Pivoted'!GX5</f>
        <v>15131.5</v>
      </c>
      <c r="N120" s="834" t="n">
        <f>'Haver Pivoted'!GY5</f>
        <v>15813.5</v>
      </c>
      <c r="O120" s="834" t="n">
        <f>'Haver Pivoted'!GZ5</f>
        <v>16147.3</v>
      </c>
      <c r="P120" s="834" t="n">
        <f>'Haver Pivoted'!HA5</f>
        <v>16518</v>
      </c>
      <c r="Q120" s="834" t="n">
        <f>'Haver Pivoted'!HB5</f>
        <v>16874.8</v>
      </c>
      <c r="R120" s="834" t="n">
        <f>'Haver Pivoted'!HC5</f>
        <v>17261.3</v>
      </c>
      <c r="S120" s="915" t="n">
        <f>'Haver Pivoted'!HD5</f>
        <v>17542.7</v>
      </c>
      <c r="T120" s="941" t="n">
        <f>'Haver Pivoted'!HE5</f>
        <v>17762.7</v>
      </c>
      <c r="U120" s="350"/>
      <c r="V120" s="350"/>
      <c r="W120" s="350"/>
      <c r="X120" s="350"/>
      <c r="Y120" s="350"/>
      <c r="Z120" s="350"/>
      <c r="AA120" s="350"/>
      <c r="AB120" s="350"/>
      <c r="AC120" s="348"/>
    </row>
    <row r="121">
      <c r="D121" s="969" t="s">
        <v>568</v>
      </c>
      <c r="E121" s="268" t="s">
        <v>836</v>
      </c>
      <c r="F121" s="913" t="n">
        <f>'Haver Pivoted'!GQ85</f>
        <v>1872</v>
      </c>
      <c r="G121" s="834" t="n">
        <f>'Haver Pivoted'!GR85</f>
        <v>1882</v>
      </c>
      <c r="H121" s="834" t="n">
        <f>'Haver Pivoted'!GS85</f>
        <v>1933.8</v>
      </c>
      <c r="I121" s="834" t="n">
        <f>'Haver Pivoted'!GT85</f>
        <v>1736.3</v>
      </c>
      <c r="J121" s="834" t="n">
        <f>'Haver Pivoted'!GU85</f>
        <v>1597.1</v>
      </c>
      <c r="K121" s="834" t="n">
        <f>'Haver Pivoted'!GV85</f>
        <v>2041.1</v>
      </c>
      <c r="L121" s="834" t="n">
        <f>'Haver Pivoted'!GW85</f>
        <v>1947.4</v>
      </c>
      <c r="M121" s="834" t="n">
        <f>'Haver Pivoted'!GX85</f>
        <v>2152.8000000000002</v>
      </c>
      <c r="N121" s="834" t="n">
        <f>'Haver Pivoted'!GY85</f>
        <v>2407.1</v>
      </c>
      <c r="O121" s="834" t="n">
        <f>'Haver Pivoted'!GZ85</f>
        <v>2431.8000000000002</v>
      </c>
      <c r="P121" s="834" t="n">
        <f>'Haver Pivoted'!HA85</f>
        <v>2443.1999999999998</v>
      </c>
      <c r="Q121" s="834" t="n">
        <f>'Haver Pivoted'!HB85</f>
        <v>2432.6999999999998</v>
      </c>
      <c r="R121" s="915" t="n">
        <f>'Haver Pivoted'!HC85</f>
        <v>2538.9</v>
      </c>
      <c r="S121" s="915" t="n">
        <f>'Haver Pivoted'!HD85</f>
        <v>2553.1999999999998</v>
      </c>
      <c r="T121" s="941" t="n">
        <f>'Haver Pivoted'!HE85</f>
        <v>0</v>
      </c>
      <c r="U121" s="350"/>
      <c r="V121" s="350"/>
      <c r="W121" s="350"/>
      <c r="X121" s="350"/>
      <c r="Y121" s="350"/>
      <c r="Z121" s="350"/>
      <c r="AA121" s="350"/>
      <c r="AB121" s="350"/>
      <c r="AC121" s="348"/>
    </row>
    <row r="122">
      <c r="D122" s="712" t="s">
        <v>569</v>
      </c>
      <c r="F122" s="311"/>
      <c r="G122" s="264"/>
      <c r="H122" s="264"/>
      <c r="I122" s="264"/>
      <c r="J122" s="264"/>
      <c r="K122" s="264"/>
      <c r="L122" s="264"/>
      <c r="M122" s="264"/>
      <c r="N122" s="264"/>
      <c r="O122" s="264"/>
      <c r="P122" s="264"/>
      <c r="Q122" s="264"/>
      <c r="R122" s="264"/>
      <c r="S122" s="264"/>
      <c r="T122" s="647"/>
      <c r="U122" s="350"/>
      <c r="V122" s="350"/>
      <c r="W122" s="350"/>
      <c r="X122" s="350"/>
      <c r="Y122" s="350"/>
      <c r="Z122" s="350"/>
      <c r="AA122" s="350"/>
      <c r="AB122" s="350"/>
      <c r="AC122" s="348"/>
    </row>
    <row r="123">
      <c r="D123" s="899" t="s">
        <v>536</v>
      </c>
      <c r="F123" s="945" t="n">
        <f>F24/F114</f>
        <v>3.6040823556663798E-2</v>
      </c>
      <c r="G123" s="859" t="n">
        <f>G24/G114</f>
        <v>3.3451548620258724E-2</v>
      </c>
      <c r="H123" s="859" t="n">
        <f>H24/H114</f>
        <v>3.2672890709981382E-2</v>
      </c>
      <c r="I123" s="859" t="n">
        <f>I24/I114</f>
        <v>3.2850860395398897E-2</v>
      </c>
      <c r="J123" s="859" t="n">
        <f>J24/J114</f>
        <v>3.419162725521107E-2</v>
      </c>
      <c r="K123" s="859" t="n">
        <f>K24/K114</f>
        <v>3.4473763419283633E-2</v>
      </c>
      <c r="L123" s="859" t="n">
        <f>L24/L114</f>
        <v>3.4115820241139933E-2</v>
      </c>
      <c r="M123" s="859" t="n">
        <f>M24/M114</f>
        <v>3.5373352855051249E-2</v>
      </c>
      <c r="N123" s="859" t="n">
        <f>N24/N114</f>
        <v>3.5780592848933403E-2</v>
      </c>
      <c r="O123" s="859" t="n">
        <f>O24/O114</f>
        <v>3.3044973070573025E-2</v>
      </c>
      <c r="P123" s="859" t="n">
        <f>P24/P114</f>
        <v>3.449442819502526E-2</v>
      </c>
      <c r="Q123" s="859" t="n">
        <f>Q24/Q114</f>
        <v>3.4672392711222445E-2</v>
      </c>
      <c r="R123" s="859" t="n">
        <f>R24/R114</f>
        <v>3.4681469111265309E-2</v>
      </c>
      <c r="S123" s="923" t="n">
        <f>S24/S114</f>
        <v>3.4199828655868528E-2</v>
      </c>
      <c r="T123" s="940" t="n">
        <f>T24/T114</f>
        <v>3.2935571662168504E-2</v>
      </c>
      <c r="U123" s="860" t="n">
        <f t="shared" ref="U123:AC125" si="24">T123</f>
        <v>3.2935571662168504E-2</v>
      </c>
      <c r="V123" s="860" t="n">
        <f t="shared" si="24"/>
        <v>3.2935571662168504E-2</v>
      </c>
      <c r="W123" s="860" t="n">
        <f t="shared" si="24"/>
        <v>3.2935571662168504E-2</v>
      </c>
      <c r="X123" s="860" t="n">
        <f>W123</f>
        <v>3.2935571662168504E-2</v>
      </c>
      <c r="Y123" s="860" t="n">
        <f t="shared" si="24"/>
        <v>3.2935571662168504E-2</v>
      </c>
      <c r="Z123" s="860" t="n">
        <f t="shared" si="24"/>
        <v>3.2935571662168504E-2</v>
      </c>
      <c r="AA123" s="860" t="n">
        <f t="shared" si="24"/>
        <v>3.2935571662168504E-2</v>
      </c>
      <c r="AB123" s="860" t="n">
        <f t="shared" si="24"/>
        <v>3.2935571662168504E-2</v>
      </c>
      <c r="AC123" s="934" t="n">
        <f t="shared" si="24"/>
        <v>3.2935571662168504E-2</v>
      </c>
    </row>
    <row r="124">
      <c r="D124" s="899" t="s">
        <v>533</v>
      </c>
      <c r="F124" s="945" t="n">
        <f>F25/F119</f>
        <v>2.2402447036522452E-3</v>
      </c>
      <c r="G124" s="859" t="n">
        <f>G25/G119</f>
        <v>2.2161554520635941E-3</v>
      </c>
      <c r="H124" s="859" t="n">
        <f>H25/H119</f>
        <v>2.1819331717086539E-3</v>
      </c>
      <c r="I124" s="859" t="n">
        <f>I25/I119</f>
        <v>2.1486179300609291E-3</v>
      </c>
      <c r="J124" s="859" t="n">
        <f>J25/J119</f>
        <v>2.1993401979406176E-3</v>
      </c>
      <c r="K124" s="859" t="n">
        <f>K25/K119</f>
        <v>2.1733368672144184E-3</v>
      </c>
      <c r="L124" s="859" t="n">
        <f>L25/L119</f>
        <v>2.1753561762753409E-3</v>
      </c>
      <c r="M124" s="859" t="n">
        <f>M25/M119</f>
        <v>2.2309884292827371E-3</v>
      </c>
      <c r="N124" s="859" t="n">
        <f>N25/N119</f>
        <v>2.2367396809443571E-3</v>
      </c>
      <c r="O124" s="859" t="n">
        <f>O25/O119</f>
        <v>2.2235853396718294E-3</v>
      </c>
      <c r="P124" s="859" t="n">
        <f>P25/P119</f>
        <v>2.1747818247720659E-3</v>
      </c>
      <c r="Q124" s="859" t="n">
        <f>Q25/Q119</f>
        <v>2.1390765405464702E-3</v>
      </c>
      <c r="R124" s="859" t="n">
        <f>R25/R119</f>
        <v>2.1315221416378402E-3</v>
      </c>
      <c r="S124" s="923" t="n">
        <f>S25/S119</f>
        <v>2.1011543161577884E-3</v>
      </c>
      <c r="T124" s="940" t="n">
        <f>T25/T119</f>
        <v>2.1182410817727516E-3</v>
      </c>
      <c r="U124" s="860" t="n">
        <f t="shared" si="24"/>
        <v>2.1182410817727516E-3</v>
      </c>
      <c r="V124" s="860" t="n">
        <f t="shared" si="24"/>
        <v>2.1182410817727516E-3</v>
      </c>
      <c r="W124" s="860" t="n">
        <f t="shared" si="24"/>
        <v>2.1182410817727516E-3</v>
      </c>
      <c r="X124" s="860" t="n">
        <f>W124</f>
        <v>2.1182410817727516E-3</v>
      </c>
      <c r="Y124" s="860" t="n">
        <f t="shared" si="24"/>
        <v>2.1182410817727516E-3</v>
      </c>
      <c r="Z124" s="860" t="n">
        <f t="shared" si="24"/>
        <v>2.1182410817727516E-3</v>
      </c>
      <c r="AA124" s="860" t="n">
        <f t="shared" si="24"/>
        <v>2.1182410817727516E-3</v>
      </c>
      <c r="AB124" s="860" t="n">
        <f t="shared" si="24"/>
        <v>2.1182410817727516E-3</v>
      </c>
      <c r="AC124" s="934" t="n">
        <f t="shared" si="24"/>
        <v>2.1182410817727516E-3</v>
      </c>
    </row>
    <row r="125">
      <c r="D125" s="899" t="s">
        <v>534</v>
      </c>
      <c r="F125" s="945" t="n">
        <f>F26/F120</f>
        <v>9.3886356178920244E-2</v>
      </c>
      <c r="G125" s="859" t="n">
        <f>G26/G120</f>
        <v>9.4826752841419115E-2</v>
      </c>
      <c r="H125" s="859" t="n">
        <f>H26/H120</f>
        <v>9.3898351460428214E-2</v>
      </c>
      <c r="I125" s="859" t="n">
        <f>I26/I120</f>
        <v>9.5518067616792005E-2</v>
      </c>
      <c r="J125" s="859" t="n">
        <f>J26/J120</f>
        <v>9.9143281889377613E-2</v>
      </c>
      <c r="K125" s="859" t="n">
        <f>K26/K120</f>
        <v>9.7117877223098684E-2</v>
      </c>
      <c r="L125" s="859" t="n">
        <f>L26/L120</f>
        <v>9.6764020293432063E-2</v>
      </c>
      <c r="M125" s="859" t="n">
        <f>M26/M120</f>
        <v>9.4306578990846907E-2</v>
      </c>
      <c r="N125" s="859" t="n">
        <f>N26/N120</f>
        <v>9.4817719037531223E-2</v>
      </c>
      <c r="O125" s="859" t="n">
        <f>O26/O120</f>
        <v>9.309296291020791E-2</v>
      </c>
      <c r="P125" s="859" t="n">
        <f>P26/P120</f>
        <v>9.236590386245308E-2</v>
      </c>
      <c r="Q125" s="859" t="n">
        <f>Q26/Q120</f>
        <v>9.1716642567615622E-2</v>
      </c>
      <c r="R125" s="859" t="n">
        <f>R26/R120</f>
        <v>9.072897174604462E-2</v>
      </c>
      <c r="S125" s="923" t="n">
        <f>S26/S120</f>
        <v>9.0197062025799898E-2</v>
      </c>
      <c r="T125" s="940" t="n">
        <f>T26/T120</f>
        <v>8.9682311810704449E-2</v>
      </c>
      <c r="U125" s="860" t="n">
        <f t="shared" si="24"/>
        <v>8.9682311810704449E-2</v>
      </c>
      <c r="V125" s="860" t="n">
        <f t="shared" si="24"/>
        <v>8.9682311810704449E-2</v>
      </c>
      <c r="W125" s="860" t="n">
        <f t="shared" si="24"/>
        <v>8.9682311810704449E-2</v>
      </c>
      <c r="X125" s="860" t="n">
        <f>W125</f>
        <v>8.9682311810704449E-2</v>
      </c>
      <c r="Y125" s="860" t="n">
        <f t="shared" si="24"/>
        <v>8.9682311810704449E-2</v>
      </c>
      <c r="Z125" s="860" t="n">
        <f t="shared" si="24"/>
        <v>8.9682311810704449E-2</v>
      </c>
      <c r="AA125" s="860" t="n">
        <f t="shared" si="24"/>
        <v>8.9682311810704449E-2</v>
      </c>
      <c r="AB125" s="860" t="n">
        <f t="shared" si="24"/>
        <v>8.9682311810704449E-2</v>
      </c>
      <c r="AC125" s="934" t="n">
        <f t="shared" si="24"/>
        <v>8.9682311810704449E-2</v>
      </c>
    </row>
    <row r="126">
      <c r="D126" s="903" t="s">
        <v>570</v>
      </c>
      <c r="E126" s="334"/>
      <c r="F126" s="909" t="n">
        <f>F27/F121</f>
        <v>3.9797008547008544E-2</v>
      </c>
      <c r="G126" s="910" t="n">
        <f>G27/G121</f>
        <v>3.9001062699256114E-2</v>
      </c>
      <c r="H126" s="910" t="n">
        <f>H27/H121</f>
        <v>3.728410383700486E-2</v>
      </c>
      <c r="I126" s="910" t="n">
        <f>I27/I121</f>
        <v>3.8990957783793127E-2</v>
      </c>
      <c r="J126" s="910" t="n">
        <f>J27/J121</f>
        <v>4.0698766514307184E-2</v>
      </c>
      <c r="K126" s="910" t="n">
        <f>K27/K121</f>
        <v>3.9635490666797321E-2</v>
      </c>
      <c r="L126" s="910" t="n">
        <f>L27/L121</f>
        <v>4.3545239806922049E-2</v>
      </c>
      <c r="M126" s="910" t="n">
        <f>M27/M121</f>
        <v>4.0876997398736528E-2</v>
      </c>
      <c r="N126" s="910" t="n">
        <f>N27/N121</f>
        <v>3.7514021021145774E-2</v>
      </c>
      <c r="O126" s="910" t="n">
        <f>O27/O121</f>
        <v>3.8818981824163171E-2</v>
      </c>
      <c r="P126" s="910" t="n">
        <f>P27/P121</f>
        <v>4.52275703994761E-2</v>
      </c>
      <c r="Q126" s="910" t="n">
        <f>Q27/Q121</f>
        <v>6.8195831791836234E-2</v>
      </c>
      <c r="R126" s="942" t="n">
        <f>R27/R121</f>
        <v>4.3247075505140016E-2</v>
      </c>
      <c r="S126" s="942" t="n">
        <f>S27/S121</f>
        <v>3.9440701864327125E-2</v>
      </c>
      <c r="T126" s="936" t="n">
        <f>S126</f>
        <v>3.9440701864327125E-2</v>
      </c>
      <c r="U126" s="935" t="n">
        <f t="shared" ref="U126:AC126" si="25">T126</f>
        <v>3.9440701864327125E-2</v>
      </c>
      <c r="V126" s="935" t="n">
        <f t="shared" si="25"/>
        <v>3.9440701864327125E-2</v>
      </c>
      <c r="W126" s="935" t="n">
        <f t="shared" si="25"/>
        <v>3.9440701864327125E-2</v>
      </c>
      <c r="X126" s="935" t="n">
        <f>W126</f>
        <v>3.9440701864327125E-2</v>
      </c>
      <c r="Y126" s="935" t="n">
        <f t="shared" si="25"/>
        <v>3.9440701864327125E-2</v>
      </c>
      <c r="Z126" s="935" t="n">
        <f t="shared" si="25"/>
        <v>3.9440701864327125E-2</v>
      </c>
      <c r="AA126" s="935" t="n">
        <f t="shared" si="25"/>
        <v>3.9440701864327125E-2</v>
      </c>
      <c r="AB126" s="935" t="n">
        <f t="shared" si="25"/>
        <v>3.9440701864327125E-2</v>
      </c>
      <c r="AC126" s="936" t="n">
        <f t="shared" si="25"/>
        <v>3.9440701864327125E-2</v>
      </c>
    </row>
    <row r="130">
      <c r="D130" s="823" t="s">
        <v>1790</v>
      </c>
      <c r="E130" s="823"/>
      <c r="F130" s="823"/>
      <c r="G130" s="823"/>
      <c r="H130" s="823"/>
      <c r="I130" s="823"/>
      <c r="J130" s="823"/>
      <c r="K130" s="823"/>
      <c r="L130" s="823"/>
      <c r="M130" s="823"/>
      <c r="N130" s="823"/>
      <c r="O130" s="823"/>
      <c r="P130" s="823"/>
      <c r="Q130" s="823"/>
      <c r="R130" s="823"/>
      <c r="S130" s="823"/>
      <c r="T130" s="823"/>
      <c r="U130" s="823"/>
      <c r="V130" s="823"/>
      <c r="W130" s="823"/>
      <c r="X130" s="823"/>
      <c r="Y130" s="823"/>
      <c r="Z130" s="823"/>
      <c r="AA130" s="823"/>
      <c r="AB130" s="823"/>
      <c r="AC130" s="823"/>
    </row>
    <row r="131">
      <c r="D131" s="725" t="s">
        <v>1783</v>
      </c>
      <c r="E131" s="115"/>
      <c r="F131" s="925"/>
      <c r="G131" s="925"/>
      <c r="H131" s="925"/>
      <c r="I131" s="925"/>
      <c r="J131" s="925"/>
      <c r="K131" s="925"/>
      <c r="L131" s="925"/>
      <c r="M131" s="925"/>
      <c r="N131" s="925"/>
      <c r="O131" s="925"/>
      <c r="P131" s="925"/>
      <c r="Q131" s="925"/>
      <c r="R131" s="925"/>
      <c r="S131" s="766"/>
      <c r="T131" s="925"/>
      <c r="U131" s="242"/>
      <c r="V131" s="242"/>
      <c r="W131" s="242"/>
      <c r="X131" s="242"/>
      <c r="Y131" s="242"/>
      <c r="Z131" s="242"/>
      <c r="AA131" s="242"/>
      <c r="AB131" s="242"/>
      <c r="AC131" s="243"/>
    </row>
    <row r="132">
      <c r="D132" s="969" t="s">
        <v>564</v>
      </c>
      <c r="E132" s="209"/>
      <c r="F132" s="859"/>
      <c r="G132" s="859" t="n">
        <f>(G114/F114)^4-1</f>
        <v>3.4698380469732282E-2</v>
      </c>
      <c r="H132" s="859" t="n">
        <f t="shared" ref="H132:S132" si="26">(H114/G114)^4-1</f>
        <v>4.9923760445010679E-2</v>
      </c>
      <c r="I132" s="859" t="n">
        <f t="shared" si="26"/>
        <v>4.3205695538489852E-2</v>
      </c>
      <c r="J132" s="859" t="n">
        <f t="shared" si="26"/>
        <v>-0.21111288829196628</v>
      </c>
      <c r="K132" s="859" t="n">
        <f t="shared" si="26"/>
        <v>0.2039893976975653</v>
      </c>
      <c r="L132" s="859" t="n">
        <f t="shared" si="26"/>
        <v>0.10465949131480801</v>
      </c>
      <c r="M132" s="859" t="n">
        <f t="shared" si="26"/>
        <v>1.0558802843273263E-2</v>
      </c>
      <c r="N132" s="859" t="n">
        <f t="shared" si="26"/>
        <v>0.12746550927768152</v>
      </c>
      <c r="O132" s="859" t="n">
        <f t="shared" si="26"/>
        <v>8.7747356366950635E-2</v>
      </c>
      <c r="P132" s="859" t="n">
        <f t="shared" si="26"/>
        <v>9.6215323061816349E-2</v>
      </c>
      <c r="Q132" s="859" t="n">
        <f t="shared" si="26"/>
        <v>5.3721843023527782E-2</v>
      </c>
      <c r="R132" s="859" t="n">
        <f t="shared" si="26"/>
        <v>5.8676051825151676E-2</v>
      </c>
      <c r="S132" s="859" t="n">
        <f t="shared" si="26"/>
        <v>9.3853068788779082E-2</v>
      </c>
      <c r="T132" s="264"/>
      <c r="U132" s="350"/>
      <c r="V132" s="350"/>
      <c r="W132" s="350"/>
      <c r="X132" s="350"/>
      <c r="Y132" s="350"/>
      <c r="Z132" s="350"/>
      <c r="AA132" s="350"/>
      <c r="AB132" s="350"/>
      <c r="AC132" s="348"/>
    </row>
    <row r="133">
      <c r="D133" s="1009" t="s">
        <v>838</v>
      </c>
      <c r="E133" s="716"/>
      <c r="F133" s="859"/>
      <c r="G133" s="859" t="n">
        <f t="shared" ref="G133:S133" si="27">(G115/F115)^4-1</f>
        <v>2.4257130985616993E-2</v>
      </c>
      <c r="H133" s="859" t="n">
        <f t="shared" si="27"/>
        <v>6.4229034399477136E-2</v>
      </c>
      <c r="I133" s="859" t="n">
        <f t="shared" si="27"/>
        <v>6.3479192755366398E-2</v>
      </c>
      <c r="J133" s="859" t="n">
        <f t="shared" si="27"/>
        <v>-0.23748829732952048</v>
      </c>
      <c r="K133" s="859" t="n">
        <f t="shared" si="27"/>
        <v>0.20508073180198716</v>
      </c>
      <c r="L133" s="859" t="n">
        <f t="shared" si="27"/>
        <v>0.1611535586248285</v>
      </c>
      <c r="M133" s="859" t="n">
        <f t="shared" si="27"/>
        <v>2.873742311872407E-2</v>
      </c>
      <c r="N133" s="859" t="n">
        <f t="shared" si="27"/>
        <v>0.12186398788851394</v>
      </c>
      <c r="O133" s="859" t="n">
        <f t="shared" si="27"/>
        <v>0.11710776964011727</v>
      </c>
      <c r="P133" s="859" t="n">
        <f t="shared" si="27"/>
        <v>0.13100342179485458</v>
      </c>
      <c r="Q133" s="859" t="n">
        <f t="shared" si="27"/>
        <v>6.8458061444058416E-2</v>
      </c>
      <c r="R133" s="859" t="n">
        <f t="shared" si="27"/>
        <v>4.9374455409313622E-2</v>
      </c>
      <c r="S133" s="859" t="n">
        <f t="shared" si="27"/>
        <v>0.11396407828544985</v>
      </c>
      <c r="T133" s="264"/>
      <c r="U133" s="350"/>
      <c r="V133" s="350"/>
      <c r="W133" s="350"/>
      <c r="X133" s="350"/>
      <c r="Y133" s="350"/>
      <c r="Z133" s="350"/>
      <c r="AA133" s="350"/>
      <c r="AB133" s="350"/>
      <c r="AC133" s="348"/>
    </row>
    <row r="134">
      <c r="D134" s="1009" t="s">
        <v>565</v>
      </c>
      <c r="E134" s="716"/>
      <c r="F134" s="859"/>
      <c r="G134" s="859" t="n">
        <f t="shared" ref="G134:S134" si="28">(G116/F116)^4-1</f>
        <v>0.10578312944398705</v>
      </c>
      <c r="H134" s="859" t="n">
        <f t="shared" si="28"/>
        <v>4.1744934553236801E-2</v>
      </c>
      <c r="I134" s="859" t="n">
        <f t="shared" si="28"/>
        <v>2.7986793488743444E-2</v>
      </c>
      <c r="J134" s="859" t="n">
        <f t="shared" si="28"/>
        <v>-0.34970130690663714</v>
      </c>
      <c r="K134" s="859" t="n">
        <f t="shared" si="28"/>
        <v>0.98547836855144699</v>
      </c>
      <c r="L134" s="859" t="n">
        <f t="shared" si="28"/>
        <v>-0.1085469464882084</v>
      </c>
      <c r="M134" s="859" t="n">
        <f t="shared" si="28"/>
        <v>-0.10596654721724863</v>
      </c>
      <c r="N134" s="859" t="n">
        <f t="shared" si="28"/>
        <v>0.32880103280025574</v>
      </c>
      <c r="O134" s="859" t="n">
        <f t="shared" si="28"/>
        <v>3.6044774195732154E-2</v>
      </c>
      <c r="P134" s="859" t="n">
        <f t="shared" si="28"/>
        <v>-6.4550024300153996E-3</v>
      </c>
      <c r="Q134" s="859" t="n">
        <f t="shared" si="28"/>
        <v>4.9154478043828886E-2</v>
      </c>
      <c r="R134" s="859" t="n">
        <f t="shared" si="28"/>
        <v>5.4060298595324685E-2</v>
      </c>
      <c r="S134" s="859" t="n">
        <f t="shared" si="28"/>
        <v>6.2660845264692622E-2</v>
      </c>
      <c r="T134" s="264"/>
      <c r="U134" s="350"/>
      <c r="V134" s="350"/>
      <c r="W134" s="350"/>
      <c r="X134" s="350"/>
      <c r="Y134" s="350"/>
      <c r="Z134" s="350"/>
      <c r="AA134" s="350"/>
      <c r="AB134" s="350"/>
      <c r="AC134" s="348"/>
    </row>
    <row r="135">
      <c r="D135" s="1009" t="s">
        <v>566</v>
      </c>
      <c r="E135" s="716"/>
      <c r="F135" s="859"/>
      <c r="G135" s="859" t="n">
        <f t="shared" ref="G135:S135" si="29">(G117/F117)^4-1</f>
        <v>1.7350665401546284E-2</v>
      </c>
      <c r="H135" s="859" t="n">
        <f t="shared" si="29"/>
        <v>5.1903311323329371E-2</v>
      </c>
      <c r="I135" s="859" t="n">
        <f t="shared" si="29"/>
        <v>8.5072603128263369E-2</v>
      </c>
      <c r="J135" s="859" t="n">
        <f t="shared" si="29"/>
        <v>-2.5764424405961162E-2</v>
      </c>
      <c r="K135" s="859" t="n">
        <f t="shared" si="29"/>
        <v>2.6445784830072538E-2</v>
      </c>
      <c r="L135" s="859" t="n">
        <f t="shared" si="29"/>
        <v>-3.4420635784840226E-2</v>
      </c>
      <c r="M135" s="859" t="n">
        <f t="shared" si="29"/>
        <v>1.7423885940878847E-2</v>
      </c>
      <c r="N135" s="859" t="n">
        <f t="shared" si="29"/>
        <v>-3.2403751505907019E-2</v>
      </c>
      <c r="O135" s="859" t="n">
        <f t="shared" si="29"/>
        <v>5.2582897021147934E-2</v>
      </c>
      <c r="P135" s="859" t="n">
        <f t="shared" si="29"/>
        <v>9.6870587526498575E-2</v>
      </c>
      <c r="Q135" s="859" t="n">
        <f t="shared" si="29"/>
        <v>2.8973729785401803E-2</v>
      </c>
      <c r="R135" s="859" t="n">
        <f t="shared" si="29"/>
        <v>0.17714811192574409</v>
      </c>
      <c r="S135" s="859" t="n">
        <f t="shared" si="29"/>
        <v>0.101607744588458</v>
      </c>
      <c r="T135" s="264"/>
      <c r="U135" s="350"/>
      <c r="V135" s="350"/>
      <c r="W135" s="350"/>
      <c r="X135" s="350"/>
      <c r="Y135" s="350"/>
      <c r="Z135" s="350"/>
      <c r="AA135" s="350"/>
      <c r="AB135" s="350"/>
      <c r="AC135" s="348"/>
    </row>
    <row r="136">
      <c r="D136" s="1009" t="s">
        <v>567</v>
      </c>
      <c r="E136" s="716"/>
      <c r="F136" s="859"/>
      <c r="G136" s="859" t="n">
        <f t="shared" ref="G136:S136" si="30">(G118/F118)^4-1</f>
        <v>3.4783891285258939E-2</v>
      </c>
      <c r="H136" s="859" t="n">
        <f t="shared" si="30"/>
        <v>1.1995399534317164E-2</v>
      </c>
      <c r="I136" s="859" t="n">
        <f t="shared" si="30"/>
        <v>-1.72401618421828E-2</v>
      </c>
      <c r="J136" s="859" t="n">
        <f t="shared" si="30"/>
        <v>-8.3739764588403598E-2</v>
      </c>
      <c r="K136" s="859" t="n">
        <f t="shared" si="30"/>
        <v>-4.1593591819862108E-2</v>
      </c>
      <c r="L136" s="859" t="n">
        <f t="shared" si="30"/>
        <v>0.10028621896444267</v>
      </c>
      <c r="M136" s="859" t="n">
        <f t="shared" si="30"/>
        <v>1.8865576255239436E-2</v>
      </c>
      <c r="N136" s="859" t="n">
        <f t="shared" si="30"/>
        <v>8.4683729354623427E-2</v>
      </c>
      <c r="O136" s="859" t="n">
        <f t="shared" si="30"/>
        <v>3.3706346430805167E-2</v>
      </c>
      <c r="P136" s="859" t="n">
        <f t="shared" si="30"/>
        <v>4.492129388861188E-2</v>
      </c>
      <c r="Q136" s="859" t="n">
        <f t="shared" si="30"/>
        <v>1.4067779320086293E-2</v>
      </c>
      <c r="R136" s="859" t="n">
        <f t="shared" si="30"/>
        <v>6.6555550049419487E-2</v>
      </c>
      <c r="S136" s="859" t="n">
        <f t="shared" si="30"/>
        <v>4.3795001871779204E-2</v>
      </c>
      <c r="T136" s="264"/>
      <c r="U136" s="350"/>
      <c r="V136" s="350"/>
      <c r="W136" s="350"/>
      <c r="X136" s="350"/>
      <c r="Y136" s="350"/>
      <c r="Z136" s="350"/>
      <c r="AA136" s="350"/>
      <c r="AB136" s="350"/>
      <c r="AC136" s="348"/>
    </row>
    <row r="137">
      <c r="D137" s="969" t="s">
        <v>553</v>
      </c>
      <c r="E137" s="209"/>
      <c r="F137" s="859"/>
      <c r="G137" s="859" t="n">
        <f t="shared" ref="G137:S137" si="31">(G119/F119)^4-1</f>
        <v>2.4257130985616993E-2</v>
      </c>
      <c r="H137" s="859" t="n">
        <f t="shared" si="31"/>
        <v>6.4229034399477136E-2</v>
      </c>
      <c r="I137" s="859" t="n">
        <f t="shared" si="31"/>
        <v>6.3479192755366398E-2</v>
      </c>
      <c r="J137" s="859" t="n">
        <f t="shared" si="31"/>
        <v>-0.23748829732952048</v>
      </c>
      <c r="K137" s="859" t="n">
        <f t="shared" si="31"/>
        <v>0.20508073180198716</v>
      </c>
      <c r="L137" s="859" t="n">
        <f t="shared" si="31"/>
        <v>0.1611535586248285</v>
      </c>
      <c r="M137" s="859" t="n">
        <f t="shared" si="31"/>
        <v>2.873742311872407E-2</v>
      </c>
      <c r="N137" s="859" t="n">
        <f t="shared" si="31"/>
        <v>0.12186398788851394</v>
      </c>
      <c r="O137" s="859" t="n">
        <f t="shared" si="31"/>
        <v>0.11710776964011727</v>
      </c>
      <c r="P137" s="859" t="n">
        <f t="shared" si="31"/>
        <v>0.13100342179485458</v>
      </c>
      <c r="Q137" s="859" t="n">
        <f t="shared" si="31"/>
        <v>6.8458061444058416E-2</v>
      </c>
      <c r="R137" s="859" t="n">
        <f t="shared" si="31"/>
        <v>4.9374455409313622E-2</v>
      </c>
      <c r="S137" s="859" t="n">
        <f t="shared" si="31"/>
        <v>0.11396407828544985</v>
      </c>
      <c r="T137" s="264"/>
      <c r="U137" s="350"/>
      <c r="V137" s="350"/>
      <c r="W137" s="350"/>
      <c r="X137" s="350"/>
      <c r="Y137" s="350"/>
      <c r="Z137" s="350"/>
      <c r="AA137" s="350"/>
      <c r="AB137" s="350"/>
      <c r="AC137" s="348"/>
    </row>
    <row r="138">
      <c r="D138" s="969" t="s">
        <v>554</v>
      </c>
      <c r="E138" s="716"/>
      <c r="F138" s="859"/>
      <c r="G138" s="859" t="n">
        <f t="shared" ref="G138:S138" si="32">(G120/F120)^4-1</f>
        <v>4.5002423223402754E-2</v>
      </c>
      <c r="H138" s="859" t="n">
        <f t="shared" si="32"/>
        <v>3.8323064342955293E-2</v>
      </c>
      <c r="I138" s="859" t="n">
        <f t="shared" si="32"/>
        <v>-4.8032396760868568E-2</v>
      </c>
      <c r="J138" s="859" t="n">
        <f t="shared" si="32"/>
        <v>-0.33300498256979416</v>
      </c>
      <c r="K138" s="859" t="n">
        <f t="shared" si="32"/>
        <v>0.47798765988551417</v>
      </c>
      <c r="L138" s="859" t="n">
        <f t="shared" si="32"/>
        <v>5.5987082820652123E-2</v>
      </c>
      <c r="M138" s="859" t="n">
        <f t="shared" si="32"/>
        <v>0.15819874984710092</v>
      </c>
      <c r="N138" s="859" t="n">
        <f t="shared" si="32"/>
        <v>0.1928451879925992</v>
      </c>
      <c r="O138" s="859" t="n">
        <f t="shared" si="32"/>
        <v>8.7145430326741824E-2</v>
      </c>
      <c r="P138" s="859" t="n">
        <f t="shared" si="32"/>
        <v>9.5040522503139657E-2</v>
      </c>
      <c r="Q138" s="859" t="n">
        <f t="shared" si="32"/>
        <v>8.9242780231497676E-2</v>
      </c>
      <c r="R138" s="859" t="n">
        <f t="shared" si="32"/>
        <v>9.481178927373124E-2</v>
      </c>
      <c r="S138" s="859" t="n">
        <f t="shared" si="32"/>
        <v>6.6821460633025076E-2</v>
      </c>
      <c r="T138" s="264"/>
      <c r="U138" s="350"/>
      <c r="V138" s="350"/>
      <c r="W138" s="350"/>
      <c r="X138" s="350"/>
      <c r="Y138" s="350"/>
      <c r="Z138" s="350"/>
      <c r="AA138" s="350"/>
      <c r="AB138" s="350"/>
      <c r="AC138" s="348"/>
    </row>
    <row r="139">
      <c r="D139" s="930" t="s">
        <v>568</v>
      </c>
      <c r="E139" s="468"/>
      <c r="F139" s="910"/>
      <c r="G139" s="910" t="n">
        <f t="shared" ref="G139:S139" si="33">(G121/F121)^4-1</f>
        <v>2.1539346032199758E-2</v>
      </c>
      <c r="H139" s="910" t="n">
        <f t="shared" si="33"/>
        <v>0.11472501548972591</v>
      </c>
      <c r="I139" s="910" t="n">
        <f t="shared" si="33"/>
        <v>-0.35009057164746982</v>
      </c>
      <c r="J139" s="910" t="n">
        <f t="shared" si="33"/>
        <v>-0.28413788741165624</v>
      </c>
      <c r="K139" s="910" t="n">
        <f t="shared" si="33"/>
        <v>1.667649037274042</v>
      </c>
      <c r="L139" s="910" t="n">
        <f t="shared" si="33"/>
        <v>-0.17136450639292922</v>
      </c>
      <c r="M139" s="910" t="n">
        <f t="shared" si="33"/>
        <v>0.49346165457827729</v>
      </c>
      <c r="N139" s="910" t="n">
        <f t="shared" si="33"/>
        <v>0.56301012914725668</v>
      </c>
      <c r="O139" s="910" t="n">
        <f t="shared" si="33"/>
        <v>4.1681341019436546E-2</v>
      </c>
      <c r="P139" s="910" t="n">
        <f t="shared" si="33"/>
        <v>1.8883812263239985E-2</v>
      </c>
      <c r="Q139" s="910" t="n">
        <f t="shared" si="33"/>
        <v>-1.7080068525602621E-2</v>
      </c>
      <c r="R139" s="910" t="n">
        <f t="shared" si="33"/>
        <v>0.18639186970056576</v>
      </c>
      <c r="S139" s="910" t="n">
        <f t="shared" si="33"/>
        <v>2.2720498509915421E-2</v>
      </c>
      <c r="T139" s="642"/>
      <c r="U139" s="304"/>
      <c r="V139" s="304"/>
      <c r="W139" s="304"/>
      <c r="X139" s="304"/>
      <c r="Y139" s="304"/>
      <c r="Z139" s="304"/>
      <c r="AA139" s="304"/>
      <c r="AB139" s="304"/>
      <c r="AC139" s="305"/>
    </row>
    <row r="142">
      <c r="D142" s="823" t="s">
        <v>1791</v>
      </c>
      <c r="E142" s="823"/>
      <c r="F142" s="823"/>
      <c r="G142" s="823"/>
      <c r="H142" s="823"/>
      <c r="I142" s="823"/>
      <c r="J142" s="823"/>
      <c r="K142" s="823"/>
      <c r="L142" s="823"/>
      <c r="M142" s="823"/>
      <c r="N142" s="823"/>
      <c r="O142" s="823"/>
      <c r="P142" s="823"/>
      <c r="Q142" s="824"/>
      <c r="R142" s="824"/>
      <c r="S142" s="824"/>
      <c r="T142" s="824"/>
      <c r="U142" s="823"/>
      <c r="V142" s="823"/>
      <c r="W142" s="823"/>
      <c r="X142" s="823"/>
      <c r="Y142" s="823"/>
      <c r="Z142" s="823"/>
      <c r="AA142" s="823"/>
      <c r="AB142" s="823"/>
      <c r="AC142" s="823"/>
    </row>
    <row r="143">
      <c r="D143" s="744" t="s">
        <v>957</v>
      </c>
      <c r="E143" s="808"/>
      <c r="F143" s="198" t="n">
        <v>2019</v>
      </c>
      <c r="G143" s="235"/>
      <c r="H143" s="236"/>
      <c r="I143" s="198" t="n">
        <v>2020</v>
      </c>
      <c r="J143" s="235"/>
      <c r="K143" s="235"/>
      <c r="L143" s="236"/>
      <c r="M143" s="198" t="n">
        <v>2021</v>
      </c>
      <c r="N143" s="235"/>
      <c r="O143" s="235"/>
      <c r="P143" s="235"/>
      <c r="Q143" s="198" t="n">
        <v>2022</v>
      </c>
      <c r="R143" s="199"/>
      <c r="S143" s="199"/>
      <c r="T143" s="236"/>
      <c r="U143" s="241" t="n">
        <v>2023</v>
      </c>
      <c r="V143" s="242"/>
      <c r="W143" s="242"/>
      <c r="X143" s="243"/>
      <c r="Y143" s="244" t="n">
        <v>2024</v>
      </c>
      <c r="Z143" s="242"/>
      <c r="AA143" s="242"/>
      <c r="AB143" s="242"/>
      <c r="AC143" s="290" t="n">
        <v>2025</v>
      </c>
    </row>
    <row r="144">
      <c r="D144" s="809"/>
      <c r="E144" s="810"/>
      <c r="F144" s="204" t="s">
        <v>329</v>
      </c>
      <c r="G144" s="217" t="s">
        <v>238</v>
      </c>
      <c r="H144" s="200" t="s">
        <v>327</v>
      </c>
      <c r="I144" s="204" t="s">
        <v>328</v>
      </c>
      <c r="J144" s="217" t="s">
        <v>329</v>
      </c>
      <c r="K144" s="217" t="s">
        <v>238</v>
      </c>
      <c r="L144" s="200" t="s">
        <v>327</v>
      </c>
      <c r="M144" s="204" t="s">
        <v>328</v>
      </c>
      <c r="N144" s="217" t="s">
        <v>329</v>
      </c>
      <c r="O144" s="217" t="s">
        <v>238</v>
      </c>
      <c r="P144" s="217" t="s">
        <v>327</v>
      </c>
      <c r="Q144" s="204" t="s">
        <v>328</v>
      </c>
      <c r="R144" s="217" t="s">
        <v>329</v>
      </c>
      <c r="S144" s="217" t="s">
        <v>238</v>
      </c>
      <c r="T144" s="200" t="s">
        <v>327</v>
      </c>
      <c r="U144" s="350" t="s">
        <v>328</v>
      </c>
      <c r="V144" s="350" t="s">
        <v>329</v>
      </c>
      <c r="W144" s="350" t="s">
        <v>238</v>
      </c>
      <c r="X144" s="348" t="s">
        <v>327</v>
      </c>
      <c r="Y144" s="418" t="s">
        <v>328</v>
      </c>
      <c r="Z144" s="283" t="s">
        <v>329</v>
      </c>
      <c r="AA144" s="350" t="s">
        <v>238</v>
      </c>
      <c r="AB144" s="350" t="s">
        <v>327</v>
      </c>
      <c r="AC144" s="443" t="s">
        <v>328</v>
      </c>
    </row>
    <row r="145">
      <c r="D145" s="1017" t="s">
        <v>552</v>
      </c>
      <c r="E145" s="992"/>
      <c r="F145" s="354" t="n">
        <f>F147+F149</f>
        <v>14660.3</v>
      </c>
      <c r="G145" s="355" t="n">
        <f t="shared" ref="G145:P145" si="34">G147+G149</f>
        <v>14748</v>
      </c>
      <c r="H145" s="355" t="n">
        <f t="shared" si="34"/>
        <v>14896.1</v>
      </c>
      <c r="I145" s="355" t="n">
        <f t="shared" si="34"/>
        <v>5492.6</v>
      </c>
      <c r="J145" s="355" t="n">
        <f t="shared" si="34"/>
        <v>14127</v>
      </c>
      <c r="K145" s="355" t="n">
        <f t="shared" si="34"/>
        <v>14803.099999999999</v>
      </c>
      <c r="L145" s="355" t="n">
        <f t="shared" si="34"/>
        <v>15014.2</v>
      </c>
      <c r="M145" s="355" t="n">
        <f t="shared" si="34"/>
        <v>15152.900000000001</v>
      </c>
      <c r="N145" s="355" t="n">
        <f t="shared" si="34"/>
        <v>15654.4</v>
      </c>
      <c r="O145" s="355" t="n">
        <f t="shared" si="34"/>
        <v>15799.3</v>
      </c>
      <c r="P145" s="355" t="n">
        <f t="shared" si="34"/>
        <v>15983.8</v>
      </c>
      <c r="Q145" s="355" t="n">
        <f>Q147+Q149</f>
        <v>16571.400000000001</v>
      </c>
      <c r="R145" s="355" t="n">
        <f t="shared" ref="R145:S145" si="35">R147+R149</f>
        <v>16848</v>
      </c>
      <c r="S145" s="355" t="n">
        <f t="shared" si="35"/>
        <v>17094.3</v>
      </c>
      <c r="T145" s="920" t="n">
        <f>S145*(1+T157)^(1/4)</f>
        <v>17463.472490140091</v>
      </c>
      <c r="U145" s="1010" t="n">
        <f t="shared" ref="U145:AC145" si="36">T145*(1+U157)^(1/4)</f>
        <v>17681.570370477613</v>
      </c>
      <c r="V145" s="1010" t="n">
        <f t="shared" si="36"/>
        <v>17915.310313953283</v>
      </c>
      <c r="W145" s="1010" t="n">
        <f t="shared" si="36"/>
        <v>18134.299197887285</v>
      </c>
      <c r="X145" s="1010" t="n">
        <f t="shared" si="36"/>
        <v>18366.85113656765</v>
      </c>
      <c r="Y145" s="1010" t="n">
        <f t="shared" si="36"/>
        <v>18567.326945774861</v>
      </c>
      <c r="Z145" s="1010" t="n">
        <f t="shared" si="36"/>
        <v>18756.714710225915</v>
      </c>
      <c r="AA145" s="1010" t="n">
        <f t="shared" si="36"/>
        <v>18946.894477873844</v>
      </c>
      <c r="AB145" s="1010" t="n">
        <f t="shared" si="36"/>
        <v>19139.846256710807</v>
      </c>
      <c r="AC145" s="862" t="n">
        <f t="shared" si="36"/>
        <v>19339.332061921934</v>
      </c>
    </row>
    <row r="146">
      <c r="D146" s="969"/>
      <c r="E146" s="675"/>
      <c r="F146" s="913"/>
      <c r="G146" s="834"/>
      <c r="H146" s="834"/>
      <c r="I146" s="834"/>
      <c r="J146" s="834"/>
      <c r="K146" s="834"/>
      <c r="L146" s="834"/>
      <c r="M146" s="834"/>
      <c r="N146" s="834"/>
      <c r="O146" s="834"/>
      <c r="P146" s="834"/>
      <c r="Q146" s="834"/>
      <c r="R146" s="834"/>
      <c r="S146" s="834"/>
      <c r="T146" s="921"/>
      <c r="U146" s="858"/>
      <c r="V146" s="858"/>
      <c r="W146" s="858"/>
      <c r="X146" s="858"/>
      <c r="Y146" s="858"/>
      <c r="Z146" s="858"/>
      <c r="AA146" s="858"/>
      <c r="AB146" s="858"/>
      <c r="AC146" s="912"/>
    </row>
    <row r="147">
      <c r="D147" s="310" t="s">
        <v>553</v>
      </c>
      <c r="E147" s="640"/>
      <c r="F147" s="913" t="n">
        <v>9274.9</v>
      </c>
      <c r="G147" s="834" t="n">
        <v>9311.2999999999993</v>
      </c>
      <c r="H147" s="834" t="n">
        <v>9422.5</v>
      </c>
      <c r="I147" s="834" t="n">
        <v>0</v>
      </c>
      <c r="J147" s="834" t="n">
        <v>8908.7999999999993</v>
      </c>
      <c r="K147" s="834" t="n">
        <v>9343.2999999999993</v>
      </c>
      <c r="L147" s="834" t="n">
        <v>9546</v>
      </c>
      <c r="M147" s="834" t="n">
        <v>9702.2000000000007</v>
      </c>
      <c r="N147" s="834" t="n">
        <v>9950.4</v>
      </c>
      <c r="O147" s="834" t="n">
        <v>10175.1</v>
      </c>
      <c r="P147" s="834" t="n">
        <v>10336.6</v>
      </c>
      <c r="Q147" s="834" t="n">
        <v>10995.9</v>
      </c>
      <c r="R147" s="834" t="n">
        <v>11172.6</v>
      </c>
      <c r="S147" s="834" t="n">
        <v>11320.4</v>
      </c>
      <c r="T147" s="921" t="n">
        <f>S147*(1+T159)^(1/4)</f>
        <v>11487.097039810064</v>
      </c>
      <c r="U147" s="858" t="n">
        <f t="shared" ref="U147:AC147" si="37">T147*(1+U159)^(1/4)</f>
        <v>11613.629756622413</v>
      </c>
      <c r="V147" s="858" t="n">
        <f t="shared" si="37"/>
        <v>11725.163766350403</v>
      </c>
      <c r="W147" s="858" t="n">
        <f t="shared" si="37"/>
        <v>11851.5958206991</v>
      </c>
      <c r="X147" s="858" t="n">
        <f t="shared" si="37"/>
        <v>11996.046456041759</v>
      </c>
      <c r="Y147" s="858" t="n">
        <f t="shared" si="37"/>
        <v>12140.094441529804</v>
      </c>
      <c r="Z147" s="858" t="n">
        <f t="shared" si="37"/>
        <v>12282.028515281125</v>
      </c>
      <c r="AA147" s="858" t="n">
        <f t="shared" si="37"/>
        <v>12426.982462942049</v>
      </c>
      <c r="AB147" s="858" t="n">
        <f t="shared" si="37"/>
        <v>12578.580133204099</v>
      </c>
      <c r="AC147" s="912" t="n">
        <f t="shared" si="37"/>
        <v>12737.224175921889</v>
      </c>
    </row>
    <row r="148">
      <c r="D148" s="310"/>
      <c r="E148" s="640"/>
      <c r="F148" s="913"/>
      <c r="G148" s="834"/>
      <c r="H148" s="834"/>
      <c r="I148" s="834"/>
      <c r="J148" s="834"/>
      <c r="K148" s="834"/>
      <c r="L148" s="834"/>
      <c r="M148" s="834"/>
      <c r="N148" s="834"/>
      <c r="O148" s="834"/>
      <c r="P148" s="834"/>
      <c r="Q148" s="834"/>
      <c r="R148" s="834"/>
      <c r="S148" s="834"/>
      <c r="T148" s="921"/>
      <c r="U148" s="858"/>
      <c r="V148" s="858"/>
      <c r="W148" s="858"/>
      <c r="X148" s="858"/>
      <c r="Y148" s="858"/>
      <c r="Z148" s="858"/>
      <c r="AA148" s="858"/>
      <c r="AB148" s="858"/>
      <c r="AC148" s="912"/>
    </row>
    <row r="149">
      <c r="D149" s="310" t="s">
        <v>956</v>
      </c>
      <c r="E149" s="640"/>
      <c r="F149" s="913" t="n">
        <v>5385.4</v>
      </c>
      <c r="G149" s="834" t="n">
        <v>5436.7</v>
      </c>
      <c r="H149" s="834" t="n">
        <v>5473.6</v>
      </c>
      <c r="I149" s="834" t="n">
        <v>5492.6</v>
      </c>
      <c r="J149" s="834" t="n">
        <v>5218.2</v>
      </c>
      <c r="K149" s="834" t="n">
        <v>5459.8</v>
      </c>
      <c r="L149" s="834" t="n">
        <v>5468.2</v>
      </c>
      <c r="M149" s="834" t="n">
        <v>5450.7</v>
      </c>
      <c r="N149" s="834" t="n">
        <v>5704</v>
      </c>
      <c r="O149" s="834" t="n">
        <v>5624.2</v>
      </c>
      <c r="P149" s="834" t="n">
        <v>5647.2</v>
      </c>
      <c r="Q149" s="834" t="n">
        <v>5575.5</v>
      </c>
      <c r="R149" s="834" t="n">
        <v>5675.4</v>
      </c>
      <c r="S149" s="834" t="n">
        <v>5773.9</v>
      </c>
      <c r="T149" s="921" t="n">
        <f t="shared" ref="T149:AC149" si="38">S149*(1+T161)^(1/4)</f>
        <v>5972.692471350274</v>
      </c>
      <c r="U149" s="858" t="n">
        <f t="shared" si="38"/>
        <v>6063.4101162597572</v>
      </c>
      <c r="V149" s="858" t="n">
        <f t="shared" si="38"/>
        <v>6183.5678425510705</v>
      </c>
      <c r="W149" s="858" t="n">
        <f t="shared" si="38"/>
        <v>6275.2444477661511</v>
      </c>
      <c r="X149" s="858" t="n">
        <f t="shared" si="38"/>
        <v>6362.8934196977234</v>
      </c>
      <c r="Y149" s="858" t="n">
        <f t="shared" si="38"/>
        <v>6419.8556618501898</v>
      </c>
      <c r="Z149" s="858" t="n">
        <f t="shared" si="38"/>
        <v>6468.0913652217214</v>
      </c>
      <c r="AA149" s="858" t="n">
        <f t="shared" si="38"/>
        <v>6514.2173559209414</v>
      </c>
      <c r="AB149" s="858" t="n">
        <f t="shared" si="38"/>
        <v>6556.699297458892</v>
      </c>
      <c r="AC149" s="912" t="n">
        <f t="shared" si="38"/>
        <v>6598.7976548746037</v>
      </c>
    </row>
    <row r="150">
      <c r="D150" s="310"/>
      <c r="E150" s="640"/>
      <c r="F150" s="913"/>
      <c r="G150" s="834"/>
      <c r="H150" s="834"/>
      <c r="I150" s="834"/>
      <c r="J150" s="834"/>
      <c r="K150" s="834"/>
      <c r="L150" s="834"/>
      <c r="M150" s="834"/>
      <c r="N150" s="834"/>
      <c r="O150" s="834"/>
      <c r="P150" s="834"/>
      <c r="Q150" s="834"/>
      <c r="R150" s="834"/>
      <c r="S150" s="834"/>
      <c r="T150" s="921"/>
      <c r="U150" s="858"/>
      <c r="V150" s="858"/>
      <c r="W150" s="858"/>
      <c r="X150" s="858"/>
      <c r="Y150" s="858"/>
      <c r="Z150" s="858"/>
      <c r="AA150" s="858"/>
      <c r="AB150" s="858"/>
      <c r="AC150" s="912"/>
    </row>
    <row r="151">
      <c r="D151" s="311" t="s">
        <v>554</v>
      </c>
      <c r="E151" s="640"/>
      <c r="F151" s="855"/>
      <c r="G151" s="640"/>
      <c r="H151" s="834"/>
      <c r="I151" s="834"/>
      <c r="J151" s="834"/>
      <c r="K151" s="834"/>
      <c r="L151" s="834"/>
      <c r="M151" s="834" t="n">
        <v>15041</v>
      </c>
      <c r="N151" s="834" t="n">
        <v>15551</v>
      </c>
      <c r="O151" s="834" t="n">
        <v>15824</v>
      </c>
      <c r="P151" s="834" t="n">
        <v>16056</v>
      </c>
      <c r="Q151" s="834" t="n">
        <v>16690.7</v>
      </c>
      <c r="R151" s="834" t="n">
        <v>16993</v>
      </c>
      <c r="S151" s="834" t="n">
        <v>17251.3</v>
      </c>
      <c r="T151" s="921" t="n">
        <f t="shared" ref="T151:AC151" si="39">S151*(1+T163)^(1/4)</f>
        <v>17580.231969332821</v>
      </c>
      <c r="U151" s="858" t="n">
        <f t="shared" si="39"/>
        <v>17789.802996500563</v>
      </c>
      <c r="V151" s="858" t="n">
        <f t="shared" si="39"/>
        <v>17975.344263034403</v>
      </c>
      <c r="W151" s="858" t="n">
        <f t="shared" si="39"/>
        <v>18172.801927259647</v>
      </c>
      <c r="X151" s="858" t="n">
        <f t="shared" si="39"/>
        <v>18366.41876908849</v>
      </c>
      <c r="Y151" s="858" t="n">
        <f t="shared" si="39"/>
        <v>18550.679761490199</v>
      </c>
      <c r="Z151" s="858" t="n">
        <f t="shared" si="39"/>
        <v>18730.804483618864</v>
      </c>
      <c r="AA151" s="858" t="n">
        <f t="shared" si="39"/>
        <v>18909.550448989845</v>
      </c>
      <c r="AB151" s="858" t="n">
        <f t="shared" si="39"/>
        <v>19097.652263787957</v>
      </c>
      <c r="AC151" s="912" t="n">
        <f t="shared" si="39"/>
        <v>19291.367588242345</v>
      </c>
    </row>
    <row r="152">
      <c r="D152" s="311"/>
      <c r="E152" s="640"/>
      <c r="F152" s="855"/>
      <c r="G152" s="640"/>
      <c r="H152" s="834"/>
      <c r="I152" s="834"/>
      <c r="J152" s="834"/>
      <c r="K152" s="834"/>
      <c r="L152" s="834"/>
      <c r="M152" s="834"/>
      <c r="N152" s="834"/>
      <c r="O152" s="834"/>
      <c r="P152" s="834"/>
      <c r="Q152" s="834"/>
      <c r="R152" s="834"/>
      <c r="S152" s="834"/>
      <c r="T152" s="921"/>
      <c r="U152" s="858"/>
      <c r="V152" s="858"/>
      <c r="W152" s="858"/>
      <c r="X152" s="858"/>
      <c r="Y152" s="858"/>
      <c r="Z152" s="858"/>
      <c r="AA152" s="858"/>
      <c r="AB152" s="858"/>
      <c r="AC152" s="912"/>
    </row>
    <row r="153">
      <c r="C153" s="63"/>
      <c r="D153" s="752" t="s">
        <v>560</v>
      </c>
      <c r="E153" s="670"/>
      <c r="F153" s="690"/>
      <c r="G153" s="670"/>
      <c r="H153" s="944"/>
      <c r="I153" s="944"/>
      <c r="J153" s="944"/>
      <c r="K153" s="944"/>
      <c r="L153" s="944"/>
      <c r="M153" s="944" t="n">
        <v>1874</v>
      </c>
      <c r="N153" s="944" t="n">
        <v>2307</v>
      </c>
      <c r="O153" s="944" t="n">
        <v>2443</v>
      </c>
      <c r="P153" s="944" t="n">
        <v>2460</v>
      </c>
      <c r="Q153" s="944" t="n">
        <v>2329.5</v>
      </c>
      <c r="R153" s="944" t="n">
        <v>2420.1999999999998</v>
      </c>
      <c r="S153" s="944" t="n">
        <v>2468.6999999999998</v>
      </c>
      <c r="T153" s="922" t="n">
        <f t="shared" ref="T153:AC153" si="40">S153*(1+T165)^(1/4)</f>
        <v>2337.8012141236418</v>
      </c>
      <c r="U153" s="946" t="n">
        <f t="shared" si="40"/>
        <v>2180.860252378488</v>
      </c>
      <c r="V153" s="946" t="n">
        <f t="shared" si="40"/>
        <v>2057.2336212730388</v>
      </c>
      <c r="W153" s="946" t="n">
        <f t="shared" si="40"/>
        <v>1987.5585167787908</v>
      </c>
      <c r="X153" s="946" t="n">
        <f t="shared" si="40"/>
        <v>1936.6534333824293</v>
      </c>
      <c r="Y153" s="946" t="n">
        <f t="shared" si="40"/>
        <v>1958.5681700569246</v>
      </c>
      <c r="Z153" s="946" t="n">
        <f t="shared" si="40"/>
        <v>1993.6514032084713</v>
      </c>
      <c r="AA153" s="946" t="n">
        <f t="shared" si="40"/>
        <v>2043.2789459018352</v>
      </c>
      <c r="AB153" s="946" t="n">
        <f t="shared" si="40"/>
        <v>2113.9367740137736</v>
      </c>
      <c r="AC153" s="947" t="n">
        <f t="shared" si="40"/>
        <v>2182.1377930814861</v>
      </c>
      <c r="AD153" s="63"/>
    </row>
    <row r="154" ht="14.85" customHeight="1">
      <c r="C154" s="63"/>
      <c r="D154" s="264"/>
      <c r="E154" s="640"/>
      <c r="F154" s="640"/>
      <c r="G154" s="640"/>
      <c r="H154" s="834"/>
      <c r="I154" s="834"/>
      <c r="J154" s="834"/>
      <c r="K154" s="834"/>
      <c r="L154" s="834"/>
      <c r="M154" s="834"/>
      <c r="N154" s="834"/>
      <c r="O154" s="834"/>
      <c r="P154" s="834"/>
      <c r="Q154" s="834"/>
      <c r="R154" s="834"/>
      <c r="S154" s="834"/>
      <c r="T154" s="834"/>
      <c r="U154" s="858"/>
      <c r="V154" s="858"/>
      <c r="W154" s="858"/>
      <c r="X154" s="858"/>
      <c r="Y154" s="858"/>
      <c r="Z154" s="858"/>
      <c r="AA154" s="858"/>
      <c r="AB154" s="858"/>
      <c r="AC154" s="858"/>
      <c r="AD154" s="63"/>
    </row>
    <row r="155">
      <c r="C155" s="63"/>
      <c r="D155" s="744" t="s">
        <v>957</v>
      </c>
      <c r="E155" s="808"/>
      <c r="F155" s="198" t="n">
        <v>2019</v>
      </c>
      <c r="G155" s="235"/>
      <c r="H155" s="236"/>
      <c r="I155" s="198" t="n">
        <v>2020</v>
      </c>
      <c r="J155" s="235"/>
      <c r="K155" s="235"/>
      <c r="L155" s="236"/>
      <c r="M155" s="198" t="n">
        <v>2021</v>
      </c>
      <c r="N155" s="235"/>
      <c r="O155" s="235"/>
      <c r="P155" s="199"/>
      <c r="Q155" s="198" t="n">
        <v>2022</v>
      </c>
      <c r="R155" s="199"/>
      <c r="S155" s="199"/>
      <c r="T155" s="236"/>
      <c r="U155" s="241" t="n">
        <v>2023</v>
      </c>
      <c r="V155" s="242"/>
      <c r="W155" s="242"/>
      <c r="X155" s="243"/>
      <c r="Y155" s="244" t="n">
        <v>2024</v>
      </c>
      <c r="Z155" s="242"/>
      <c r="AA155" s="242"/>
      <c r="AB155" s="243"/>
      <c r="AC155" s="290" t="n">
        <v>2025</v>
      </c>
      <c r="AD155" s="63"/>
    </row>
    <row r="156">
      <c r="C156" s="63"/>
      <c r="D156" s="809"/>
      <c r="E156" s="810"/>
      <c r="F156" s="204" t="s">
        <v>329</v>
      </c>
      <c r="G156" s="217" t="s">
        <v>238</v>
      </c>
      <c r="H156" s="200" t="s">
        <v>327</v>
      </c>
      <c r="I156" s="204" t="s">
        <v>328</v>
      </c>
      <c r="J156" s="217" t="s">
        <v>329</v>
      </c>
      <c r="K156" s="217" t="s">
        <v>238</v>
      </c>
      <c r="L156" s="200" t="s">
        <v>327</v>
      </c>
      <c r="M156" s="204" t="s">
        <v>328</v>
      </c>
      <c r="N156" s="217" t="s">
        <v>329</v>
      </c>
      <c r="O156" s="217" t="s">
        <v>238</v>
      </c>
      <c r="P156" s="217" t="s">
        <v>327</v>
      </c>
      <c r="Q156" s="204" t="s">
        <v>328</v>
      </c>
      <c r="R156" s="217" t="s">
        <v>329</v>
      </c>
      <c r="S156" s="217" t="s">
        <v>238</v>
      </c>
      <c r="T156" s="200" t="s">
        <v>327</v>
      </c>
      <c r="U156" s="350" t="s">
        <v>328</v>
      </c>
      <c r="V156" s="350" t="s">
        <v>329</v>
      </c>
      <c r="W156" s="350" t="s">
        <v>238</v>
      </c>
      <c r="X156" s="348" t="s">
        <v>327</v>
      </c>
      <c r="Y156" s="418" t="s">
        <v>328</v>
      </c>
      <c r="Z156" s="283" t="s">
        <v>329</v>
      </c>
      <c r="AA156" s="350" t="s">
        <v>238</v>
      </c>
      <c r="AB156" s="350" t="s">
        <v>327</v>
      </c>
      <c r="AC156" s="443" t="s">
        <v>328</v>
      </c>
      <c r="AD156" s="63"/>
    </row>
    <row r="157" ht="27.6" customHeight="1">
      <c r="C157" s="63"/>
      <c r="D157" s="1017" t="s">
        <v>552</v>
      </c>
      <c r="E157" s="992"/>
      <c r="F157" s="914"/>
      <c r="G157" s="924" t="e">
        <f>(G96/F96)^4-1</f>
        <v>#DIV/0!</v>
      </c>
      <c r="H157" s="924" t="e">
        <f>(H96/G96)^4-1</f>
        <v>#DIV/0!</v>
      </c>
      <c r="I157" s="924" t="e">
        <f>(I96/H96)^4-1</f>
        <v>#DIV/0!</v>
      </c>
      <c r="J157" s="924" t="n">
        <f>(J96/I96)^4-1</f>
        <v>-0.21070155504838917</v>
      </c>
      <c r="K157" s="924" t="n">
        <f>(K96/J96)^4-1</f>
        <v>0.20409656990320446</v>
      </c>
      <c r="L157" s="924" t="n">
        <f>(L96/K96)^4-1</f>
        <v>0.10445079655049061</v>
      </c>
      <c r="M157" s="924" t="n">
        <f>(M96/L96)^4-1</f>
        <v>1.0038022914703681E-2</v>
      </c>
      <c r="N157" s="924" t="n">
        <f>(N96/M96)^4-1</f>
        <v>0.12746591651095995</v>
      </c>
      <c r="O157" s="924" t="n">
        <f>(O96/N96)^4-1</f>
        <v>8.7536504987418162E-2</v>
      </c>
      <c r="P157" s="924" t="n">
        <f>(P96/O96)^4-1</f>
        <v>9.6257802203331799E-2</v>
      </c>
      <c r="Q157" s="924" t="n">
        <f>(Q96/P96)^4-1</f>
        <v>5.3130466022335732E-2</v>
      </c>
      <c r="R157" s="924" t="n">
        <f>(R96/Q96)^4-1</f>
        <v>5.8700506146537323E-2</v>
      </c>
      <c r="S157" s="924" t="n">
        <f>(S96/R96)^4-1</f>
        <v>6.6224916945864853E-2</v>
      </c>
      <c r="T157" s="926" t="n">
        <f>(T96/S96)^4-1</f>
        <v>8.9223823992267803E-2</v>
      </c>
      <c r="U157" s="932" t="n">
        <f>(U96/T96)^4-1</f>
        <v>5.0898852075559109E-2</v>
      </c>
      <c r="V157" s="932" t="n">
        <f>(V96/U96)^4-1</f>
        <v>5.39354314600895E-2</v>
      </c>
      <c r="W157" s="932" t="n">
        <f>(W96/V96)^4-1</f>
        <v>4.9798063494010059E-2</v>
      </c>
      <c r="X157" s="932" t="n">
        <f>(X96/W96)^4-1</f>
        <v>5.229066242697944E-2</v>
      </c>
      <c r="Y157" s="932" t="n">
        <f>(Y96/X96)^4-1</f>
        <v>4.4380405600340955E-2</v>
      </c>
      <c r="Z157" s="932" t="n">
        <f>(Z96/Y96)^4-1</f>
        <v>4.1428724323071764E-2</v>
      </c>
      <c r="AA157" s="932" t="n">
        <f>(AA96/Z96)^4-1</f>
        <v>4.1178170772385725E-2</v>
      </c>
      <c r="AB157" s="932" t="n">
        <f>(AB96/AA96)^4-1</f>
        <v>4.1361780021860417E-2</v>
      </c>
      <c r="AC157" s="933" t="n">
        <f>(AC96/AB96)^4-1</f>
        <v>4.2346474891928665E-2</v>
      </c>
      <c r="AD157" s="63"/>
    </row>
    <row r="158" ht="27.6" customHeight="1">
      <c r="C158" s="63"/>
      <c r="D158" s="969"/>
      <c r="E158" s="675"/>
      <c r="F158" s="75"/>
      <c r="G158" s="859"/>
      <c r="H158" s="859"/>
      <c r="I158" s="859"/>
      <c r="J158" s="859"/>
      <c r="K158" s="859"/>
      <c r="L158" s="859"/>
      <c r="M158" s="859"/>
      <c r="N158" s="859"/>
      <c r="O158" s="859"/>
      <c r="P158" s="859"/>
      <c r="Q158" s="859"/>
      <c r="R158" s="859"/>
      <c r="S158" s="859"/>
      <c r="T158" s="927"/>
      <c r="U158" s="860"/>
      <c r="V158" s="860"/>
      <c r="W158" s="860"/>
      <c r="X158" s="860"/>
      <c r="Y158" s="860"/>
      <c r="Z158" s="860"/>
      <c r="AA158" s="860"/>
      <c r="AB158" s="860"/>
      <c r="AC158" s="934"/>
      <c r="AD158" s="63"/>
    </row>
    <row r="159" ht="27.6" customHeight="1">
      <c r="C159" s="63"/>
      <c r="D159" s="310" t="s">
        <v>553</v>
      </c>
      <c r="E159" s="640"/>
      <c r="F159" s="75"/>
      <c r="G159" s="859" t="e">
        <f>(G97/F97)^4-1</f>
        <v>#DIV/0!</v>
      </c>
      <c r="H159" s="859" t="e">
        <f>(H97/G97)^4-1</f>
        <v>#DIV/0!</v>
      </c>
      <c r="I159" s="859" t="e">
        <f>(I97/H97)^4-1</f>
        <v>#DIV/0!</v>
      </c>
      <c r="J159" s="859" t="n">
        <f>(J97/I97)^4-1</f>
        <v>-0.23688314079507089</v>
      </c>
      <c r="K159" s="859" t="n">
        <f>(K97/J97)^4-1</f>
        <v>0.20520050761606656</v>
      </c>
      <c r="L159" s="859" t="n">
        <f>(L97/K97)^4-1</f>
        <v>0.16094955415161705</v>
      </c>
      <c r="M159" s="859" t="n">
        <f>(M97/L97)^4-1</f>
        <v>2.7883833548878467E-2</v>
      </c>
      <c r="N159" s="859" t="n">
        <f>(N97/M97)^4-1</f>
        <v>0.12185900162885499</v>
      </c>
      <c r="O159" s="859" t="n">
        <f>(O97/N97)^4-1</f>
        <v>0.11675899119493027</v>
      </c>
      <c r="P159" s="859" t="n">
        <f>(P97/O97)^4-1</f>
        <v>0.13115208751063179</v>
      </c>
      <c r="Q159" s="859" t="n">
        <f>(Q97/P97)^4-1</f>
        <v>6.7554374316260324E-2</v>
      </c>
      <c r="R159" s="859" t="n">
        <f>(R97/Q97)^4-1</f>
        <v>4.9399992962044781E-2</v>
      </c>
      <c r="S159" s="859" t="n">
        <f>(S97/R97)^4-1</f>
        <v>6.9721013529006282E-2</v>
      </c>
      <c r="T159" s="927" t="n">
        <f>(T97/S97)^4-1</f>
        <v>6.0215303838485168E-2</v>
      </c>
      <c r="U159" s="860" t="n">
        <f>(U97/T97)^4-1</f>
        <v>4.4794184982262397E-2</v>
      </c>
      <c r="V159" s="860" t="n">
        <f>(V97/U97)^4-1</f>
        <v>3.8971806498267147E-2</v>
      </c>
      <c r="W159" s="860" t="n">
        <f>(W97/V97)^4-1</f>
        <v>4.3834530964215634E-2</v>
      </c>
      <c r="X159" s="860" t="n">
        <f>(X97/W97)^4-1</f>
        <v>4.9651733025286138E-2</v>
      </c>
      <c r="Y159" s="860" t="n">
        <f>(Y97/X97)^4-1</f>
        <v>4.8903912261530902E-2</v>
      </c>
      <c r="Z159" s="860" t="n">
        <f>(Z97/Y97)^4-1</f>
        <v>4.7591930307703478E-2</v>
      </c>
      <c r="AA159" s="860" t="n">
        <f>(AA97/Z97)^4-1</f>
        <v>4.8050806277727842E-2</v>
      </c>
      <c r="AB159" s="860" t="n">
        <f>(AB97/AA97)^4-1</f>
        <v>4.9696481519596158E-2</v>
      </c>
      <c r="AC159" s="934" t="n">
        <f>(AC97/AB97)^4-1</f>
        <v>5.1411412231850306E-2</v>
      </c>
      <c r="AD159" s="63"/>
    </row>
    <row r="160" ht="27.6" customHeight="1">
      <c r="C160" s="63"/>
      <c r="D160" s="310"/>
      <c r="E160" s="640"/>
      <c r="F160" s="75"/>
      <c r="G160" s="859"/>
      <c r="H160" s="859"/>
      <c r="I160" s="859"/>
      <c r="J160" s="859"/>
      <c r="K160" s="859"/>
      <c r="L160" s="859"/>
      <c r="M160" s="859"/>
      <c r="N160" s="859"/>
      <c r="O160" s="859"/>
      <c r="P160" s="859"/>
      <c r="Q160" s="859"/>
      <c r="R160" s="859"/>
      <c r="S160" s="859"/>
      <c r="T160" s="927"/>
      <c r="U160" s="860"/>
      <c r="V160" s="860"/>
      <c r="W160" s="860"/>
      <c r="X160" s="860"/>
      <c r="Y160" s="860"/>
      <c r="Z160" s="860"/>
      <c r="AA160" s="860"/>
      <c r="AB160" s="860"/>
      <c r="AC160" s="934"/>
      <c r="AD160" s="63"/>
    </row>
    <row r="161">
      <c r="C161" s="63"/>
      <c r="D161" s="310" t="s">
        <v>956</v>
      </c>
      <c r="E161" s="640"/>
      <c r="F161" s="75"/>
      <c r="G161" s="859" t="e">
        <f>(G98/F98)^4-1</f>
        <v>#DIV/0!</v>
      </c>
      <c r="H161" s="859" t="e">
        <f>(H98/G98)^4-1</f>
        <v>#DIV/0!</v>
      </c>
      <c r="I161" s="859" t="e">
        <f>(I98/H98)^4-1</f>
        <v>#DIV/0!</v>
      </c>
      <c r="J161" s="859" t="n">
        <f>(J98/I98)^4-1</f>
        <v>-0.16336002849894693</v>
      </c>
      <c r="K161" s="859" t="n">
        <f>(K98/J98)^4-1</f>
        <v>0.20221386896849047</v>
      </c>
      <c r="L161" s="859" t="n">
        <f>(L98/K98)^4-1</f>
        <v>1.2745999464862878E-2</v>
      </c>
      <c r="M161" s="859" t="n">
        <f>(M98/L98)^4-1</f>
        <v>-2.0933426342402583E-2</v>
      </c>
      <c r="N161" s="859" t="n">
        <f>(N98/M98)^4-1</f>
        <v>0.13754934573019617</v>
      </c>
      <c r="O161" s="859" t="n">
        <f>(O98/N98)^4-1</f>
        <v>3.6864487370476651E-2</v>
      </c>
      <c r="P161" s="859" t="n">
        <f>(P98/O98)^4-1</f>
        <v>3.4953421847994104E-2</v>
      </c>
      <c r="Q161" s="859" t="n">
        <f>(Q98/P98)^4-1</f>
        <v>2.6732902126662683E-2</v>
      </c>
      <c r="R161" s="859" t="n">
        <f>(R98/Q98)^4-1</f>
        <v>7.630767003118466E-2</v>
      </c>
      <c r="S161" s="859" t="n">
        <f>(S98/R98)^4-1</f>
        <v>5.9733145707485225E-2</v>
      </c>
      <c r="T161" s="927" t="n">
        <f>(T98/S98)^4-1</f>
        <v>0.14499498323752569</v>
      </c>
      <c r="U161" s="860" t="n">
        <f>(U98/T98)^4-1</f>
        <v>6.2153196479126871E-2</v>
      </c>
      <c r="V161" s="860" t="n">
        <f>(V98/U98)^4-1</f>
        <v>8.1654954647559119E-2</v>
      </c>
      <c r="W161" s="860" t="n">
        <f>(W98/V98)^4-1</f>
        <v>6.0635288713164925E-2</v>
      </c>
      <c r="X161" s="860" t="n">
        <f>(X98/W98)^4-1</f>
        <v>5.7051148629246429E-2</v>
      </c>
      <c r="Y161" s="860" t="n">
        <f>(Y98/X98)^4-1</f>
        <v>3.6292752006835016E-2</v>
      </c>
      <c r="Z161" s="860" t="n">
        <f>(Z98/Y98)^4-1</f>
        <v>3.0394491009306357E-2</v>
      </c>
      <c r="AA161" s="860" t="n">
        <f>(AA98/Z98)^4-1</f>
        <v>2.8831843214639719E-2</v>
      </c>
      <c r="AB161" s="860" t="n">
        <f>(AB98/AA98)^4-1</f>
        <v>2.634196107872655E-2</v>
      </c>
      <c r="AC161" s="934" t="n">
        <f>(AC98/AB98)^4-1</f>
        <v>2.5931062463653953E-2</v>
      </c>
      <c r="AD161" s="63"/>
    </row>
    <row r="162">
      <c r="C162" s="63"/>
      <c r="D162" s="310"/>
      <c r="E162" s="640"/>
      <c r="F162" s="75"/>
      <c r="G162" s="859"/>
      <c r="H162" s="859"/>
      <c r="I162" s="859"/>
      <c r="J162" s="859"/>
      <c r="K162" s="859"/>
      <c r="L162" s="859"/>
      <c r="M162" s="859"/>
      <c r="N162" s="859"/>
      <c r="O162" s="859"/>
      <c r="P162" s="859"/>
      <c r="Q162" s="859"/>
      <c r="R162" s="859"/>
      <c r="S162" s="859"/>
      <c r="T162" s="927"/>
      <c r="U162" s="860"/>
      <c r="V162" s="860"/>
      <c r="W162" s="860"/>
      <c r="X162" s="860"/>
      <c r="Y162" s="860"/>
      <c r="Z162" s="860"/>
      <c r="AA162" s="860"/>
      <c r="AB162" s="860"/>
      <c r="AC162" s="934"/>
      <c r="AD162" s="63"/>
    </row>
    <row r="163">
      <c r="C163" s="63"/>
      <c r="D163" s="311" t="s">
        <v>554</v>
      </c>
      <c r="E163" s="640"/>
      <c r="F163" s="75"/>
      <c r="G163" s="859"/>
      <c r="H163" s="859"/>
      <c r="I163" s="859"/>
      <c r="J163" s="859"/>
      <c r="K163" s="859"/>
      <c r="L163" s="859"/>
      <c r="M163" s="859"/>
      <c r="N163" s="859" t="n">
        <f>(N99/M99)^4-1</f>
        <v>0.1928451879925992</v>
      </c>
      <c r="O163" s="859" t="n">
        <f>(O99/N99)^4-1</f>
        <v>8.7145430326741824E-2</v>
      </c>
      <c r="P163" s="859" t="n">
        <f>(P99/O99)^4-1</f>
        <v>9.5040522503139657E-2</v>
      </c>
      <c r="Q163" s="859" t="n">
        <f>(Q99/P99)^4-1</f>
        <v>8.9242780231497676E-2</v>
      </c>
      <c r="R163" s="859" t="n">
        <f>(R99/Q99)^4-1</f>
        <v>9.481178927373124E-2</v>
      </c>
      <c r="S163" s="859" t="n">
        <f>(S99/R99)^4-1</f>
        <v>6.0607843328261746E-2</v>
      </c>
      <c r="T163" s="927" t="n">
        <f>(T99/S99)^4-1</f>
        <v>7.8477513818825395E-2</v>
      </c>
      <c r="U163" s="860" t="n">
        <f>(U99/T99)^4-1</f>
        <v>4.8542770037778959E-2</v>
      </c>
      <c r="V163" s="860" t="n">
        <f>(V99/U99)^4-1</f>
        <v>4.2375780152070552E-2</v>
      </c>
      <c r="W163" s="860" t="n">
        <f>(W99/V99)^4-1</f>
        <v>4.4668994972735243E-2</v>
      </c>
      <c r="X163" s="860" t="n">
        <f>(X99/W99)^4-1</f>
        <v>4.3302762153154983E-2</v>
      </c>
      <c r="Y163" s="860" t="n">
        <f>(Y99/X99)^4-1</f>
        <v>4.0737932279044653E-2</v>
      </c>
      <c r="Z163" s="860" t="n">
        <f>(Z99/Y99)^4-1</f>
        <v>3.9408847565527205E-2</v>
      </c>
      <c r="AA163" s="860" t="n">
        <f>(AA99/Z99)^4-1</f>
        <v>3.8721435847691943E-2</v>
      </c>
      <c r="AB163" s="860" t="n">
        <f>(AB99/AA99)^4-1</f>
        <v>4.0387459196791431E-2</v>
      </c>
      <c r="AC163" s="934" t="n">
        <f>(AC99/AB99)^4-1</f>
        <v>4.1195159376754775E-2</v>
      </c>
      <c r="AD163" s="63"/>
    </row>
    <row r="164">
      <c r="C164" s="63"/>
      <c r="D164" s="311"/>
      <c r="E164" s="640"/>
      <c r="F164" s="75"/>
      <c r="G164" s="859"/>
      <c r="H164" s="859"/>
      <c r="I164" s="859"/>
      <c r="J164" s="859"/>
      <c r="K164" s="859"/>
      <c r="L164" s="859"/>
      <c r="M164" s="859"/>
      <c r="N164" s="859"/>
      <c r="O164" s="859"/>
      <c r="P164" s="859"/>
      <c r="Q164" s="859"/>
      <c r="R164" s="859"/>
      <c r="S164" s="859"/>
      <c r="T164" s="927"/>
      <c r="U164" s="860"/>
      <c r="V164" s="860"/>
      <c r="W164" s="860"/>
      <c r="X164" s="860"/>
      <c r="Y164" s="860"/>
      <c r="Z164" s="860"/>
      <c r="AA164" s="860"/>
      <c r="AB164" s="860"/>
      <c r="AC164" s="934"/>
      <c r="AD164" s="63"/>
    </row>
    <row r="165">
      <c r="D165" s="752" t="s">
        <v>560</v>
      </c>
      <c r="E165" s="670"/>
      <c r="F165" s="210"/>
      <c r="G165" s="910"/>
      <c r="H165" s="910"/>
      <c r="I165" s="910"/>
      <c r="J165" s="910"/>
      <c r="K165" s="910"/>
      <c r="L165" s="910"/>
      <c r="M165" s="910"/>
      <c r="N165" s="910" t="n">
        <f t="shared" ref="N165:AC165" si="41">(N100/M100)^4-1</f>
        <v>0.56301012914725668</v>
      </c>
      <c r="O165" s="910" t="n">
        <f t="shared" si="41"/>
        <v>4.1681341019436546E-2</v>
      </c>
      <c r="P165" s="910" t="n">
        <f t="shared" si="41"/>
        <v>1.8883812263239985E-2</v>
      </c>
      <c r="Q165" s="910" t="n">
        <f t="shared" si="41"/>
        <v>-1.7080068525602621E-2</v>
      </c>
      <c r="R165" s="910" t="n">
        <f t="shared" si="41"/>
        <v>0.18639186970056576</v>
      </c>
      <c r="S165" s="910" t="n">
        <f t="shared" si="41"/>
        <v>-4.155915873861038E-2</v>
      </c>
      <c r="T165" s="911" t="n">
        <f t="shared" si="41"/>
        <v>-0.19581299458313783</v>
      </c>
      <c r="U165" s="935" t="n">
        <f t="shared" si="41"/>
        <v>-0.24267720394260905</v>
      </c>
      <c r="V165" s="935" t="n">
        <f t="shared" si="41"/>
        <v>-0.20818613090691662</v>
      </c>
      <c r="W165" s="935" t="n">
        <f t="shared" si="41"/>
        <v>-0.12874508356170977</v>
      </c>
      <c r="X165" s="935" t="n">
        <f t="shared" si="41"/>
        <v>-9.8578431708765346E-2</v>
      </c>
      <c r="Y165" s="935" t="n">
        <f t="shared" si="41"/>
        <v>4.6037197407029051E-2</v>
      </c>
      <c r="Z165" s="935" t="n">
        <f t="shared" si="41"/>
        <v>7.3599058606389711E-2</v>
      </c>
      <c r="AA165" s="935" t="n">
        <f t="shared" si="41"/>
        <v>0.10335114277663515</v>
      </c>
      <c r="AB165" s="935" t="n">
        <f t="shared" si="41"/>
        <v>0.14566418086862276</v>
      </c>
      <c r="AC165" s="936" t="n">
        <f t="shared" si="41"/>
        <v>0.13543089965831157</v>
      </c>
    </row>
    <row r="166">
      <c r="D166" s="264"/>
      <c r="E166" s="640"/>
      <c r="G166" s="640"/>
      <c r="H166" s="834"/>
      <c r="I166" s="834"/>
      <c r="J166" s="834"/>
      <c r="K166" s="834"/>
      <c r="L166" s="834"/>
      <c r="M166" s="834"/>
      <c r="N166" s="834"/>
      <c r="O166" s="834"/>
      <c r="P166" s="834"/>
      <c r="Q166" s="834"/>
      <c r="R166" s="834"/>
      <c r="S166" s="834"/>
      <c r="T166" s="834"/>
      <c r="U166" s="834"/>
      <c r="V166" s="834"/>
      <c r="W166" s="834"/>
      <c r="X166" s="834"/>
      <c r="Y166" s="834"/>
      <c r="Z166" s="834"/>
      <c r="AA166" s="834"/>
      <c r="AB166" s="834"/>
      <c r="AC166" s="834"/>
    </row>
    <row r="167" ht="14.85" customHeight="1"/>
    <row r="168" ht="14.85" customHeight="1"/>
    <row r="169" ht="14.85" customHeight="1"/>
  </sheetData>
  <mergeCells count="45">
    <mergeCell ref="D1:AC1"/>
    <mergeCell ref="D2:AC3"/>
    <mergeCell ref="Y143:AB143"/>
    <mergeCell ref="D130:AC130"/>
    <mergeCell ref="D142:AC142"/>
    <mergeCell ref="Y6:AB6"/>
    <mergeCell ref="D94:E95"/>
    <mergeCell ref="U6:X6"/>
    <mergeCell ref="F94:H94"/>
    <mergeCell ref="F6:H6"/>
    <mergeCell ref="I6:L6"/>
    <mergeCell ref="D5:E7"/>
    <mergeCell ref="M6:P6"/>
    <mergeCell ref="D36:F36"/>
    <mergeCell ref="I94:L94"/>
    <mergeCell ref="Y104:AB104"/>
    <mergeCell ref="F143:H143"/>
    <mergeCell ref="O61:V61"/>
    <mergeCell ref="P62:S62"/>
    <mergeCell ref="F5:T5"/>
    <mergeCell ref="U5:AC5"/>
    <mergeCell ref="Q6:T6"/>
    <mergeCell ref="Q94:T94"/>
    <mergeCell ref="Q104:T104"/>
    <mergeCell ref="U155:X155"/>
    <mergeCell ref="I143:L143"/>
    <mergeCell ref="M143:P143"/>
    <mergeCell ref="Q143:T143"/>
    <mergeCell ref="Q155:T155"/>
    <mergeCell ref="Y155:AB155"/>
    <mergeCell ref="D143:E144"/>
    <mergeCell ref="U94:X94"/>
    <mergeCell ref="M94:P94"/>
    <mergeCell ref="M104:P104"/>
    <mergeCell ref="F104:H104"/>
    <mergeCell ref="I104:L104"/>
    <mergeCell ref="U104:X104"/>
    <mergeCell ref="D106:E106"/>
    <mergeCell ref="Y94:AB94"/>
    <mergeCell ref="D104:E105"/>
    <mergeCell ref="D155:E156"/>
    <mergeCell ref="F155:H155"/>
    <mergeCell ref="U143:X143"/>
    <mergeCell ref="I155:L155"/>
    <mergeCell ref="M155:P155"/>
  </mergeCells>
  <pageMargins left="0.7" right="0.7" top="0.75" bottom="0.75" header="0.3" footer="0.3"/>
  <pageSetup orientation="portrait"/>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1" zoomScale="61" zoomScaleNormal="143" workbookViewId="0">
      <selection activeCell="X38" sqref="X38"/>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2578125" hidden="0" customWidth="1"/>
    <col min="9" max="9" width="11.42578125" hidden="0" customWidth="1"/>
    <col min="10" max="10" width="13.140625" hidden="0" customWidth="1"/>
    <col min="11" max="11" width="11.140625" hidden="0" customWidth="1"/>
    <col min="12" max="12" width="10.140625" hidden="0" customWidth="1"/>
    <col min="13" max="13" width="9.42578125" hidden="0" customWidth="1"/>
    <col min="14" max="14" width="8.85546875" hidden="0" customWidth="1"/>
    <col min="15" max="15" width="8.85546875" hidden="0" customWidth="1"/>
    <col min="16" max="16" width="11.85546875" hidden="0" customWidth="1"/>
    <col min="17" max="17" width="8.85546875" hidden="0" customWidth="1"/>
    <col min="18" max="18" width="8.85546875" hidden="0" customWidth="1"/>
    <col min="19" max="19" width="9.42578125" hidden="0" customWidth="1"/>
  </cols>
  <sheetData>
    <row r="1">
      <c r="H1" s="233" t="s">
        <v>363</v>
      </c>
      <c r="I1" s="233"/>
      <c r="J1" s="233"/>
      <c r="K1" s="233"/>
      <c r="L1" s="233"/>
      <c r="M1" s="233"/>
      <c r="N1" s="233"/>
      <c r="O1" s="233"/>
      <c r="P1" s="233"/>
      <c r="Q1" s="233"/>
      <c r="R1" s="233"/>
      <c r="S1" s="233"/>
    </row>
    <row r="2">
      <c r="H2" s="265" t="s">
        <v>364</v>
      </c>
      <c r="I2" s="265"/>
      <c r="J2" s="265"/>
      <c r="K2" s="265"/>
      <c r="L2" s="265"/>
      <c r="M2" s="265"/>
      <c r="N2" s="265"/>
      <c r="O2" s="265"/>
      <c r="P2" s="265"/>
      <c r="Q2" s="265"/>
      <c r="R2" s="265"/>
      <c r="S2" s="265"/>
    </row>
    <row r="3">
      <c r="H3" s="265"/>
      <c r="I3" s="265"/>
      <c r="J3" s="265"/>
      <c r="K3" s="265"/>
      <c r="L3" s="265"/>
      <c r="M3" s="265"/>
      <c r="N3" s="265"/>
      <c r="O3" s="265"/>
      <c r="P3" s="265"/>
      <c r="Q3" s="265"/>
      <c r="R3" s="265"/>
      <c r="S3" s="265"/>
    </row>
    <row r="4">
      <c r="H4" s="265"/>
      <c r="I4" s="265"/>
      <c r="J4" s="265"/>
      <c r="K4" s="265"/>
      <c r="L4" s="265"/>
      <c r="M4" s="265"/>
      <c r="N4" s="265"/>
      <c r="O4" s="265"/>
      <c r="P4" s="265"/>
      <c r="Q4" s="265"/>
      <c r="R4" s="265"/>
      <c r="S4" s="265"/>
    </row>
    <row r="5" ht="54.75" customHeight="1">
      <c r="H5" s="265"/>
      <c r="I5" s="265"/>
      <c r="J5" s="265"/>
      <c r="K5" s="265"/>
      <c r="L5" s="265"/>
      <c r="M5" s="265"/>
      <c r="N5" s="265"/>
      <c r="O5" s="265"/>
      <c r="P5" s="265"/>
      <c r="Q5" s="265"/>
      <c r="R5" s="265"/>
      <c r="S5" s="265"/>
    </row>
    <row r="6">
      <c r="H6" s="511"/>
      <c r="I6" s="511"/>
      <c r="J6" s="511"/>
      <c r="K6" s="511"/>
      <c r="L6" s="511"/>
      <c r="M6" s="511"/>
      <c r="N6" s="511"/>
      <c r="O6" s="511"/>
      <c r="P6" s="511"/>
      <c r="Q6" s="511"/>
      <c r="R6" s="511"/>
      <c r="S6" s="511"/>
    </row>
    <row r="7">
      <c r="H7" s="1030" t="s">
        <v>365</v>
      </c>
    </row>
    <row r="8" ht="16.350000000000001" customHeight="1"/>
    <row r="9" ht="15.75" customHeight="1">
      <c r="L9" s="198" t="n">
        <v>2020</v>
      </c>
      <c r="M9" s="235"/>
      <c r="N9" s="235"/>
      <c r="O9" s="1040" t="n">
        <v>2021</v>
      </c>
      <c r="P9" s="1040"/>
      <c r="Q9" s="1040"/>
      <c r="R9" s="1039"/>
    </row>
    <row r="10" ht="41.85" customHeight="1">
      <c r="H10" s="1043" t="s">
        <v>366</v>
      </c>
      <c r="I10" s="1043" t="s">
        <v>367</v>
      </c>
      <c r="J10" s="1044" t="s">
        <v>368</v>
      </c>
      <c r="K10" s="267"/>
      <c r="L10" s="1037" t="s">
        <v>329</v>
      </c>
      <c r="M10" s="1038" t="s">
        <v>238</v>
      </c>
      <c r="N10" s="1038" t="s">
        <v>327</v>
      </c>
      <c r="O10" s="1038" t="s">
        <v>328</v>
      </c>
      <c r="P10" s="1038" t="s">
        <v>329</v>
      </c>
      <c r="Q10" s="1038" t="s">
        <v>238</v>
      </c>
      <c r="R10" s="1041" t="s">
        <v>327</v>
      </c>
      <c r="S10" s="511" t="s">
        <v>369</v>
      </c>
      <c r="T10" s="267"/>
      <c r="U10" s="267"/>
      <c r="V10" s="267"/>
    </row>
    <row r="11">
      <c r="H11" s="1045" t="n">
        <v>43934</v>
      </c>
      <c r="I11" s="264" t="n">
        <v>248</v>
      </c>
      <c r="J11" s="647" t="n">
        <f>I11</f>
        <v>248</v>
      </c>
      <c r="K11" s="264"/>
      <c r="L11" s="906" t="n">
        <f>S11/26*J11</f>
        <v>95.384615384615387</v>
      </c>
      <c r="M11" s="508" t="n">
        <f>13/26*J11</f>
        <v>124</v>
      </c>
      <c r="N11" s="508" t="n">
        <f>J11-SUM(L11:M11)</f>
        <v>28.615384615384613</v>
      </c>
      <c r="O11" s="508"/>
      <c r="P11" s="508"/>
      <c r="Q11" s="508"/>
      <c r="R11" s="1035"/>
      <c r="S11" s="264" t="n">
        <v>10</v>
      </c>
      <c r="T11" s="264"/>
      <c r="U11" s="1032"/>
      <c r="V11" s="264"/>
    </row>
    <row r="12">
      <c r="H12" s="1033" t="n">
        <v>43937</v>
      </c>
      <c r="I12" s="264" t="n">
        <v>342</v>
      </c>
      <c r="J12" s="647" t="n">
        <f>I12-I11</f>
        <v>94</v>
      </c>
      <c r="K12" s="264"/>
      <c r="L12" s="906" t="n">
        <f t="shared" ref="L12:L20" si="0">S12/26*J12</f>
        <v>36.153846153846153</v>
      </c>
      <c r="M12" s="508" t="n">
        <f t="shared" ref="M12:M20" si="1">13/26*J12</f>
        <v>47</v>
      </c>
      <c r="N12" s="508" t="n">
        <f t="shared" ref="N12:N21" si="2">J12-SUM(L12:M12)</f>
        <v>10.84615384615384</v>
      </c>
      <c r="O12" s="508"/>
      <c r="P12" s="508"/>
      <c r="Q12" s="508"/>
      <c r="R12" s="1035"/>
      <c r="S12" s="264" t="n">
        <v>10</v>
      </c>
      <c r="T12" s="264"/>
      <c r="U12" s="264"/>
      <c r="V12" s="264"/>
    </row>
    <row r="13">
      <c r="H13" s="1033" t="n">
        <v>43952</v>
      </c>
      <c r="I13" s="264" t="n">
        <v>518</v>
      </c>
      <c r="J13" s="647" t="n">
        <f>I13-I12</f>
        <v>176</v>
      </c>
      <c r="K13" s="264"/>
      <c r="L13" s="906" t="n">
        <f t="shared" si="0"/>
        <v>54.15384615384616</v>
      </c>
      <c r="M13" s="508" t="n">
        <f t="shared" si="1"/>
        <v>88</v>
      </c>
      <c r="N13" s="508" t="n">
        <f t="shared" si="2"/>
        <v>33.84615384615384</v>
      </c>
      <c r="O13" s="508"/>
      <c r="P13" s="508"/>
      <c r="Q13" s="508"/>
      <c r="R13" s="1035"/>
      <c r="S13" s="264" t="n">
        <v>8</v>
      </c>
      <c r="T13" s="264"/>
      <c r="U13" s="264"/>
      <c r="V13" s="264"/>
    </row>
    <row r="14">
      <c r="H14" s="1033" t="n">
        <v>43959</v>
      </c>
      <c r="I14" s="264" t="n">
        <v>531</v>
      </c>
      <c r="J14" s="647" t="n">
        <f t="shared" ref="J14:J45" si="3">I14-I13</f>
        <v>13</v>
      </c>
      <c r="K14" s="264"/>
      <c r="L14" s="906" t="n">
        <f t="shared" si="0"/>
        <v>3.5</v>
      </c>
      <c r="M14" s="508" t="n">
        <f t="shared" si="1"/>
        <v>6.5</v>
      </c>
      <c r="N14" s="508" t="n">
        <f t="shared" si="2"/>
        <v>3</v>
      </c>
      <c r="O14" s="508"/>
      <c r="P14" s="508"/>
      <c r="Q14" s="508"/>
      <c r="R14" s="1035"/>
      <c r="S14" s="264" t="n">
        <f t="shared" ref="S14:S20" si="4">S13-1</f>
        <v>7</v>
      </c>
      <c r="T14" s="264"/>
      <c r="U14" s="264"/>
      <c r="V14" s="264"/>
    </row>
    <row r="15">
      <c r="H15" s="1033" t="n">
        <v>43967</v>
      </c>
      <c r="I15" s="264" t="n">
        <v>513</v>
      </c>
      <c r="J15" s="647" t="n">
        <f t="shared" si="3"/>
        <v>-18</v>
      </c>
      <c r="K15" s="264"/>
      <c r="L15" s="906" t="n">
        <f t="shared" ref="L15:L17" si="5">S15/26*J15</f>
        <v>-4.1538461538461542</v>
      </c>
      <c r="M15" s="508" t="n">
        <f t="shared" ref="M15:M17" si="6">13/26*J15</f>
        <v>-9</v>
      </c>
      <c r="N15" s="508" t="n">
        <f t="shared" ref="N15:N17" si="7">J15-SUM(L15:M15)</f>
        <v>-4.8461538461538467</v>
      </c>
      <c r="O15" s="508"/>
      <c r="P15" s="508"/>
      <c r="Q15" s="508"/>
      <c r="R15" s="1035"/>
      <c r="S15" s="264" t="n">
        <f t="shared" si="4"/>
        <v>6</v>
      </c>
      <c r="T15" s="264"/>
      <c r="U15" s="264"/>
      <c r="V15" s="264"/>
    </row>
    <row r="16">
      <c r="H16" s="1033" t="n">
        <v>43974</v>
      </c>
      <c r="I16" s="264" t="n">
        <v>511</v>
      </c>
      <c r="J16" s="647" t="n">
        <f t="shared" si="3"/>
        <v>-2</v>
      </c>
      <c r="K16" s="264"/>
      <c r="L16" s="906" t="n">
        <f t="shared" si="5"/>
        <v>-0.38461538461538464</v>
      </c>
      <c r="M16" s="508" t="n">
        <f t="shared" si="6"/>
        <v>-1</v>
      </c>
      <c r="N16" s="508" t="n">
        <f t="shared" si="7"/>
        <v>-0.61538461538461542</v>
      </c>
      <c r="O16" s="508"/>
      <c r="P16" s="508"/>
      <c r="Q16" s="508"/>
      <c r="R16" s="1035"/>
      <c r="S16" s="264" t="n">
        <f t="shared" si="4"/>
        <v>5</v>
      </c>
      <c r="T16" s="264"/>
      <c r="U16" s="264"/>
      <c r="V16" s="264"/>
    </row>
    <row r="17">
      <c r="H17" s="1033" t="n">
        <v>43981</v>
      </c>
      <c r="I17" s="264" t="n">
        <v>510</v>
      </c>
      <c r="J17" s="647" t="n">
        <f t="shared" si="3"/>
        <v>-1</v>
      </c>
      <c r="K17" s="264"/>
      <c r="L17" s="906" t="n">
        <f t="shared" si="5"/>
        <v>-0.15384615384615385</v>
      </c>
      <c r="M17" s="508" t="n">
        <f t="shared" si="6"/>
        <v>-0.5</v>
      </c>
      <c r="N17" s="508" t="n">
        <f t="shared" si="7"/>
        <v>-0.34615384615384615</v>
      </c>
      <c r="O17" s="508"/>
      <c r="P17" s="508"/>
      <c r="Q17" s="508"/>
      <c r="R17" s="1035"/>
      <c r="S17" s="264" t="n">
        <f t="shared" si="4"/>
        <v>4</v>
      </c>
      <c r="T17" s="264"/>
      <c r="U17" s="264"/>
      <c r="V17" s="264"/>
    </row>
    <row r="18">
      <c r="H18" s="1033" t="n">
        <v>43988</v>
      </c>
      <c r="I18" s="264" t="n">
        <v>511</v>
      </c>
      <c r="J18" s="647" t="n">
        <f t="shared" si="3"/>
        <v>1</v>
      </c>
      <c r="K18" s="264"/>
      <c r="L18" s="906" t="n">
        <f t="shared" si="0"/>
        <v>0.11538461538461539</v>
      </c>
      <c r="M18" s="508" t="n">
        <f t="shared" si="1"/>
        <v>0.5</v>
      </c>
      <c r="N18" s="508" t="n">
        <f t="shared" si="2"/>
        <v>0.38461538461538458</v>
      </c>
      <c r="O18" s="508"/>
      <c r="P18" s="508"/>
      <c r="Q18" s="508"/>
      <c r="R18" s="1035"/>
      <c r="S18" s="264" t="n">
        <f t="shared" si="4"/>
        <v>3</v>
      </c>
      <c r="T18" s="264"/>
      <c r="U18" s="264"/>
      <c r="V18" s="264"/>
    </row>
    <row r="19">
      <c r="H19" s="1033" t="n">
        <v>43994</v>
      </c>
      <c r="I19" s="264" t="n">
        <v>512</v>
      </c>
      <c r="J19" s="647" t="n">
        <f t="shared" si="3"/>
        <v>1</v>
      </c>
      <c r="K19" s="264"/>
      <c r="L19" s="906" t="n">
        <f t="shared" si="0"/>
        <v>7.6923076923076927E-2</v>
      </c>
      <c r="M19" s="508" t="n">
        <f t="shared" si="1"/>
        <v>0.5</v>
      </c>
      <c r="N19" s="508" t="n">
        <f t="shared" si="2"/>
        <v>0.42307692307692313</v>
      </c>
      <c r="O19" s="508"/>
      <c r="P19" s="508"/>
      <c r="Q19" s="508"/>
      <c r="R19" s="1035"/>
      <c r="S19" s="264" t="n">
        <f t="shared" si="4"/>
        <v>2</v>
      </c>
      <c r="T19" s="264"/>
      <c r="U19" s="264"/>
      <c r="V19" s="264"/>
    </row>
    <row r="20">
      <c r="H20" s="1033" t="n">
        <v>44002</v>
      </c>
      <c r="I20" s="264" t="n">
        <v>515</v>
      </c>
      <c r="J20" s="647" t="n">
        <f t="shared" si="3"/>
        <v>3</v>
      </c>
      <c r="K20" s="264"/>
      <c r="L20" s="906" t="n">
        <f t="shared" si="0"/>
        <v>0.11538461538461539</v>
      </c>
      <c r="M20" s="508" t="n">
        <f t="shared" si="1"/>
        <v>1.5</v>
      </c>
      <c r="N20" s="508" t="n">
        <f t="shared" si="2"/>
        <v>1.3846153846153846</v>
      </c>
      <c r="O20" s="508"/>
      <c r="P20" s="508"/>
      <c r="Q20" s="508"/>
      <c r="R20" s="1035"/>
      <c r="S20" s="264" t="n">
        <f t="shared" si="4"/>
        <v>1</v>
      </c>
      <c r="T20" s="264"/>
      <c r="U20" s="264"/>
      <c r="V20" s="264"/>
    </row>
    <row r="21">
      <c r="H21" s="1033" t="n">
        <v>44009</v>
      </c>
      <c r="I21" s="264" t="n">
        <v>519</v>
      </c>
      <c r="J21" s="647" t="n">
        <f t="shared" si="3"/>
        <v>4</v>
      </c>
      <c r="K21" s="264"/>
      <c r="L21" s="906"/>
      <c r="M21" s="508" t="n">
        <f>S21/26*J21</f>
        <v>2</v>
      </c>
      <c r="N21" s="508" t="n">
        <f t="shared" si="2"/>
        <v>2</v>
      </c>
      <c r="O21" s="508"/>
      <c r="P21" s="508"/>
      <c r="Q21" s="508"/>
      <c r="R21" s="1035"/>
      <c r="S21" s="264" t="n">
        <v>13</v>
      </c>
      <c r="T21" s="264"/>
      <c r="U21" s="264"/>
      <c r="V21" s="264"/>
    </row>
    <row r="22">
      <c r="H22" s="1033" t="n">
        <v>44012</v>
      </c>
      <c r="I22" s="264" t="n">
        <v>521</v>
      </c>
      <c r="J22" s="647" t="n">
        <f t="shared" si="3"/>
        <v>2</v>
      </c>
      <c r="K22" s="264"/>
      <c r="L22" s="906"/>
      <c r="M22" s="508" t="n">
        <f t="shared" ref="M22:M26" si="8">S22/26*J22</f>
        <v>1</v>
      </c>
      <c r="N22" s="508" t="n">
        <f>J22-SUM(L22:M22)</f>
        <v>1</v>
      </c>
      <c r="O22" s="508"/>
      <c r="P22" s="508"/>
      <c r="Q22" s="508"/>
      <c r="R22" s="1035"/>
      <c r="S22" s="264" t="n">
        <v>13</v>
      </c>
      <c r="T22" s="264"/>
      <c r="U22" s="264"/>
      <c r="V22" s="264"/>
    </row>
    <row r="23">
      <c r="H23" s="1033" t="n">
        <v>44029</v>
      </c>
      <c r="I23" s="264" t="n">
        <v>518</v>
      </c>
      <c r="J23" s="647" t="n">
        <f t="shared" si="3"/>
        <v>-3</v>
      </c>
      <c r="K23" s="264"/>
      <c r="L23" s="906"/>
      <c r="M23" s="508" t="n">
        <f t="shared" ref="M23" si="9">S23/26*J23</f>
        <v>-1.153846153846154</v>
      </c>
      <c r="N23" s="508" t="n">
        <f t="shared" ref="N23" si="10">13/26*J23</f>
        <v>-1.5</v>
      </c>
      <c r="O23" s="508" t="n">
        <f t="shared" ref="O23" si="11">J23-N23-M23</f>
        <v>-0.34615384615384603</v>
      </c>
      <c r="P23" s="508"/>
      <c r="Q23" s="508"/>
      <c r="R23" s="1035"/>
      <c r="S23" s="264" t="n">
        <f>S22-3</f>
        <v>10</v>
      </c>
      <c r="T23" s="264"/>
      <c r="U23" s="264"/>
      <c r="V23" s="264"/>
    </row>
    <row r="24">
      <c r="H24" s="1033" t="n">
        <v>44036</v>
      </c>
      <c r="I24" s="264" t="n">
        <v>520</v>
      </c>
      <c r="J24" s="647" t="n">
        <f t="shared" si="3"/>
        <v>2</v>
      </c>
      <c r="K24" s="264"/>
      <c r="L24" s="906"/>
      <c r="M24" s="508" t="n">
        <f t="shared" si="8"/>
        <v>0.69230769230769229</v>
      </c>
      <c r="N24" s="508" t="n">
        <f t="shared" ref="N24:N26" si="12">13/26*J24</f>
        <v>1</v>
      </c>
      <c r="O24" s="508" t="n">
        <f t="shared" ref="O24:O26" si="13">J24-N24-M24</f>
        <v>0.30769230769230771</v>
      </c>
      <c r="P24" s="508"/>
      <c r="Q24" s="508"/>
      <c r="R24" s="1035"/>
      <c r="S24" s="264" t="n">
        <f>S23-1</f>
        <v>9</v>
      </c>
      <c r="T24" s="264"/>
      <c r="U24" s="264"/>
      <c r="V24" s="264"/>
    </row>
    <row r="25">
      <c r="H25" s="1033" t="n">
        <v>44043</v>
      </c>
      <c r="I25" s="264" t="n">
        <v>521</v>
      </c>
      <c r="J25" s="647" t="n">
        <f t="shared" si="3"/>
        <v>1</v>
      </c>
      <c r="K25" s="264"/>
      <c r="L25" s="906"/>
      <c r="M25" s="508" t="n">
        <f t="shared" si="8"/>
        <v>0.30769230769230771</v>
      </c>
      <c r="N25" s="508" t="n">
        <f t="shared" si="12"/>
        <v>0.5</v>
      </c>
      <c r="O25" s="508" t="n">
        <f t="shared" si="13"/>
        <v>0.19230769230769229</v>
      </c>
      <c r="P25" s="508"/>
      <c r="Q25" s="508"/>
      <c r="R25" s="1035"/>
      <c r="S25" s="264" t="n">
        <f>S24-1</f>
        <v>8</v>
      </c>
      <c r="T25" s="264"/>
      <c r="U25" s="264"/>
      <c r="V25" s="264"/>
    </row>
    <row r="26">
      <c r="H26" s="1033" t="n">
        <v>44051</v>
      </c>
      <c r="I26" s="264" t="n">
        <v>525</v>
      </c>
      <c r="J26" s="647" t="n">
        <f t="shared" si="3"/>
        <v>4</v>
      </c>
      <c r="K26" s="264"/>
      <c r="L26" s="906"/>
      <c r="M26" s="508" t="n">
        <f t="shared" si="8"/>
        <v>1.0769230769230769</v>
      </c>
      <c r="N26" s="508" t="n">
        <f t="shared" si="12"/>
        <v>2</v>
      </c>
      <c r="O26" s="508" t="n">
        <f t="shared" si="13"/>
        <v>0.92307692307692313</v>
      </c>
      <c r="P26" s="508"/>
      <c r="Q26" s="508"/>
      <c r="R26" s="1035"/>
      <c r="S26" s="264" t="n">
        <f>S25-1</f>
        <v>7</v>
      </c>
      <c r="T26" s="264"/>
      <c r="U26" s="264"/>
      <c r="V26" s="264"/>
    </row>
    <row r="27">
      <c r="H27" s="1033" t="n">
        <v>44220</v>
      </c>
      <c r="I27" s="264" t="n">
        <v>558</v>
      </c>
      <c r="J27" s="647" t="n">
        <f t="shared" si="3"/>
        <v>33</v>
      </c>
      <c r="K27" s="264"/>
      <c r="L27" s="906"/>
      <c r="M27" s="508"/>
      <c r="N27" s="508"/>
      <c r="O27" s="508" t="n">
        <f>S27/26*J27</f>
        <v>12.692307692307693</v>
      </c>
      <c r="P27" s="508" t="n">
        <f>J27/2</f>
        <v>16.5</v>
      </c>
      <c r="Q27" s="508" t="n">
        <f>J27-P27-O27</f>
        <v>3.8076923076923066</v>
      </c>
      <c r="R27" s="1035"/>
      <c r="S27" s="264" t="n">
        <v>10</v>
      </c>
      <c r="T27" s="264" t="n">
        <v>10</v>
      </c>
      <c r="U27" s="264"/>
      <c r="V27" s="264"/>
    </row>
    <row r="28">
      <c r="H28" s="1033" t="n">
        <v>44227</v>
      </c>
      <c r="I28" s="264" t="n">
        <v>596</v>
      </c>
      <c r="J28" s="647" t="n">
        <f t="shared" si="3"/>
        <v>38</v>
      </c>
      <c r="K28" s="264"/>
      <c r="L28" s="906"/>
      <c r="M28" s="508"/>
      <c r="N28" s="508"/>
      <c r="O28" s="508" t="n">
        <f t="shared" ref="O28:O36" si="14">S28/26*J28</f>
        <v>13.153846153846153</v>
      </c>
      <c r="P28" s="508" t="n">
        <f t="shared" ref="P28:P36" si="15">J28/2</f>
        <v>19</v>
      </c>
      <c r="Q28" s="508" t="n">
        <f t="shared" ref="Q28:Q36" si="16">J28-P28-O28</f>
        <v>5.8461538461538467</v>
      </c>
      <c r="R28" s="1035"/>
      <c r="S28" s="264" t="n">
        <f>S27-1</f>
        <v>9</v>
      </c>
      <c r="T28" s="264" t="n">
        <f>T27-1</f>
        <v>9</v>
      </c>
      <c r="U28" s="264"/>
      <c r="V28" s="264"/>
    </row>
    <row r="29">
      <c r="H29" s="1033" t="n">
        <v>44234</v>
      </c>
      <c r="I29" s="264" t="n">
        <v>623</v>
      </c>
      <c r="J29" s="647" t="n">
        <f t="shared" si="3"/>
        <v>27</v>
      </c>
      <c r="K29" s="264"/>
      <c r="L29" s="906"/>
      <c r="M29" s="508"/>
      <c r="N29" s="508"/>
      <c r="O29" s="508" t="n">
        <f t="shared" si="14"/>
        <v>8.3076923076923084</v>
      </c>
      <c r="P29" s="508" t="n">
        <f t="shared" si="15"/>
        <v>13.5</v>
      </c>
      <c r="Q29" s="508" t="n">
        <f t="shared" si="16"/>
        <v>5.1923076923076916</v>
      </c>
      <c r="R29" s="1035"/>
      <c r="S29" s="264" t="n">
        <f t="shared" ref="S29:S36" si="17">S28-1</f>
        <v>8</v>
      </c>
      <c r="T29" s="264" t="n">
        <f t="shared" ref="T29:T36" si="18">T28-1</f>
        <v>8</v>
      </c>
      <c r="U29" s="264"/>
      <c r="V29" s="264"/>
    </row>
    <row r="30">
      <c r="H30" s="1033" t="n">
        <v>44242</v>
      </c>
      <c r="I30" s="264" t="n">
        <v>648</v>
      </c>
      <c r="J30" s="647" t="n">
        <f t="shared" si="3"/>
        <v>25</v>
      </c>
      <c r="K30" s="264"/>
      <c r="L30" s="906"/>
      <c r="M30" s="508"/>
      <c r="N30" s="508"/>
      <c r="O30" s="508" t="n">
        <f t="shared" si="14"/>
        <v>6.7307692307692308</v>
      </c>
      <c r="P30" s="508" t="n">
        <f t="shared" si="15"/>
        <v>12.5</v>
      </c>
      <c r="Q30" s="508" t="n">
        <f t="shared" si="16"/>
        <v>5.7692307692307692</v>
      </c>
      <c r="R30" s="1035"/>
      <c r="S30" s="264" t="n">
        <f t="shared" si="17"/>
        <v>7</v>
      </c>
      <c r="T30" s="264" t="n">
        <f t="shared" si="18"/>
        <v>7</v>
      </c>
      <c r="U30" s="264"/>
      <c r="V30" s="264"/>
    </row>
    <row r="31">
      <c r="H31" s="1033" t="n">
        <v>44248</v>
      </c>
      <c r="I31" s="264" t="n">
        <v>663</v>
      </c>
      <c r="J31" s="647" t="n">
        <f t="shared" si="3"/>
        <v>15</v>
      </c>
      <c r="K31" s="264"/>
      <c r="L31" s="906"/>
      <c r="M31" s="508"/>
      <c r="N31" s="508"/>
      <c r="O31" s="508" t="n">
        <f t="shared" si="14"/>
        <v>3.4615384615384617</v>
      </c>
      <c r="P31" s="508" t="n">
        <f t="shared" si="15"/>
        <v>7.5</v>
      </c>
      <c r="Q31" s="508" t="n">
        <f t="shared" si="16"/>
        <v>4.0384615384615383</v>
      </c>
      <c r="R31" s="1035"/>
      <c r="S31" s="264" t="n">
        <f t="shared" si="17"/>
        <v>6</v>
      </c>
      <c r="T31" s="264" t="n">
        <f t="shared" si="18"/>
        <v>6</v>
      </c>
      <c r="U31" s="264"/>
      <c r="V31" s="264"/>
    </row>
    <row r="32">
      <c r="H32" s="1033" t="n">
        <v>44255</v>
      </c>
      <c r="I32" s="264" t="n">
        <v>679</v>
      </c>
      <c r="J32" s="647" t="n">
        <f t="shared" si="3"/>
        <v>16</v>
      </c>
      <c r="K32" s="264"/>
      <c r="L32" s="906"/>
      <c r="M32" s="508"/>
      <c r="N32" s="508"/>
      <c r="O32" s="508" t="n">
        <f t="shared" si="14"/>
        <v>3.0769230769230771</v>
      </c>
      <c r="P32" s="508" t="n">
        <f t="shared" si="15"/>
        <v>8</v>
      </c>
      <c r="Q32" s="508" t="n">
        <f t="shared" si="16"/>
        <v>4.9230769230769234</v>
      </c>
      <c r="R32" s="1035"/>
      <c r="S32" s="264" t="n">
        <f t="shared" si="17"/>
        <v>5</v>
      </c>
      <c r="T32" s="264" t="n">
        <f t="shared" si="18"/>
        <v>5</v>
      </c>
      <c r="U32" s="264"/>
      <c r="V32" s="264"/>
    </row>
    <row r="33">
      <c r="H33" s="1033" t="n">
        <v>44262</v>
      </c>
      <c r="I33" s="264" t="n">
        <v>687</v>
      </c>
      <c r="J33" s="647" t="n">
        <f t="shared" si="3"/>
        <v>8</v>
      </c>
      <c r="K33" s="264"/>
      <c r="L33" s="906"/>
      <c r="M33" s="508"/>
      <c r="N33" s="508"/>
      <c r="O33" s="508" t="n">
        <f t="shared" si="14"/>
        <v>1.2307692307692308</v>
      </c>
      <c r="P33" s="508" t="n">
        <f t="shared" si="15"/>
        <v>4</v>
      </c>
      <c r="Q33" s="508" t="n">
        <f t="shared" si="16"/>
        <v>2.7692307692307692</v>
      </c>
      <c r="R33" s="1035"/>
      <c r="S33" s="264" t="n">
        <f t="shared" si="17"/>
        <v>4</v>
      </c>
      <c r="T33" s="264" t="n">
        <f t="shared" si="18"/>
        <v>4</v>
      </c>
      <c r="U33" s="264"/>
      <c r="V33" s="264"/>
    </row>
    <row r="34">
      <c r="H34" s="1033" t="n">
        <v>44269</v>
      </c>
      <c r="I34" s="264" t="n">
        <v>704</v>
      </c>
      <c r="J34" s="647" t="n">
        <f t="shared" si="3"/>
        <v>17</v>
      </c>
      <c r="K34" s="264"/>
      <c r="L34" s="906"/>
      <c r="M34" s="508"/>
      <c r="N34" s="508"/>
      <c r="O34" s="508" t="n">
        <f t="shared" si="14"/>
        <v>1.9615384615384617</v>
      </c>
      <c r="P34" s="508" t="n">
        <f t="shared" si="15"/>
        <v>8.5</v>
      </c>
      <c r="Q34" s="508" t="n">
        <f t="shared" si="16"/>
        <v>6.5384615384615383</v>
      </c>
      <c r="R34" s="1035"/>
      <c r="S34" s="264" t="n">
        <f t="shared" si="17"/>
        <v>3</v>
      </c>
      <c r="T34" s="264" t="n">
        <f t="shared" si="18"/>
        <v>3</v>
      </c>
      <c r="U34" s="264"/>
      <c r="V34" s="264"/>
    </row>
    <row r="35">
      <c r="H35" s="1033" t="n">
        <v>44276</v>
      </c>
      <c r="I35" s="264" t="n">
        <v>718</v>
      </c>
      <c r="J35" s="647" t="n">
        <f t="shared" si="3"/>
        <v>14</v>
      </c>
      <c r="K35" s="264"/>
      <c r="L35" s="906"/>
      <c r="M35" s="508"/>
      <c r="N35" s="508"/>
      <c r="O35" s="508" t="n">
        <f t="shared" si="14"/>
        <v>1.0769230769230771</v>
      </c>
      <c r="P35" s="508" t="n">
        <f t="shared" si="15"/>
        <v>7</v>
      </c>
      <c r="Q35" s="508" t="n">
        <f t="shared" si="16"/>
        <v>5.9230769230769234</v>
      </c>
      <c r="R35" s="1035"/>
      <c r="S35" s="264" t="n">
        <f t="shared" si="17"/>
        <v>2</v>
      </c>
      <c r="T35" s="264" t="n">
        <f t="shared" si="18"/>
        <v>2</v>
      </c>
      <c r="U35" s="264"/>
      <c r="V35" s="264"/>
    </row>
    <row r="36">
      <c r="H36" s="1033" t="n">
        <v>44283</v>
      </c>
      <c r="I36" s="264" t="n">
        <v>734</v>
      </c>
      <c r="J36" s="647" t="n">
        <f t="shared" si="3"/>
        <v>16</v>
      </c>
      <c r="K36" s="264"/>
      <c r="L36" s="906"/>
      <c r="M36" s="508"/>
      <c r="N36" s="508"/>
      <c r="O36" s="508" t="n">
        <f t="shared" si="14"/>
        <v>0.61538461538461542</v>
      </c>
      <c r="P36" s="508" t="n">
        <f t="shared" si="15"/>
        <v>8</v>
      </c>
      <c r="Q36" s="508" t="n">
        <f t="shared" si="16"/>
        <v>7.384615384615385</v>
      </c>
      <c r="R36" s="1035"/>
      <c r="S36" s="264" t="n">
        <f t="shared" si="17"/>
        <v>1</v>
      </c>
      <c r="T36" s="264" t="n">
        <f t="shared" si="18"/>
        <v>1</v>
      </c>
      <c r="U36" s="264"/>
      <c r="V36" s="264"/>
    </row>
    <row r="37">
      <c r="H37" s="1033" t="n">
        <v>44290</v>
      </c>
      <c r="I37" s="264" t="n">
        <v>746</v>
      </c>
      <c r="J37" s="647" t="n">
        <f t="shared" si="3"/>
        <v>12</v>
      </c>
      <c r="K37" s="264"/>
      <c r="L37" s="906"/>
      <c r="M37" s="508"/>
      <c r="N37" s="508"/>
      <c r="O37" s="508"/>
      <c r="P37" s="508" t="n">
        <f>T37/26*J37</f>
        <v>6</v>
      </c>
      <c r="Q37" s="508" t="n">
        <f>J37/2</f>
        <v>6</v>
      </c>
      <c r="R37" s="1035" t="n">
        <f>J37-Q37-P37</f>
        <v>0</v>
      </c>
      <c r="S37" s="264" t="n">
        <v>13</v>
      </c>
      <c r="T37" s="264" t="n">
        <v>13</v>
      </c>
      <c r="U37" s="264"/>
      <c r="V37" s="264"/>
    </row>
    <row r="38">
      <c r="H38" s="1033" t="n">
        <v>44297</v>
      </c>
      <c r="I38" s="264" t="n">
        <v>755</v>
      </c>
      <c r="J38" s="647" t="n">
        <f t="shared" si="3"/>
        <v>9</v>
      </c>
      <c r="K38" s="264"/>
      <c r="L38" s="906"/>
      <c r="M38" s="508"/>
      <c r="N38" s="508"/>
      <c r="O38" s="508"/>
      <c r="P38" s="508" t="n">
        <f t="shared" ref="P38:P45" si="19">T38/26*J38</f>
        <v>4.1538461538461542</v>
      </c>
      <c r="Q38" s="508" t="n">
        <f t="shared" ref="Q38:Q45" si="20">J38/2</f>
        <v>4.5</v>
      </c>
      <c r="R38" s="1035" t="n">
        <f t="shared" ref="R38:R45" si="21">J38-Q38-P38</f>
        <v>0.34615384615384581</v>
      </c>
      <c r="S38" s="264" t="n">
        <f>S37-1</f>
        <v>12</v>
      </c>
      <c r="T38" s="264" t="n">
        <f>T37-1</f>
        <v>12</v>
      </c>
      <c r="U38" s="264"/>
      <c r="V38" s="264"/>
    </row>
    <row r="39">
      <c r="H39" s="1033" t="n">
        <v>44304</v>
      </c>
      <c r="I39" s="264" t="n">
        <v>762</v>
      </c>
      <c r="J39" s="647" t="n">
        <f t="shared" si="3"/>
        <v>7</v>
      </c>
      <c r="K39" s="264"/>
      <c r="L39" s="906"/>
      <c r="M39" s="508"/>
      <c r="N39" s="508"/>
      <c r="O39" s="508"/>
      <c r="P39" s="508" t="n">
        <f t="shared" si="19"/>
        <v>2.9615384615384617</v>
      </c>
      <c r="Q39" s="508" t="n">
        <f t="shared" si="20"/>
        <v>3.5</v>
      </c>
      <c r="R39" s="1035" t="n">
        <f t="shared" si="21"/>
        <v>0.53846153846153832</v>
      </c>
      <c r="S39" s="264" t="n">
        <f t="shared" ref="S39:S45" si="22">S38-1</f>
        <v>11</v>
      </c>
      <c r="T39" s="264" t="n">
        <f t="shared" ref="T39:T45" si="23">T38-1</f>
        <v>11</v>
      </c>
      <c r="U39" s="264"/>
      <c r="V39" s="264"/>
    </row>
    <row r="40">
      <c r="H40" s="1033" t="n">
        <v>44311</v>
      </c>
      <c r="I40" s="264" t="n">
        <v>771</v>
      </c>
      <c r="J40" s="647" t="n">
        <f t="shared" si="3"/>
        <v>9</v>
      </c>
      <c r="K40" s="264"/>
      <c r="L40" s="906"/>
      <c r="M40" s="508"/>
      <c r="N40" s="508"/>
      <c r="O40" s="508"/>
      <c r="P40" s="508" t="n">
        <f t="shared" si="19"/>
        <v>3.4615384615384617</v>
      </c>
      <c r="Q40" s="508" t="n">
        <f t="shared" si="20"/>
        <v>4.5</v>
      </c>
      <c r="R40" s="1035" t="n">
        <f t="shared" si="21"/>
        <v>1.0384615384615383</v>
      </c>
      <c r="S40" s="264" t="n">
        <f t="shared" si="22"/>
        <v>10</v>
      </c>
      <c r="T40" s="264" t="n">
        <f t="shared" si="23"/>
        <v>10</v>
      </c>
      <c r="U40" s="264"/>
      <c r="V40" s="264"/>
    </row>
    <row r="41">
      <c r="H41" s="1033" t="n">
        <v>44318</v>
      </c>
      <c r="I41" s="264" t="n">
        <v>780</v>
      </c>
      <c r="J41" s="647" t="n">
        <f t="shared" si="3"/>
        <v>9</v>
      </c>
      <c r="K41" s="264"/>
      <c r="L41" s="906"/>
      <c r="M41" s="508"/>
      <c r="N41" s="508"/>
      <c r="O41" s="508"/>
      <c r="P41" s="508" t="n">
        <f t="shared" si="19"/>
        <v>3.1153846153846154</v>
      </c>
      <c r="Q41" s="508" t="n">
        <f t="shared" si="20"/>
        <v>4.5</v>
      </c>
      <c r="R41" s="1035" t="n">
        <f t="shared" si="21"/>
        <v>1.3846153846153846</v>
      </c>
      <c r="S41" s="264" t="n">
        <f t="shared" si="22"/>
        <v>9</v>
      </c>
      <c r="T41" s="264" t="n">
        <f t="shared" si="23"/>
        <v>9</v>
      </c>
      <c r="U41" s="264"/>
      <c r="V41" s="264"/>
    </row>
    <row r="42">
      <c r="H42" s="1033" t="n">
        <v>44325</v>
      </c>
      <c r="I42" s="264" t="n">
        <v>782</v>
      </c>
      <c r="J42" s="647" t="n">
        <f t="shared" si="3"/>
        <v>2</v>
      </c>
      <c r="K42" s="264"/>
      <c r="L42" s="906"/>
      <c r="M42" s="508"/>
      <c r="N42" s="508"/>
      <c r="O42" s="508"/>
      <c r="P42" s="508" t="n">
        <f t="shared" si="19"/>
        <v>0.61538461538461542</v>
      </c>
      <c r="Q42" s="508" t="n">
        <f t="shared" si="20"/>
        <v>1</v>
      </c>
      <c r="R42" s="1035" t="n">
        <f t="shared" si="21"/>
        <v>0.38461538461538458</v>
      </c>
      <c r="S42" s="264" t="n">
        <f t="shared" si="22"/>
        <v>8</v>
      </c>
      <c r="T42" s="264" t="n">
        <f t="shared" si="23"/>
        <v>8</v>
      </c>
      <c r="U42" s="264"/>
      <c r="V42" s="264"/>
    </row>
    <row r="43">
      <c r="H43" s="1033" t="n">
        <v>44332</v>
      </c>
      <c r="I43" s="264" t="n">
        <v>788</v>
      </c>
      <c r="J43" s="647" t="n">
        <f t="shared" si="3"/>
        <v>6</v>
      </c>
      <c r="K43" s="264"/>
      <c r="L43" s="906"/>
      <c r="M43" s="508"/>
      <c r="N43" s="508"/>
      <c r="O43" s="508"/>
      <c r="P43" s="508" t="n">
        <f t="shared" si="19"/>
        <v>1.6153846153846154</v>
      </c>
      <c r="Q43" s="508" t="n">
        <f t="shared" si="20"/>
        <v>3</v>
      </c>
      <c r="R43" s="1035" t="n">
        <f t="shared" si="21"/>
        <v>1.3846153846153846</v>
      </c>
      <c r="S43" s="264" t="n">
        <f t="shared" si="22"/>
        <v>7</v>
      </c>
      <c r="T43" s="264" t="n">
        <f t="shared" si="23"/>
        <v>7</v>
      </c>
      <c r="U43" s="264"/>
      <c r="V43" s="264"/>
    </row>
    <row r="44">
      <c r="H44" s="1033" t="n">
        <v>44339</v>
      </c>
      <c r="I44" s="264" t="n">
        <v>796</v>
      </c>
      <c r="J44" s="647" t="n">
        <f t="shared" si="3"/>
        <v>8</v>
      </c>
      <c r="K44" s="264"/>
      <c r="L44" s="906"/>
      <c r="M44" s="508"/>
      <c r="N44" s="508"/>
      <c r="O44" s="508"/>
      <c r="P44" s="508" t="n">
        <f t="shared" si="19"/>
        <v>1.8461538461538463</v>
      </c>
      <c r="Q44" s="508" t="n">
        <f t="shared" si="20"/>
        <v>4</v>
      </c>
      <c r="R44" s="1035" t="n">
        <f t="shared" si="21"/>
        <v>2.1538461538461537</v>
      </c>
      <c r="S44" s="264" t="n">
        <f t="shared" si="22"/>
        <v>6</v>
      </c>
      <c r="T44" s="264" t="n">
        <f t="shared" si="23"/>
        <v>6</v>
      </c>
      <c r="U44" s="264"/>
      <c r="V44" s="264"/>
    </row>
    <row r="45">
      <c r="H45" s="1034" t="n">
        <v>44347</v>
      </c>
      <c r="I45" s="642" t="n">
        <v>800</v>
      </c>
      <c r="J45" s="648" t="n">
        <f t="shared" si="3"/>
        <v>4</v>
      </c>
      <c r="K45" s="264"/>
      <c r="L45" s="906"/>
      <c r="M45" s="508"/>
      <c r="N45" s="508"/>
      <c r="O45" s="508"/>
      <c r="P45" s="508" t="n">
        <f t="shared" si="19"/>
        <v>0.76923076923076927</v>
      </c>
      <c r="Q45" s="508" t="n">
        <f t="shared" si="20"/>
        <v>2</v>
      </c>
      <c r="R45" s="1035" t="n">
        <f t="shared" si="21"/>
        <v>1.2307692307692308</v>
      </c>
      <c r="S45" s="264" t="n">
        <f t="shared" si="22"/>
        <v>5</v>
      </c>
      <c r="T45" s="264" t="n">
        <f t="shared" si="23"/>
        <v>5</v>
      </c>
      <c r="U45" s="264"/>
      <c r="V45" s="264"/>
    </row>
    <row r="46">
      <c r="H46" s="264"/>
      <c r="I46" s="264"/>
      <c r="J46" s="264"/>
      <c r="K46" s="264"/>
      <c r="L46" s="906" t="n">
        <f>SUM(L11:L45)</f>
        <v>184.80769230769229</v>
      </c>
      <c r="M46" s="508" t="n">
        <f t="shared" ref="M46:R46" si="24">SUM(M11:M45)</f>
        <v>261.42307692307696</v>
      </c>
      <c r="N46" s="508" t="n">
        <f t="shared" si="24"/>
        <v>77.692307692307693</v>
      </c>
      <c r="O46" s="508" t="n">
        <f t="shared" si="24"/>
        <v>53.384615384615394</v>
      </c>
      <c r="P46" s="508" t="n">
        <f t="shared" si="24"/>
        <v>129.03846153846155</v>
      </c>
      <c r="Q46" s="508" t="n">
        <f t="shared" si="24"/>
        <v>85.192307692307693</v>
      </c>
      <c r="R46" s="1035" t="n">
        <f t="shared" si="24"/>
        <v>8.4615384615384599</v>
      </c>
      <c r="S46" s="264"/>
      <c r="T46" s="264"/>
      <c r="U46" s="264"/>
      <c r="V46" s="264"/>
    </row>
    <row r="47">
      <c r="H47" s="264"/>
      <c r="I47" s="264"/>
      <c r="J47" s="264"/>
      <c r="K47" s="264"/>
      <c r="L47" s="907" t="n">
        <f>L46*4</f>
        <v>739.23076923076917</v>
      </c>
      <c r="M47" s="908" t="n">
        <f t="shared" ref="M47:R47" si="25">M46*4</f>
        <v>1045.6923076923078</v>
      </c>
      <c r="N47" s="908" t="n">
        <f t="shared" si="25"/>
        <v>310.76923076923077</v>
      </c>
      <c r="O47" s="908" t="n">
        <f t="shared" si="25"/>
        <v>213.53846153846158</v>
      </c>
      <c r="P47" s="908" t="n">
        <f t="shared" si="25"/>
        <v>516.15384615384619</v>
      </c>
      <c r="Q47" s="908" t="n">
        <f t="shared" si="25"/>
        <v>340.76923076923077</v>
      </c>
      <c r="R47" s="1036" t="n">
        <f t="shared" si="25"/>
        <v>33.84615384615384</v>
      </c>
      <c r="S47" s="264" t="s">
        <v>370</v>
      </c>
      <c r="T47" s="264"/>
      <c r="U47" s="264"/>
      <c r="V47" s="264"/>
    </row>
    <row r="48">
      <c r="J48" s="268" t="s">
        <v>371</v>
      </c>
      <c r="L48" s="268" t="n">
        <v>634</v>
      </c>
      <c r="M48" s="758" t="n">
        <f>K55</f>
        <v>900.7</v>
      </c>
      <c r="N48" s="758" t="n">
        <f t="shared" ref="N48:P48" si="26">L55</f>
        <v>270.7</v>
      </c>
      <c r="O48" s="758" t="n">
        <f t="shared" si="26"/>
        <v>208.7</v>
      </c>
      <c r="P48" s="758" t="n">
        <f t="shared" si="26"/>
        <v>469.7</v>
      </c>
      <c r="Q48" s="758" t="n">
        <v>279</v>
      </c>
      <c r="R48" s="758"/>
    </row>
    <row r="50">
      <c r="H50" s="747" t="s">
        <v>372</v>
      </c>
      <c r="I50" s="748"/>
      <c r="J50" s="486" t="s">
        <v>325</v>
      </c>
      <c r="K50" s="487"/>
      <c r="L50" s="487"/>
      <c r="M50" s="490"/>
      <c r="N50" s="490"/>
      <c r="O50" s="490"/>
      <c r="P50" s="238"/>
      <c r="Q50" s="584"/>
      <c r="R50" s="584"/>
      <c r="S50" s="584"/>
      <c r="T50" s="584"/>
      <c r="U50" s="584"/>
      <c r="V50" s="584"/>
      <c r="W50" s="584"/>
      <c r="X50" s="584"/>
      <c r="Y50" s="584"/>
    </row>
    <row r="51">
      <c r="H51" s="749"/>
      <c r="I51" s="750"/>
      <c r="J51" s="198" t="n">
        <v>2020</v>
      </c>
      <c r="K51" s="235"/>
      <c r="L51" s="235"/>
      <c r="M51" s="198" t="n">
        <v>2021</v>
      </c>
      <c r="N51" s="235"/>
      <c r="O51" s="235"/>
      <c r="P51" s="236"/>
      <c r="Q51" s="264"/>
      <c r="R51" s="264"/>
      <c r="S51" s="264"/>
      <c r="T51" s="264"/>
      <c r="U51" s="264"/>
      <c r="V51" s="264"/>
      <c r="W51" s="264"/>
      <c r="X51" s="264"/>
    </row>
    <row r="52">
      <c r="H52" s="1027"/>
      <c r="I52" s="1028"/>
      <c r="J52" s="204" t="s">
        <v>329</v>
      </c>
      <c r="K52" s="217" t="s">
        <v>238</v>
      </c>
      <c r="L52" s="217" t="s">
        <v>327</v>
      </c>
      <c r="M52" s="729" t="s">
        <v>328</v>
      </c>
      <c r="N52" s="730" t="s">
        <v>329</v>
      </c>
      <c r="O52" s="730" t="s">
        <v>238</v>
      </c>
      <c r="P52" s="728" t="s">
        <v>327</v>
      </c>
      <c r="Q52" s="264"/>
      <c r="S52" s="268"/>
      <c r="T52" s="268"/>
      <c r="U52" s="264"/>
      <c r="V52" s="268"/>
      <c r="W52" s="268"/>
      <c r="X52" s="268"/>
      <c r="Y52" s="268"/>
      <c r="Z52" s="268"/>
      <c r="AA52" s="268"/>
    </row>
    <row r="53" ht="32.85" customHeight="1">
      <c r="H53" s="541" t="s">
        <v>373</v>
      </c>
      <c r="I53" s="264" t="s">
        <v>374</v>
      </c>
      <c r="J53" s="1026" t="n">
        <f>'Haver Pivoted'!GU47</f>
        <v>57.2</v>
      </c>
      <c r="K53" s="1042" t="n">
        <f>'Haver Pivoted'!GV47</f>
        <v>81.2</v>
      </c>
      <c r="L53" s="1042" t="n">
        <f>'Haver Pivoted'!GW47</f>
        <v>24.4</v>
      </c>
      <c r="M53" s="269" t="n">
        <f>'Haver Pivoted'!GX47</f>
        <v>11.7</v>
      </c>
      <c r="N53" s="269" t="n">
        <f>'Haver Pivoted'!GY47</f>
        <v>28.5</v>
      </c>
      <c r="O53" s="349" t="n">
        <f>'Haver Pivoted'!GZ47</f>
        <v>18.8</v>
      </c>
      <c r="P53" s="349" t="n">
        <f>'Haver Pivoted'!HA47</f>
        <v>1.6</v>
      </c>
      <c r="Q53" s="269"/>
      <c r="S53" s="268"/>
      <c r="T53" s="268"/>
      <c r="U53" s="268"/>
      <c r="V53" s="268"/>
      <c r="W53" s="268"/>
      <c r="X53" s="268"/>
      <c r="Y53" s="268"/>
      <c r="Z53" s="268"/>
      <c r="AA53" s="268"/>
    </row>
    <row r="54" ht="33.75" customHeight="1">
      <c r="H54" s="541" t="s">
        <v>375</v>
      </c>
      <c r="I54" s="266" t="s">
        <v>376</v>
      </c>
      <c r="J54" s="1025" t="n">
        <f>'Haver Pivoted'!GU49</f>
        <v>576.9</v>
      </c>
      <c r="K54" s="269" t="n">
        <f>'Haver Pivoted'!GV49</f>
        <v>819.5</v>
      </c>
      <c r="L54" s="269" t="n">
        <f>'Haver Pivoted'!GW49</f>
        <v>246.3</v>
      </c>
      <c r="M54" s="269" t="n">
        <f>'Haver Pivoted'!GX49</f>
        <v>197</v>
      </c>
      <c r="N54" s="269" t="n">
        <f>'Haver Pivoted'!GY49</f>
        <v>441.2</v>
      </c>
      <c r="O54" s="349" t="n">
        <f>'Haver Pivoted'!GZ49</f>
        <v>276.7</v>
      </c>
      <c r="P54" s="349" t="n">
        <f>'Haver Pivoted'!HA49</f>
        <v>28.2</v>
      </c>
      <c r="Q54" s="269"/>
      <c r="R54" s="269"/>
    </row>
    <row r="55">
      <c r="H55" s="649" t="s">
        <v>359</v>
      </c>
      <c r="I55" s="264"/>
      <c r="J55" s="1025" t="n">
        <f>J54+J53</f>
        <v>634.1</v>
      </c>
      <c r="K55" s="269" t="n">
        <f t="shared" ref="K55:M55" si="27">K54+K53</f>
        <v>900.7</v>
      </c>
      <c r="L55" s="269" t="n">
        <f t="shared" si="27"/>
        <v>270.7</v>
      </c>
      <c r="M55" s="269" t="n">
        <f t="shared" si="27"/>
        <v>208.7</v>
      </c>
      <c r="N55" s="269" t="n">
        <f t="shared" ref="N55:P55" si="28">N54+N53</f>
        <v>469.7</v>
      </c>
      <c r="O55" s="349" t="n">
        <f t="shared" si="28"/>
        <v>295.5</v>
      </c>
      <c r="P55" s="349" t="n">
        <f t="shared" si="28"/>
        <v>29.8</v>
      </c>
      <c r="Q55" s="269"/>
      <c r="R55" s="269"/>
    </row>
    <row r="56">
      <c r="H56" s="333" t="s">
        <v>377</v>
      </c>
      <c r="I56" s="642"/>
      <c r="J56" s="909" t="n">
        <f t="shared" ref="J56:P56" si="29">J53/J55</f>
        <v>9.0206592020186091E-2</v>
      </c>
      <c r="K56" s="910" t="n">
        <f t="shared" si="29"/>
        <v>9.015210391917397E-2</v>
      </c>
      <c r="L56" s="910" t="n">
        <f t="shared" si="29"/>
        <v>9.0136682674547469E-2</v>
      </c>
      <c r="M56" s="910" t="n">
        <f t="shared" si="29"/>
        <v>5.6061332055582176E-2</v>
      </c>
      <c r="N56" s="910" t="n">
        <f t="shared" si="29"/>
        <v>6.0677027890142649E-2</v>
      </c>
      <c r="O56" s="911" t="n">
        <f t="shared" si="29"/>
        <v>6.3620981387478848E-2</v>
      </c>
      <c r="P56" s="911" t="n">
        <f t="shared" si="29"/>
        <v>5.3691275167785234E-2</v>
      </c>
      <c r="Q56" s="1031"/>
      <c r="R56" s="859"/>
    </row>
    <row r="58">
      <c r="H58" s="268" t="s">
        <v>871</v>
      </c>
    </row>
    <row r="59">
      <c r="H59" s="540"/>
      <c r="I59" s="264"/>
      <c r="J59" s="269"/>
      <c r="K59" s="269"/>
      <c r="L59" s="269"/>
      <c r="M59" s="269"/>
      <c r="N59" s="269"/>
      <c r="O59" s="269"/>
      <c r="P59" s="575"/>
      <c r="Q59" s="269"/>
      <c r="R59" s="269"/>
      <c r="S59" s="269"/>
      <c r="T59" s="268"/>
      <c r="U59" s="268"/>
      <c r="V59" s="268"/>
      <c r="W59" s="268"/>
      <c r="X59" s="268"/>
      <c r="Y59" s="268"/>
      <c r="Z59" s="268"/>
      <c r="AA59" s="268"/>
      <c r="AB59" s="268"/>
      <c r="AC59" s="268"/>
    </row>
    <row r="60">
      <c r="P60" s="269"/>
      <c r="Q60" s="268"/>
      <c r="R60" s="268"/>
      <c r="S60" s="268"/>
      <c r="T60" s="268"/>
      <c r="U60" s="268"/>
      <c r="V60" s="268"/>
      <c r="W60" s="268"/>
      <c r="X60" s="268"/>
      <c r="Y60" s="268"/>
      <c r="Z60" s="268"/>
      <c r="AA60" s="268"/>
      <c r="AB60" s="268"/>
      <c r="AC60" s="268"/>
    </row>
    <row r="61">
      <c r="P61" s="269"/>
      <c r="Q61" s="1029"/>
      <c r="R61" s="1029"/>
      <c r="S61" s="1029"/>
      <c r="T61" s="1029"/>
      <c r="U61" s="1029"/>
      <c r="V61" s="1029"/>
      <c r="W61" s="1029"/>
      <c r="X61" s="1029"/>
      <c r="Y61" s="1029"/>
      <c r="Z61" s="1029"/>
      <c r="AA61" s="1029"/>
      <c r="AB61" s="1029"/>
      <c r="AC61" s="268"/>
    </row>
    <row r="62">
      <c r="P62" s="269"/>
      <c r="Q62" s="1029"/>
      <c r="R62" s="1029"/>
      <c r="S62" s="1029"/>
      <c r="T62" s="1029"/>
      <c r="U62" s="1029"/>
      <c r="V62" s="1029"/>
      <c r="W62" s="1029"/>
      <c r="X62" s="1029"/>
      <c r="Y62" s="1029"/>
      <c r="Z62" s="1029"/>
      <c r="AA62" s="1029"/>
      <c r="AB62" s="1029"/>
      <c r="AC62" s="268"/>
    </row>
    <row r="63">
      <c r="I63" s="268" t="s">
        <v>328</v>
      </c>
      <c r="J63" s="268" t="s">
        <v>329</v>
      </c>
      <c r="K63" s="268" t="s">
        <v>238</v>
      </c>
      <c r="L63" s="268" t="s">
        <v>327</v>
      </c>
      <c r="P63" s="859"/>
      <c r="Q63" s="1029"/>
      <c r="R63" s="1029"/>
      <c r="S63" s="1029"/>
      <c r="T63" s="1029"/>
      <c r="U63" s="1029"/>
      <c r="V63" s="1029"/>
      <c r="W63" s="1029"/>
      <c r="X63" s="1029"/>
      <c r="Y63" s="1029"/>
      <c r="Z63" s="1029"/>
      <c r="AA63" s="1029"/>
      <c r="AB63" s="1029"/>
      <c r="AC63" s="268"/>
    </row>
    <row r="64">
      <c r="H64" s="268" t="s">
        <v>872</v>
      </c>
      <c r="I64" s="268" t="n">
        <v>81.599999999999994</v>
      </c>
      <c r="J64" s="268" t="n">
        <v>188.9</v>
      </c>
      <c r="K64" s="268" t="n">
        <v>117.2</v>
      </c>
      <c r="L64" s="268" t="e">
        <f>#REF!+#REF!</f>
        <v>#REF!</v>
      </c>
      <c r="P64" s="268"/>
      <c r="Q64" s="268"/>
      <c r="R64" s="268"/>
      <c r="S64" s="268"/>
      <c r="T64" s="268"/>
      <c r="U64" s="268"/>
      <c r="V64" s="268"/>
      <c r="W64" s="268"/>
      <c r="X64" s="268"/>
      <c r="Y64" s="268"/>
      <c r="Z64" s="268"/>
      <c r="AA64" s="268"/>
      <c r="AB64" s="268"/>
      <c r="AC64" s="268"/>
    </row>
    <row r="65">
      <c r="H65" s="268" t="s">
        <v>520</v>
      </c>
      <c r="I65" s="758" t="n">
        <f>M53</f>
        <v>11.7</v>
      </c>
      <c r="J65" s="758" t="n">
        <f t="shared" ref="J65:K65" si="30">N53</f>
        <v>28.5</v>
      </c>
      <c r="K65" s="758" t="n">
        <f t="shared" si="30"/>
        <v>18.8</v>
      </c>
      <c r="L65" s="268" t="e">
        <f>#REF!</f>
        <v>#REF!</v>
      </c>
      <c r="P65" s="268"/>
      <c r="Q65" s="268"/>
      <c r="R65" s="268"/>
      <c r="S65" s="268"/>
      <c r="T65" s="268"/>
      <c r="U65" s="268"/>
      <c r="V65" s="268"/>
      <c r="W65" s="268"/>
      <c r="X65" s="268"/>
      <c r="Y65" s="268"/>
      <c r="Z65" s="268"/>
      <c r="AA65" s="268"/>
      <c r="AB65" s="268"/>
      <c r="AC65" s="268"/>
    </row>
    <row r="66">
      <c r="H66" s="268" t="s">
        <v>873</v>
      </c>
      <c r="I66" s="758" t="n">
        <f>I67-SUM(I64:I65)</f>
        <v>115.39999999999999</v>
      </c>
      <c r="J66" s="758" t="n">
        <f t="shared" ref="J66:K66" si="31">J67-SUM(J64:J65)</f>
        <v>252.29999999999998</v>
      </c>
      <c r="K66" s="758" t="n">
        <f t="shared" si="31"/>
        <v>159.5</v>
      </c>
      <c r="L66" s="758" t="e">
        <f>1.26*L64</f>
        <v>#REF!</v>
      </c>
      <c r="P66" s="268"/>
      <c r="Q66" s="268"/>
      <c r="R66" s="268"/>
      <c r="S66" s="268"/>
      <c r="T66" s="268"/>
      <c r="U66" s="268"/>
      <c r="V66" s="268"/>
      <c r="W66" s="268"/>
      <c r="X66" s="268"/>
      <c r="Y66" s="268"/>
      <c r="Z66" s="268"/>
      <c r="AA66" s="268"/>
      <c r="AB66" s="268"/>
      <c r="AC66" s="268"/>
    </row>
    <row r="67">
      <c r="H67" s="268" t="s">
        <v>359</v>
      </c>
      <c r="I67" s="758" t="n">
        <f>M55</f>
        <v>208.7</v>
      </c>
      <c r="J67" s="758" t="n">
        <f>N55</f>
        <v>469.7</v>
      </c>
      <c r="K67" s="758" t="n">
        <f>O55</f>
        <v>295.5</v>
      </c>
      <c r="L67" s="758" t="e">
        <f>SUM(L64:L66)</f>
        <v>#REF!</v>
      </c>
    </row>
    <row r="68">
      <c r="G68" s="268" t="s">
        <v>874</v>
      </c>
    </row>
    <row r="69">
      <c r="H69" s="268" t="s">
        <v>872</v>
      </c>
      <c r="I69" s="697" t="n">
        <f>I64/I$67</f>
        <v>0.39099185433636796</v>
      </c>
      <c r="J69" s="697" t="n">
        <f t="shared" ref="J69:L69" si="32">J64/J$67</f>
        <v>0.40217159889291038</v>
      </c>
      <c r="K69" s="697" t="n">
        <f t="shared" si="32"/>
        <v>0.3966159052453469</v>
      </c>
      <c r="L69" s="697" t="e">
        <f t="shared" si="32"/>
        <v>#REF!</v>
      </c>
    </row>
    <row r="70">
      <c r="H70" s="268" t="s">
        <v>520</v>
      </c>
      <c r="I70" s="697" t="n">
        <f t="shared" ref="I70:L71" si="33">I65/I$67</f>
        <v>5.6061332055582176E-2</v>
      </c>
      <c r="J70" s="697" t="n">
        <f t="shared" si="33"/>
        <v>6.0677027890142649E-2</v>
      </c>
      <c r="K70" s="697" t="n">
        <f t="shared" si="33"/>
        <v>6.3620981387478848E-2</v>
      </c>
      <c r="L70" s="697" t="e">
        <f t="shared" si="33"/>
        <v>#REF!</v>
      </c>
    </row>
    <row r="71">
      <c r="H71" s="268" t="s">
        <v>873</v>
      </c>
      <c r="I71" s="697" t="n">
        <f t="shared" si="33"/>
        <v>0.55294681360804987</v>
      </c>
      <c r="J71" s="697" t="n">
        <f t="shared" si="33"/>
        <v>0.53715137321694695</v>
      </c>
      <c r="K71" s="697" t="n">
        <f t="shared" si="33"/>
        <v>0.53976311336717431</v>
      </c>
      <c r="L71" s="697" t="e">
        <f t="shared" si="33"/>
        <v>#REF!</v>
      </c>
    </row>
    <row r="73">
      <c r="H73" s="268" t="s">
        <v>875</v>
      </c>
      <c r="I73" s="268" t="n">
        <f>I66/I64</f>
        <v>1.4142156862745099</v>
      </c>
      <c r="J73" s="268" t="n">
        <f t="shared" ref="J73:K73" si="34">J66/J64</f>
        <v>1.3356273160402328</v>
      </c>
      <c r="K73" s="268"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G22" sqref="G22"/>
    </sheetView>
  </sheetViews>
  <sheetFormatPr defaultRowHeight="15.0" baseColWidth="10"/>
  <cols>
    <col min="2" max="2" width="38.8554687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 min="8" max="8" width="10.42578125" hidden="0" customWidth="1"/>
    <col min="9" max="9" width="10.42578125" hidden="0" customWidth="1"/>
    <col min="10" max="10" width="7.140625" hidden="0" customWidth="1"/>
    <col min="11" max="11" width="7.140625" hidden="0" customWidth="1"/>
    <col min="12" max="12" width="7.140625" hidden="0" customWidth="1"/>
    <col min="13" max="13" width="7.140625" hidden="0" customWidth="1"/>
    <col min="14" max="14" width="7.140625" hidden="0" customWidth="1"/>
    <col min="15" max="15" width="7.140625" hidden="0" customWidth="1"/>
    <col min="16" max="16" width="7.140625" hidden="0" customWidth="1"/>
    <col min="17" max="17" width="7.140625" hidden="0" customWidth="1"/>
    <col min="18" max="18" width="7.140625" hidden="0" customWidth="1"/>
    <col min="19" max="19" width="7.140625" hidden="0" customWidth="1"/>
    <col min="20" max="20" width="7.140625" hidden="0" customWidth="1"/>
    <col min="21" max="21" width="22.140625" hidden="0" customWidth="1"/>
    <col min="22" max="22" width="11.85546875" hidden="0" customWidth="1"/>
  </cols>
  <sheetData>
    <row r="1">
      <c r="B1" s="98" t="s">
        <v>152</v>
      </c>
      <c r="C1" s="98"/>
      <c r="D1" s="98"/>
      <c r="E1" s="98"/>
      <c r="F1" s="98"/>
      <c r="G1" s="98"/>
      <c r="H1" s="98"/>
      <c r="I1" s="98"/>
      <c r="J1" s="98"/>
      <c r="K1" s="98"/>
      <c r="L1" s="98"/>
      <c r="M1" s="98"/>
      <c r="N1" s="98"/>
      <c r="O1" s="98"/>
      <c r="P1" s="98"/>
      <c r="Q1" s="98"/>
      <c r="R1" s="98"/>
      <c r="S1" s="98"/>
      <c r="T1" s="98"/>
    </row>
    <row r="2">
      <c r="B2" s="37" t="s">
        <v>915</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222"/>
      <c r="K7" s="222"/>
      <c r="M7" s="222"/>
    </row>
    <row r="9" ht="14.85" customHeight="1">
      <c r="A9" s="123"/>
      <c r="B9" s="1046" t="s">
        <v>351</v>
      </c>
      <c r="C9" s="1047"/>
      <c r="D9" s="1076" t="n">
        <v>2018</v>
      </c>
      <c r="E9" s="1052" t="n">
        <v>2019</v>
      </c>
      <c r="F9" s="1053"/>
      <c r="G9" s="1053"/>
      <c r="H9" s="1054"/>
      <c r="I9" s="1050" t="n">
        <v>2020</v>
      </c>
      <c r="J9" s="1051"/>
      <c r="K9" s="1051"/>
      <c r="L9" s="1051"/>
      <c r="M9" s="1055" t="n">
        <v>2021</v>
      </c>
      <c r="N9" s="1056"/>
      <c r="O9" s="1056"/>
      <c r="P9" s="1057"/>
      <c r="Q9" s="1050" t="n">
        <v>2022</v>
      </c>
      <c r="R9" s="1058"/>
      <c r="S9" s="1058"/>
      <c r="T9" s="1059"/>
    </row>
    <row r="10">
      <c r="B10" s="1048"/>
      <c r="C10" s="1049"/>
      <c r="D10" s="1080" t="s">
        <v>327</v>
      </c>
      <c r="E10" s="1081" t="s">
        <v>328</v>
      </c>
      <c r="F10" s="191" t="s">
        <v>329</v>
      </c>
      <c r="G10" s="191" t="s">
        <v>238</v>
      </c>
      <c r="H10" s="1082" t="s">
        <v>327</v>
      </c>
      <c r="I10" s="1081" t="s">
        <v>328</v>
      </c>
      <c r="J10" s="191" t="s">
        <v>329</v>
      </c>
      <c r="K10" s="191" t="s">
        <v>238</v>
      </c>
      <c r="L10" s="191" t="s">
        <v>327</v>
      </c>
      <c r="M10" s="204" t="s">
        <v>328</v>
      </c>
      <c r="N10" s="217" t="s">
        <v>329</v>
      </c>
      <c r="O10" s="217" t="s">
        <v>238</v>
      </c>
      <c r="P10" s="200" t="s">
        <v>327</v>
      </c>
      <c r="Q10" s="191" t="s">
        <v>328</v>
      </c>
      <c r="R10" s="191" t="s">
        <v>329</v>
      </c>
      <c r="S10" s="191" t="s">
        <v>238</v>
      </c>
      <c r="T10" s="1082" t="s">
        <v>327</v>
      </c>
    </row>
    <row r="11" ht="29.1" customHeight="1">
      <c r="A11" s="1074"/>
      <c r="B11" s="1084" t="s">
        <v>139</v>
      </c>
      <c r="C11" s="1079" t="s">
        <v>352</v>
      </c>
      <c r="D11" s="1068"/>
      <c r="E11" s="1069"/>
      <c r="F11" s="1069"/>
      <c r="G11" s="1069"/>
      <c r="H11" s="1069"/>
      <c r="I11" s="1069"/>
      <c r="J11" s="1060" t="n">
        <f>'Haver Pivoted'!GU48</f>
        <v>160.9</v>
      </c>
      <c r="K11" s="1060" t="n">
        <f>'Haver Pivoted'!GV48</f>
        <v>58.4</v>
      </c>
      <c r="L11" s="1060" t="n">
        <f>'Haver Pivoted'!GW48</f>
        <v>34.5</v>
      </c>
      <c r="M11" s="1060" t="n">
        <f>'Haver Pivoted'!GX48</f>
        <v>21.4</v>
      </c>
      <c r="N11" s="1060" t="n">
        <f>'Haver Pivoted'!GY48</f>
        <v>13.3</v>
      </c>
      <c r="O11" s="1060" t="n">
        <f>'Haver Pivoted'!GZ48</f>
        <v>18.7</v>
      </c>
      <c r="P11" s="1060" t="n">
        <f>'Haver Pivoted'!HA48</f>
        <v>32.200000000000003</v>
      </c>
      <c r="Q11" s="1060" t="n">
        <f>'Haver Pivoted'!HB48</f>
        <v>26.9</v>
      </c>
      <c r="R11" s="1060" t="n">
        <f>'Haver Pivoted'!HC48</f>
        <v>20</v>
      </c>
      <c r="S11" s="1066" t="n">
        <f>'Haver Pivoted'!HD48</f>
        <v>8.1</v>
      </c>
      <c r="T11" s="1061" t="n">
        <f>'Haver Pivoted'!HE48</f>
        <v>4.9000000000000004</v>
      </c>
    </row>
    <row r="12" ht="29.1" customHeight="1">
      <c r="A12" s="1074"/>
      <c r="B12" s="1072" t="s">
        <v>353</v>
      </c>
      <c r="C12" s="1067" t="s">
        <v>354</v>
      </c>
      <c r="D12" s="1072"/>
      <c r="E12" s="1067"/>
      <c r="F12" s="1067"/>
      <c r="G12" s="1067"/>
      <c r="H12" s="1067"/>
      <c r="I12" s="1067"/>
      <c r="J12" s="1062" t="n">
        <f>'Haver Pivoted'!GU58</f>
        <v>64.400000000000006</v>
      </c>
      <c r="K12" s="1062" t="n">
        <f>'Haver Pivoted'!GV58</f>
        <v>23.4</v>
      </c>
      <c r="L12" s="1062" t="n">
        <f>'Haver Pivoted'!GW58</f>
        <v>13.8</v>
      </c>
      <c r="M12" s="1062" t="n">
        <f>'Haver Pivoted'!GX58</f>
        <v>12</v>
      </c>
      <c r="N12" s="1062" t="n">
        <f>'Haver Pivoted'!GY58</f>
        <v>7.5</v>
      </c>
      <c r="O12" s="1062" t="n">
        <f>'Haver Pivoted'!GZ58</f>
        <v>10.5</v>
      </c>
      <c r="P12" s="1062" t="n">
        <f>'Haver Pivoted'!HA58</f>
        <v>18</v>
      </c>
      <c r="Q12" s="1062" t="n">
        <f>'Haver Pivoted'!HB58</f>
        <v>15</v>
      </c>
      <c r="R12" s="1062" t="n">
        <f>'Haver Pivoted'!HC58</f>
        <v>11.2</v>
      </c>
      <c r="S12" s="1065" t="n">
        <f>'Haver Pivoted'!HD58</f>
        <v>7.5</v>
      </c>
      <c r="T12" s="1070" t="n">
        <f>'Haver Pivoted'!HE58</f>
        <v>6.2</v>
      </c>
    </row>
    <row r="13" ht="47.1" customHeight="1">
      <c r="A13" s="1074"/>
      <c r="B13" s="1072" t="s">
        <v>355</v>
      </c>
      <c r="C13" s="1067" t="s">
        <v>356</v>
      </c>
      <c r="D13" s="1072"/>
      <c r="E13" s="1067"/>
      <c r="F13" s="1067"/>
      <c r="G13" s="1067"/>
      <c r="H13" s="1067"/>
      <c r="I13" s="1067"/>
      <c r="J13" s="1062" t="n">
        <f>'Haver Pivoted'!GU54</f>
        <v>96.6</v>
      </c>
      <c r="K13" s="1062" t="n">
        <f>'Haver Pivoted'!GV54</f>
        <v>35.1</v>
      </c>
      <c r="L13" s="1062" t="n">
        <f>'Haver Pivoted'!GW54</f>
        <v>20.7</v>
      </c>
      <c r="M13" s="1062" t="n">
        <f>'Haver Pivoted'!GX54</f>
        <v>15.4</v>
      </c>
      <c r="N13" s="1062" t="n">
        <f>'Haver Pivoted'!GY54</f>
        <v>9.6</v>
      </c>
      <c r="O13" s="1062" t="n">
        <f>'Haver Pivoted'!GZ54</f>
        <v>13.5</v>
      </c>
      <c r="P13" s="1062" t="n">
        <f>'Haver Pivoted'!HA54</f>
        <v>23.2</v>
      </c>
      <c r="Q13" s="1062" t="n">
        <f>'Haver Pivoted'!HB54</f>
        <v>19.3</v>
      </c>
      <c r="R13" s="1062" t="n">
        <f>'Haver Pivoted'!HC54</f>
        <v>14.4</v>
      </c>
      <c r="S13" s="1065" t="n">
        <f>'Haver Pivoted'!HD54</f>
        <v>5.9</v>
      </c>
      <c r="T13" s="1070" t="n">
        <f>'Haver Pivoted'!HE54</f>
        <v>3.6</v>
      </c>
      <c r="U13" s="1063" t="s">
        <v>357</v>
      </c>
      <c r="V13" s="1077" t="s">
        <v>358</v>
      </c>
    </row>
    <row r="14">
      <c r="B14" s="82" t="s">
        <v>359</v>
      </c>
      <c r="C14" s="84"/>
      <c r="D14" s="82"/>
      <c r="E14" s="84"/>
      <c r="F14" s="84"/>
      <c r="G14" s="84"/>
      <c r="H14" s="84"/>
      <c r="I14" s="84"/>
      <c r="J14" s="1062" t="n">
        <f t="shared" ref="J14:T14" si="0">J13+J12+J11</f>
        <v>321.89999999999998</v>
      </c>
      <c r="K14" s="1062" t="n">
        <f t="shared" si="0"/>
        <v>116.9</v>
      </c>
      <c r="L14" s="1062" t="n">
        <f t="shared" si="0"/>
        <v>69</v>
      </c>
      <c r="M14" s="1062" t="n">
        <f t="shared" si="0"/>
        <v>48.8</v>
      </c>
      <c r="N14" s="1062" t="n">
        <f t="shared" si="0"/>
        <v>30.400000000000002</v>
      </c>
      <c r="O14" s="1062" t="n">
        <f t="shared" si="0"/>
        <v>42.7</v>
      </c>
      <c r="P14" s="1062" t="n">
        <f t="shared" si="0"/>
        <v>73.400000000000006</v>
      </c>
      <c r="Q14" s="1062" t="n">
        <f t="shared" si="0"/>
        <v>61.199999999999996</v>
      </c>
      <c r="R14" s="1062" t="n">
        <f t="shared" si="0"/>
        <v>45.6</v>
      </c>
      <c r="S14" s="1065" t="n">
        <f t="shared" si="0"/>
        <v>21.5</v>
      </c>
      <c r="T14" s="1070" t="n">
        <f t="shared" si="0"/>
        <v>14.700000000000001</v>
      </c>
      <c r="U14" s="1064" t="n">
        <v>236</v>
      </c>
      <c r="V14" s="1083" t="n">
        <f>SUM(J14:S14)/4</f>
        <v>207.85</v>
      </c>
    </row>
    <row r="15">
      <c r="B15" s="1073" t="s">
        <v>360</v>
      </c>
      <c r="C15" s="86"/>
      <c r="D15" s="1073"/>
      <c r="E15" s="86"/>
      <c r="F15" s="86"/>
      <c r="G15" s="86"/>
      <c r="H15" s="86"/>
      <c r="I15" s="86"/>
      <c r="J15" s="123" t="n">
        <f t="shared" ref="J15:N17" si="1">J11/J$14</f>
        <v>0.49984467225846541</v>
      </c>
      <c r="K15" s="123" t="n">
        <f t="shared" si="1"/>
        <v>0.49957228400342168</v>
      </c>
      <c r="L15" s="123" t="n">
        <f t="shared" si="1"/>
        <v>0.5</v>
      </c>
      <c r="M15" s="123" t="n">
        <f t="shared" si="1"/>
        <v>0.43852459016393441</v>
      </c>
      <c r="N15" s="123" t="n">
        <f t="shared" si="1"/>
        <v>0.4375</v>
      </c>
      <c r="O15" s="123" t="n">
        <f>O11/O$14</f>
        <v>0.43793911007025754</v>
      </c>
      <c r="P15" s="123" t="n">
        <f t="shared" ref="P15:T15" si="2">P11/P$14</f>
        <v>0.43869209809264303</v>
      </c>
      <c r="Q15" s="123" t="n">
        <f t="shared" si="2"/>
        <v>0.43954248366013071</v>
      </c>
      <c r="R15" s="123" t="n">
        <f t="shared" si="2"/>
        <v>0.43859649122807015</v>
      </c>
      <c r="S15" s="191" t="n">
        <f t="shared" si="2"/>
        <v>0.37674418604651161</v>
      </c>
      <c r="T15" s="1082" t="n">
        <f t="shared" si="2"/>
        <v>0.33333333333333331</v>
      </c>
    </row>
    <row r="16">
      <c r="B16" s="1073" t="s">
        <v>361</v>
      </c>
      <c r="C16" s="86"/>
      <c r="D16" s="1073"/>
      <c r="E16" s="86"/>
      <c r="F16" s="86"/>
      <c r="G16" s="86"/>
      <c r="H16" s="86"/>
      <c r="I16" s="86"/>
      <c r="J16" s="123" t="n">
        <f t="shared" si="1"/>
        <v>0.20006213109661389</v>
      </c>
      <c r="K16" s="123" t="n">
        <f t="shared" si="1"/>
        <v>0.20017108639863129</v>
      </c>
      <c r="L16" s="123" t="n">
        <f t="shared" si="1"/>
        <v>0.2</v>
      </c>
      <c r="M16" s="123" t="n">
        <f t="shared" si="1"/>
        <v>0.24590163934426232</v>
      </c>
      <c r="N16" s="123" t="n">
        <f t="shared" si="1"/>
        <v>0.24671052631578946</v>
      </c>
      <c r="O16" s="123" t="n">
        <f t="shared" ref="O16:T16" si="3">O12/O$14</f>
        <v>0.24590163934426229</v>
      </c>
      <c r="P16" s="123" t="n">
        <f t="shared" si="3"/>
        <v>0.24523160762942778</v>
      </c>
      <c r="Q16" s="123" t="n">
        <f t="shared" si="3"/>
        <v>0.24509803921568629</v>
      </c>
      <c r="R16" s="123" t="n">
        <f t="shared" si="3"/>
        <v>0.24561403508771928</v>
      </c>
      <c r="S16" s="191" t="n">
        <f t="shared" si="3"/>
        <v>0.34883720930232559</v>
      </c>
      <c r="T16" s="1082" t="n">
        <f t="shared" si="3"/>
        <v>0.42176870748299317</v>
      </c>
      <c r="U16" s="121"/>
    </row>
    <row r="17">
      <c r="B17" s="1075" t="s">
        <v>362</v>
      </c>
      <c r="C17" s="1078"/>
      <c r="D17" s="1075"/>
      <c r="E17" s="1078"/>
      <c r="F17" s="1078"/>
      <c r="G17" s="1078"/>
      <c r="H17" s="1078"/>
      <c r="I17" s="1078"/>
      <c r="J17" s="731" t="n">
        <f t="shared" si="1"/>
        <v>0.30009319664492079</v>
      </c>
      <c r="K17" s="731" t="n">
        <f t="shared" si="1"/>
        <v>0.30025662959794697</v>
      </c>
      <c r="L17" s="731" t="n">
        <f t="shared" si="1"/>
        <v>0.3</v>
      </c>
      <c r="M17" s="731" t="n">
        <f t="shared" si="1"/>
        <v>0.3155737704918033</v>
      </c>
      <c r="N17" s="731" t="n">
        <f t="shared" si="1"/>
        <v>0.31578947368421051</v>
      </c>
      <c r="O17" s="731" t="n">
        <f t="shared" ref="O17:T17" si="4">O13/O$14</f>
        <v>0.31615925058548006</v>
      </c>
      <c r="P17" s="731" t="n">
        <f t="shared" si="4"/>
        <v>0.3160762942779291</v>
      </c>
      <c r="Q17" s="731" t="n">
        <f t="shared" si="4"/>
        <v>0.31535947712418305</v>
      </c>
      <c r="R17" s="731" t="n">
        <f t="shared" si="4"/>
        <v>0.31578947368421051</v>
      </c>
      <c r="S17" s="1085" t="n">
        <f t="shared" si="4"/>
        <v>0.2744186046511628</v>
      </c>
      <c r="T17" s="1071" t="n">
        <f t="shared" si="4"/>
        <v>0.24489795918367346</v>
      </c>
    </row>
    <row r="18">
      <c r="B18" s="86"/>
      <c r="C18" s="86"/>
      <c r="D18" s="86"/>
      <c r="E18" s="86"/>
      <c r="F18" s="86"/>
      <c r="G18" s="86"/>
      <c r="H18" s="86"/>
      <c r="I18" s="86"/>
      <c r="J18" s="123"/>
      <c r="K18" s="123"/>
      <c r="L18" s="123"/>
      <c r="M18" s="123"/>
      <c r="N18" s="123"/>
      <c r="O18" s="123"/>
    </row>
    <row r="19" ht="15.75" customHeight="1"/>
    <row r="21" ht="30" customHeight="1"/>
    <row r="22" ht="27" customHeight="1">
      <c r="M22" s="63"/>
      <c r="N22" s="63"/>
      <c r="O22" s="63"/>
      <c r="P22" s="34"/>
      <c r="Q22" s="34"/>
      <c r="R22" s="34"/>
      <c r="S22" s="34"/>
      <c r="T22" s="34"/>
      <c r="U22" s="63"/>
    </row>
    <row r="23" ht="31.5" customHeight="1">
      <c r="M23" s="63"/>
      <c r="N23" s="63"/>
      <c r="O23" s="63"/>
      <c r="P23" s="34"/>
      <c r="Q23" s="34"/>
      <c r="R23" s="34"/>
      <c r="S23" s="34"/>
      <c r="T23" s="34"/>
      <c r="U23" s="63"/>
    </row>
    <row r="24" ht="24.6" customHeight="1">
      <c r="M24" s="63"/>
      <c r="N24" s="63"/>
      <c r="O24" s="63"/>
      <c r="P24" s="34"/>
      <c r="Q24" s="34"/>
      <c r="R24" s="34"/>
      <c r="S24" s="34"/>
      <c r="T24" s="34"/>
      <c r="U24" s="63"/>
    </row>
    <row r="25">
      <c r="M25" s="63"/>
      <c r="N25" s="63"/>
      <c r="O25" s="63"/>
      <c r="P25" s="63"/>
      <c r="Q25" s="63"/>
      <c r="R25" s="63"/>
      <c r="S25" s="63"/>
      <c r="T25" s="63"/>
      <c r="U25" s="63"/>
    </row>
    <row r="26">
      <c r="M26" s="63"/>
      <c r="N26" s="63"/>
      <c r="O26" s="63"/>
      <c r="P26" s="63"/>
      <c r="Q26" s="63"/>
      <c r="R26" s="63"/>
      <c r="S26" s="63"/>
      <c r="T26" s="63"/>
      <c r="U26" s="63"/>
    </row>
    <row r="27">
      <c r="M27" s="63"/>
      <c r="N27" s="63"/>
      <c r="O27" s="63"/>
      <c r="P27" s="63"/>
      <c r="Q27" s="63"/>
      <c r="R27" s="63"/>
      <c r="S27" s="63"/>
      <c r="T27" s="63"/>
      <c r="U27" s="63"/>
    </row>
    <row r="28">
      <c r="M28" s="63"/>
      <c r="N28" s="63"/>
      <c r="O28" s="63"/>
      <c r="P28" s="63"/>
      <c r="Q28" s="63"/>
      <c r="R28" s="63"/>
      <c r="S28" s="63"/>
      <c r="T28" s="63"/>
      <c r="U28" s="63"/>
    </row>
    <row r="29">
      <c r="M29" s="63"/>
      <c r="N29" s="63"/>
      <c r="O29" s="63"/>
      <c r="P29" s="63"/>
      <c r="Q29" s="63"/>
      <c r="R29" s="63"/>
      <c r="S29" s="63"/>
      <c r="T29" s="63"/>
      <c r="U29" s="63"/>
    </row>
    <row r="30">
      <c r="M30" s="63"/>
      <c r="N30" s="63"/>
      <c r="O30" s="63"/>
      <c r="P30" s="63"/>
      <c r="Q30" s="63"/>
      <c r="R30" s="63"/>
      <c r="S30" s="63"/>
      <c r="T30" s="63"/>
      <c r="U30" s="63"/>
    </row>
    <row r="31">
      <c r="M31" s="63"/>
      <c r="N31" s="63"/>
      <c r="O31" s="63"/>
      <c r="P31" s="63"/>
      <c r="Q31" s="63"/>
      <c r="R31" s="63"/>
      <c r="S31" s="63"/>
      <c r="T31" s="63"/>
      <c r="U31" s="63"/>
    </row>
    <row r="32">
      <c r="M32" s="63"/>
      <c r="N32" s="63"/>
      <c r="O32" s="63"/>
      <c r="P32" s="63"/>
      <c r="Q32" s="63"/>
      <c r="R32" s="63"/>
      <c r="S32" s="63"/>
      <c r="T32" s="63"/>
      <c r="U32" s="63"/>
    </row>
    <row r="33">
      <c r="M33" s="63"/>
      <c r="N33" s="63"/>
      <c r="O33" s="63"/>
      <c r="P33" s="63"/>
      <c r="Q33" s="63"/>
      <c r="R33" s="63"/>
      <c r="S33" s="63"/>
      <c r="T33" s="63"/>
      <c r="U33" s="63"/>
    </row>
    <row r="34">
      <c r="M34" s="63"/>
      <c r="N34" s="63"/>
      <c r="O34" s="63"/>
      <c r="P34" s="63"/>
      <c r="Q34" s="63"/>
      <c r="R34" s="63"/>
      <c r="S34" s="63"/>
      <c r="T34" s="63"/>
      <c r="U34" s="63"/>
    </row>
    <row r="35">
      <c r="M35" s="63"/>
      <c r="N35" s="63"/>
      <c r="O35" s="63"/>
      <c r="P35" s="63"/>
      <c r="Q35" s="63"/>
      <c r="R35" s="63"/>
      <c r="S35" s="63"/>
      <c r="T35" s="63"/>
      <c r="U35" s="63"/>
    </row>
    <row r="36">
      <c r="M36" s="63"/>
      <c r="N36" s="63"/>
      <c r="O36" s="63"/>
      <c r="P36" s="63"/>
      <c r="Q36" s="63"/>
      <c r="R36" s="63"/>
      <c r="S36" s="63"/>
      <c r="T36" s="63"/>
      <c r="U36" s="63"/>
    </row>
    <row r="37">
      <c r="M37" s="63"/>
      <c r="N37" s="63"/>
      <c r="O37" s="63"/>
      <c r="P37" s="63"/>
      <c r="Q37" s="63"/>
      <c r="R37" s="63"/>
      <c r="S37" s="63"/>
      <c r="T37" s="63"/>
      <c r="U37" s="63"/>
    </row>
    <row r="38">
      <c r="M38" s="63"/>
      <c r="N38" s="63"/>
      <c r="O38" s="63"/>
      <c r="P38" s="63"/>
      <c r="Q38" s="63"/>
      <c r="R38" s="63"/>
      <c r="S38" s="63"/>
      <c r="T38" s="63"/>
      <c r="U38" s="63"/>
    </row>
    <row r="39">
      <c r="M39" s="63"/>
      <c r="N39" s="63"/>
      <c r="O39" s="63"/>
      <c r="P39" s="63"/>
      <c r="Q39" s="63"/>
      <c r="R39" s="63"/>
      <c r="S39" s="63"/>
      <c r="T39" s="63"/>
      <c r="U39" s="63"/>
    </row>
    <row r="40">
      <c r="M40" s="63"/>
      <c r="N40" s="63"/>
      <c r="O40" s="63"/>
      <c r="P40" s="63"/>
      <c r="Q40" s="63"/>
      <c r="R40" s="63"/>
      <c r="S40" s="63"/>
      <c r="T40" s="63"/>
      <c r="U40" s="63"/>
    </row>
    <row r="41">
      <c r="M41" s="63"/>
      <c r="N41" s="63"/>
      <c r="O41" s="63"/>
      <c r="P41" s="63"/>
      <c r="Q41" s="63"/>
      <c r="R41" s="63"/>
      <c r="S41" s="63"/>
      <c r="T41" s="63"/>
      <c r="U41" s="63"/>
    </row>
    <row r="42">
      <c r="M42" s="63"/>
      <c r="N42" s="63"/>
      <c r="O42" s="63"/>
      <c r="P42" s="63"/>
      <c r="Q42" s="63"/>
      <c r="R42" s="63"/>
      <c r="S42" s="63"/>
      <c r="T42" s="63"/>
      <c r="U42" s="63"/>
    </row>
    <row r="43">
      <c r="M43" s="63"/>
      <c r="N43" s="63"/>
      <c r="O43" s="63"/>
      <c r="P43" s="63"/>
      <c r="Q43" s="63"/>
      <c r="R43" s="63"/>
      <c r="S43" s="63"/>
      <c r="T43" s="63"/>
      <c r="U43" s="63"/>
    </row>
    <row r="44">
      <c r="M44" s="63"/>
      <c r="N44" s="63"/>
      <c r="O44" s="63"/>
      <c r="P44" s="63"/>
      <c r="Q44" s="63"/>
      <c r="R44" s="63"/>
      <c r="S44" s="63"/>
      <c r="T44" s="63"/>
      <c r="U44" s="63"/>
    </row>
    <row r="45">
      <c r="M45" s="63"/>
      <c r="N45" s="63"/>
      <c r="O45" s="63"/>
      <c r="P45" s="63"/>
      <c r="Q45" s="63"/>
      <c r="R45" s="63"/>
      <c r="S45" s="63"/>
      <c r="T45" s="63"/>
      <c r="U45" s="63"/>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E24" sqref="E24"/>
    </sheetView>
  </sheetViews>
  <sheetFormatPr defaultRowHeight="15.0" baseColWidth="10"/>
  <cols>
    <col min="1" max="1" width="6" hidden="0" customWidth="1"/>
    <col min="2" max="2" width="29.42578125" hidden="0" customWidth="1"/>
    <col min="3" max="3" width="10.42578125" hidden="0" customWidth="1"/>
    <col min="4" max="4" width="10.42578125" hidden="0" customWidth="1"/>
    <col min="5" max="5" width="10.42578125" hidden="0" customWidth="1"/>
    <col min="6" max="6" width="10.42578125" hidden="0" customWidth="1"/>
    <col min="7" max="7" width="10.42578125" hidden="0" customWidth="1"/>
  </cols>
  <sheetData>
    <row r="1">
      <c r="B1" s="233" t="s">
        <v>56</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ht="14.85" customHeight="1">
      <c r="B2" s="234" t="s">
        <v>508</v>
      </c>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row>
    <row r="3">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row>
    <row r="4">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row>
    <row r="5">
      <c r="B5" s="416"/>
      <c r="C5" s="268"/>
      <c r="D5" s="268"/>
      <c r="E5" s="268"/>
      <c r="F5" s="268"/>
      <c r="G5" s="268"/>
      <c r="H5" s="268"/>
      <c r="I5" s="268"/>
      <c r="J5" s="268"/>
      <c r="K5" s="268"/>
      <c r="L5" s="268"/>
      <c r="M5" s="268"/>
      <c r="N5" s="268"/>
      <c r="O5" s="268"/>
      <c r="P5" s="268"/>
      <c r="Q5" s="268"/>
      <c r="R5" s="268"/>
      <c r="S5" s="268"/>
      <c r="T5" s="268"/>
      <c r="U5" s="268"/>
      <c r="V5" s="268"/>
      <c r="W5" s="268"/>
      <c r="X5" s="268"/>
      <c r="Y5" s="268"/>
    </row>
    <row r="6">
      <c r="B6" s="237" t="s">
        <v>453</v>
      </c>
      <c r="C6" s="238"/>
      <c r="D6" s="247" t="s">
        <v>325</v>
      </c>
      <c r="E6" s="248"/>
      <c r="F6" s="248"/>
      <c r="G6" s="248"/>
      <c r="H6" s="248"/>
      <c r="I6" s="248"/>
      <c r="J6" s="248"/>
      <c r="K6" s="248"/>
      <c r="L6" s="248"/>
      <c r="M6" s="248"/>
      <c r="N6" s="248"/>
      <c r="O6" s="248"/>
      <c r="P6" s="248"/>
      <c r="Q6" s="332"/>
      <c r="R6" s="332"/>
      <c r="S6" s="332"/>
      <c r="T6" s="238"/>
      <c r="U6" s="251" t="s">
        <v>326</v>
      </c>
      <c r="V6" s="251"/>
      <c r="W6" s="251"/>
      <c r="X6" s="251"/>
      <c r="Y6" s="251"/>
      <c r="Z6" s="251"/>
      <c r="AA6" s="251"/>
      <c r="AB6" s="251"/>
      <c r="AC6" s="252"/>
    </row>
    <row r="7">
      <c r="B7" s="239"/>
      <c r="C7" s="240"/>
      <c r="D7" s="198" t="n">
        <v>2018</v>
      </c>
      <c r="E7" s="198" t="n">
        <v>2019</v>
      </c>
      <c r="F7" s="235"/>
      <c r="G7" s="235"/>
      <c r="H7" s="236"/>
      <c r="I7" s="198" t="n">
        <v>2020</v>
      </c>
      <c r="J7" s="235"/>
      <c r="K7" s="235"/>
      <c r="L7" s="235"/>
      <c r="M7" s="198" t="n">
        <v>2021</v>
      </c>
      <c r="N7" s="235"/>
      <c r="O7" s="235"/>
      <c r="P7" s="235"/>
      <c r="Q7" s="198" t="n">
        <v>2022</v>
      </c>
      <c r="R7" s="199"/>
      <c r="S7" s="199"/>
      <c r="T7" s="236"/>
      <c r="U7" s="241" t="n">
        <v>2023</v>
      </c>
      <c r="V7" s="242"/>
      <c r="W7" s="242"/>
      <c r="X7" s="242"/>
      <c r="Y7" s="244" t="n">
        <v>2024</v>
      </c>
      <c r="Z7" s="242"/>
      <c r="AA7" s="242"/>
      <c r="AB7" s="243"/>
      <c r="AC7" s="290" t="n">
        <v>2025</v>
      </c>
    </row>
    <row r="8">
      <c r="B8" s="319"/>
      <c r="C8" s="320"/>
      <c r="D8" s="204" t="s">
        <v>327</v>
      </c>
      <c r="E8" s="204" t="s">
        <v>328</v>
      </c>
      <c r="F8" s="217" t="s">
        <v>329</v>
      </c>
      <c r="G8" s="217" t="s">
        <v>238</v>
      </c>
      <c r="H8" s="200" t="s">
        <v>327</v>
      </c>
      <c r="I8" s="217" t="s">
        <v>328</v>
      </c>
      <c r="J8" s="217" t="s">
        <v>329</v>
      </c>
      <c r="K8" s="217" t="s">
        <v>238</v>
      </c>
      <c r="L8" s="217" t="s">
        <v>327</v>
      </c>
      <c r="M8" s="204" t="s">
        <v>328</v>
      </c>
      <c r="N8" s="217" t="s">
        <v>329</v>
      </c>
      <c r="O8" s="217" t="s">
        <v>238</v>
      </c>
      <c r="P8" s="217" t="s">
        <v>327</v>
      </c>
      <c r="Q8" s="204" t="s">
        <v>328</v>
      </c>
      <c r="R8" s="217" t="s">
        <v>329</v>
      </c>
      <c r="S8" s="217" t="s">
        <v>238</v>
      </c>
      <c r="T8" s="200" t="s">
        <v>327</v>
      </c>
      <c r="U8" s="350" t="s">
        <v>328</v>
      </c>
      <c r="V8" s="350" t="s">
        <v>329</v>
      </c>
      <c r="W8" s="350" t="s">
        <v>238</v>
      </c>
      <c r="X8" s="350" t="s">
        <v>327</v>
      </c>
      <c r="Y8" s="418" t="s">
        <v>328</v>
      </c>
      <c r="Z8" s="283" t="s">
        <v>329</v>
      </c>
      <c r="AA8" s="350" t="s">
        <v>238</v>
      </c>
      <c r="AB8" s="348" t="s">
        <v>327</v>
      </c>
      <c r="AC8" s="443" t="s">
        <v>328</v>
      </c>
    </row>
    <row r="9">
      <c r="B9" s="671" t="s">
        <v>56</v>
      </c>
      <c r="C9" s="551" t="s">
        <v>509</v>
      </c>
      <c r="D9" s="671"/>
      <c r="E9" s="1089"/>
      <c r="F9" s="1089"/>
      <c r="G9" s="1089"/>
      <c r="H9" s="1089"/>
      <c r="I9" s="1089"/>
      <c r="J9" s="280" t="n">
        <f>'Haver Pivoted'!GU45</f>
        <v>1078.0999999999999</v>
      </c>
      <c r="K9" s="280" t="n">
        <f>'Haver Pivoted'!GV45</f>
        <v>15.6</v>
      </c>
      <c r="L9" s="280" t="n">
        <f>'Haver Pivoted'!GW45</f>
        <v>5</v>
      </c>
      <c r="M9" s="280" t="n">
        <f>'Haver Pivoted'!GX45</f>
        <v>1933.7</v>
      </c>
      <c r="N9" s="280" t="n">
        <f>'Haver Pivoted'!GY45</f>
        <v>290.10000000000002</v>
      </c>
      <c r="O9" s="280" t="n">
        <f>'Haver Pivoted'!GZ45</f>
        <v>38.9</v>
      </c>
      <c r="P9" s="280" t="n">
        <f>'Haver Pivoted'!HA45</f>
        <v>14.2</v>
      </c>
      <c r="Q9" s="280" t="n">
        <f>'Haver Pivoted'!HB45</f>
        <v>0</v>
      </c>
      <c r="R9" s="280" t="n">
        <f>'Haver Pivoted'!HC45</f>
        <v>0</v>
      </c>
      <c r="S9" s="199" t="n">
        <f>'Haver Pivoted'!HD45</f>
        <v>0</v>
      </c>
      <c r="T9" s="236" t="n">
        <f>'Haver Pivoted'!HE45</f>
        <v>0</v>
      </c>
      <c r="U9" s="242"/>
      <c r="V9" s="242"/>
      <c r="W9" s="242"/>
      <c r="X9" s="242"/>
      <c r="Y9" s="242"/>
      <c r="Z9" s="242"/>
      <c r="AA9" s="242"/>
      <c r="AB9" s="242"/>
      <c r="AC9" s="243"/>
    </row>
    <row r="10">
      <c r="B10" s="672" t="s">
        <v>214</v>
      </c>
      <c r="C10" s="289"/>
      <c r="D10" s="672"/>
      <c r="E10" s="289"/>
      <c r="F10" s="289"/>
      <c r="G10" s="289"/>
      <c r="H10" s="289"/>
      <c r="I10" s="289"/>
      <c r="J10" s="732"/>
      <c r="K10" s="732"/>
      <c r="L10" s="732"/>
      <c r="M10" s="732" t="n">
        <f t="shared" ref="M10:T10" si="0">M9-M11</f>
        <v>1348.1</v>
      </c>
      <c r="N10" s="732" t="n">
        <f t="shared" si="0"/>
        <v>290.10000000000002</v>
      </c>
      <c r="O10" s="732" t="n">
        <f t="shared" si="0"/>
        <v>38.9</v>
      </c>
      <c r="P10" s="732" t="n">
        <f t="shared" si="0"/>
        <v>14.2</v>
      </c>
      <c r="Q10" s="732" t="n">
        <f t="shared" si="0"/>
        <v>0</v>
      </c>
      <c r="R10" s="732" t="n">
        <f t="shared" si="0"/>
        <v>0</v>
      </c>
      <c r="S10" s="1088" t="n">
        <f t="shared" si="0"/>
        <v>0</v>
      </c>
      <c r="T10" s="1090" t="n">
        <f t="shared" si="0"/>
        <v>0</v>
      </c>
      <c r="U10" s="761"/>
      <c r="V10" s="761"/>
      <c r="W10" s="761"/>
      <c r="X10" s="761"/>
      <c r="Y10" s="761"/>
      <c r="Z10" s="761"/>
      <c r="AA10" s="761"/>
      <c r="AB10" s="761"/>
      <c r="AC10" s="762"/>
    </row>
    <row r="11">
      <c r="B11" s="605" t="s">
        <v>510</v>
      </c>
      <c r="C11" s="606"/>
      <c r="D11" s="605"/>
      <c r="E11" s="606"/>
      <c r="F11" s="606"/>
      <c r="G11" s="606"/>
      <c r="H11" s="606"/>
      <c r="I11" s="606"/>
      <c r="J11" s="733" t="n">
        <f t="shared" ref="J11:L11" si="1">J9-J10</f>
        <v>1078.0999999999999</v>
      </c>
      <c r="K11" s="733" t="n">
        <f t="shared" si="1"/>
        <v>15.6</v>
      </c>
      <c r="L11" s="733" t="n">
        <f t="shared" si="1"/>
        <v>5</v>
      </c>
      <c r="M11" s="733" t="n">
        <f>SUM(C17:D17)/12*4</f>
        <v>585.6</v>
      </c>
      <c r="N11" s="733" t="n">
        <v>0</v>
      </c>
      <c r="O11" s="733" t="n">
        <v>0</v>
      </c>
      <c r="P11" s="733" t="n">
        <v>0</v>
      </c>
      <c r="Q11" s="733" t="n">
        <v>0</v>
      </c>
      <c r="R11" s="733" t="n">
        <v>0</v>
      </c>
      <c r="S11" s="733" t="n">
        <v>0</v>
      </c>
      <c r="T11" s="1091"/>
      <c r="U11" s="1093"/>
      <c r="V11" s="1093"/>
      <c r="W11" s="1093"/>
      <c r="X11" s="1093"/>
      <c r="Y11" s="1093"/>
      <c r="Z11" s="1093"/>
      <c r="AA11" s="1093"/>
      <c r="AB11" s="1093"/>
      <c r="AC11" s="1094"/>
    </row>
    <row r="12">
      <c r="B12" s="268"/>
      <c r="C12" s="268"/>
      <c r="D12" s="268"/>
      <c r="E12" s="268"/>
      <c r="F12" s="268"/>
      <c r="G12" s="268"/>
      <c r="H12" s="268"/>
      <c r="I12" s="268"/>
      <c r="J12" s="268"/>
      <c r="K12" s="268"/>
      <c r="L12" s="268"/>
      <c r="M12" s="268"/>
      <c r="N12" s="268"/>
      <c r="O12" s="268"/>
      <c r="P12" s="268"/>
      <c r="Q12" s="268"/>
      <c r="R12" s="268"/>
      <c r="S12" s="268"/>
      <c r="T12" s="268"/>
      <c r="U12" s="268"/>
      <c r="V12" s="268"/>
      <c r="W12" s="268"/>
      <c r="X12" s="268"/>
      <c r="Y12" s="268"/>
      <c r="Z12" s="63"/>
      <c r="AA12" s="63"/>
      <c r="AB12" s="63"/>
      <c r="AC12" s="63"/>
    </row>
    <row r="13">
      <c r="A13" s="103"/>
      <c r="B13" s="103"/>
      <c r="C13" s="103"/>
      <c r="D13" s="103"/>
      <c r="E13" s="103"/>
      <c r="F13" s="103"/>
      <c r="G13" s="103"/>
      <c r="H13" s="103"/>
      <c r="I13" s="103"/>
      <c r="J13" s="103"/>
      <c r="K13" s="103"/>
      <c r="L13" s="127"/>
      <c r="M13" s="127"/>
      <c r="N13" s="127"/>
    </row>
    <row r="14">
      <c r="A14" s="103"/>
      <c r="N14" s="63"/>
    </row>
    <row r="15">
      <c r="A15" s="123"/>
      <c r="B15" s="1086" t="s">
        <v>511</v>
      </c>
      <c r="C15" s="1050" t="n">
        <v>2021</v>
      </c>
      <c r="D15" s="1051"/>
      <c r="E15" s="1051"/>
      <c r="F15" s="1051"/>
      <c r="G15" s="75"/>
      <c r="K15" s="123"/>
      <c r="L15" s="123"/>
      <c r="M15" s="63"/>
      <c r="N15" s="63"/>
    </row>
    <row r="16">
      <c r="B16" s="1087"/>
      <c r="C16" s="1096" t="s">
        <v>234</v>
      </c>
      <c r="D16" s="1085" t="s">
        <v>235</v>
      </c>
      <c r="E16" s="1085" t="s">
        <v>236</v>
      </c>
      <c r="F16" s="1085" t="s">
        <v>237</v>
      </c>
      <c r="G16" s="1092"/>
      <c r="H16" s="123"/>
      <c r="I16" s="123"/>
      <c r="J16" s="123"/>
      <c r="K16" s="123"/>
      <c r="L16" s="123"/>
      <c r="M16" s="123"/>
      <c r="N16" s="123"/>
    </row>
    <row r="17" ht="16.350000000000001" customHeight="1">
      <c r="B17" s="1095" t="s">
        <v>512</v>
      </c>
      <c r="C17" s="1097" t="n">
        <v>1660.9</v>
      </c>
      <c r="D17" s="1097" t="n">
        <v>95.9</v>
      </c>
      <c r="E17" s="1097" t="n">
        <v>4044.2</v>
      </c>
      <c r="F17" s="1098" t="n">
        <v>688</v>
      </c>
      <c r="G17" s="150"/>
      <c r="H17" s="150"/>
      <c r="I17" s="150"/>
      <c r="J17" s="150"/>
      <c r="K17" s="150"/>
      <c r="L17" s="150"/>
      <c r="M17" s="268"/>
      <c r="N17" s="268"/>
    </row>
    <row r="18">
      <c r="B18" s="1030" t="s">
        <v>513</v>
      </c>
      <c r="C18" s="268"/>
      <c r="D18" s="268"/>
      <c r="E18" s="268"/>
      <c r="F18" s="268"/>
      <c r="G18" s="268"/>
      <c r="H18" s="268"/>
      <c r="I18" s="268"/>
      <c r="J18" s="268"/>
      <c r="K18" s="268"/>
      <c r="L18" s="268"/>
      <c r="M18" s="268"/>
      <c r="N18" s="268"/>
    </row>
    <row r="19">
      <c r="B19" s="268"/>
      <c r="C19" s="268"/>
      <c r="D19" s="268"/>
      <c r="E19" s="268"/>
      <c r="F19" s="268"/>
      <c r="G19" s="268"/>
      <c r="H19" s="268"/>
      <c r="I19" s="268"/>
      <c r="J19" s="268"/>
      <c r="K19" s="268"/>
      <c r="L19" s="268"/>
      <c r="M19" s="268"/>
      <c r="N19" s="268"/>
    </row>
    <row r="20">
      <c r="B20" s="1030"/>
      <c r="C20" s="268"/>
      <c r="D20" s="268"/>
      <c r="E20" s="268"/>
      <c r="F20" s="268"/>
      <c r="G20" s="268"/>
      <c r="H20" s="268"/>
      <c r="I20" s="268"/>
      <c r="J20" s="268"/>
      <c r="K20" s="268"/>
      <c r="L20" s="268"/>
      <c r="M20" s="268"/>
      <c r="N20" s="268"/>
    </row>
    <row r="21">
      <c r="B21" s="268"/>
      <c r="C21" s="268"/>
      <c r="D21" s="268"/>
      <c r="E21" s="268"/>
      <c r="F21" s="268"/>
      <c r="G21" s="268"/>
      <c r="H21" s="268"/>
      <c r="I21" s="268"/>
      <c r="J21" s="268"/>
      <c r="K21" s="268"/>
      <c r="L21" s="268"/>
      <c r="M21" s="268"/>
      <c r="N21" s="268"/>
      <c r="O21" s="268"/>
      <c r="P21" s="268"/>
      <c r="Q21" s="268"/>
      <c r="R21" s="268"/>
      <c r="S21" s="268"/>
      <c r="T21" s="268"/>
      <c r="U21" s="268"/>
      <c r="V21" s="268"/>
      <c r="W21" s="268"/>
      <c r="X21" s="268"/>
      <c r="Y21" s="268"/>
      <c r="Z21" s="63"/>
      <c r="AA21" s="63"/>
      <c r="AB21" s="63"/>
      <c r="AC21" s="63"/>
    </row>
    <row r="22">
      <c r="B22" s="103"/>
      <c r="C22" s="103"/>
      <c r="D22" s="103"/>
      <c r="E22" s="103"/>
      <c r="F22" s="103"/>
      <c r="G22" s="103"/>
      <c r="H22" s="103"/>
      <c r="I22" s="103"/>
      <c r="J22" s="103"/>
      <c r="K22" s="103"/>
      <c r="L22" s="127"/>
      <c r="M22" s="127"/>
      <c r="N22" s="127"/>
    </row>
    <row r="23">
      <c r="B23" s="268"/>
      <c r="C23" s="268"/>
      <c r="D23" s="268"/>
      <c r="E23" s="268"/>
      <c r="F23" s="268"/>
      <c r="G23" s="268"/>
      <c r="H23" s="268"/>
      <c r="I23" s="268"/>
      <c r="J23" s="268"/>
      <c r="K23" s="268"/>
      <c r="L23" s="268"/>
      <c r="M23" s="268"/>
      <c r="N23" s="268"/>
      <c r="O23" s="268"/>
      <c r="P23" s="268"/>
      <c r="Q23" s="268"/>
      <c r="R23" s="268"/>
      <c r="S23" s="268"/>
      <c r="T23" s="268"/>
      <c r="U23" s="268"/>
      <c r="V23" s="268"/>
      <c r="W23" s="268"/>
      <c r="X23" s="268"/>
      <c r="Y23" s="268"/>
    </row>
    <row r="24">
      <c r="B24" s="268"/>
      <c r="C24" s="268"/>
      <c r="D24" s="268"/>
      <c r="E24" s="268"/>
      <c r="F24" s="268"/>
      <c r="G24" s="268"/>
      <c r="H24" s="268"/>
      <c r="I24" s="268"/>
      <c r="J24" s="268"/>
      <c r="K24" s="268"/>
      <c r="L24" s="268"/>
      <c r="M24" s="268"/>
      <c r="N24" s="268"/>
      <c r="O24" s="268"/>
      <c r="P24" s="268"/>
      <c r="Q24" s="268"/>
      <c r="R24" s="268"/>
      <c r="S24" s="268"/>
      <c r="T24" s="268"/>
      <c r="U24" s="268"/>
      <c r="V24" s="268"/>
      <c r="W24" s="268"/>
      <c r="X24" s="268"/>
      <c r="Y24" s="268"/>
    </row>
    <row r="25">
      <c r="B25" s="268"/>
      <c r="C25" s="268"/>
      <c r="D25" s="268"/>
      <c r="E25" s="268"/>
      <c r="F25" s="268"/>
      <c r="G25" s="268"/>
      <c r="H25" s="268"/>
      <c r="I25" s="268"/>
      <c r="J25" s="268"/>
      <c r="K25" s="268"/>
      <c r="L25" s="268"/>
      <c r="M25" s="268"/>
      <c r="N25" s="268"/>
      <c r="O25" s="268"/>
      <c r="P25" s="268"/>
      <c r="Q25" s="268"/>
      <c r="R25" s="268"/>
      <c r="S25" s="268"/>
      <c r="T25" s="268"/>
      <c r="U25" s="268"/>
      <c r="V25" s="268"/>
      <c r="W25" s="268"/>
      <c r="X25" s="268"/>
      <c r="Y25" s="268"/>
    </row>
    <row r="26">
      <c r="B26" s="268"/>
      <c r="C26" s="268"/>
      <c r="D26" s="268"/>
      <c r="E26" s="268"/>
      <c r="F26" s="268"/>
      <c r="G26" s="268"/>
      <c r="H26" s="268"/>
      <c r="I26" s="268"/>
      <c r="J26" s="268"/>
      <c r="K26" s="268"/>
      <c r="L26" s="268"/>
      <c r="M26" s="268"/>
      <c r="N26" s="268"/>
      <c r="O26" s="268"/>
      <c r="P26" s="268"/>
      <c r="Q26" s="268"/>
      <c r="R26" s="268"/>
      <c r="S26" s="268"/>
      <c r="T26" s="268"/>
      <c r="U26" s="268"/>
      <c r="V26" s="268"/>
      <c r="W26" s="268"/>
      <c r="X26" s="268"/>
      <c r="Y26" s="268"/>
    </row>
    <row r="27">
      <c r="B27" s="268"/>
      <c r="C27" s="268"/>
      <c r="D27" s="268"/>
      <c r="E27" s="268"/>
      <c r="F27" s="268"/>
      <c r="G27" s="268"/>
      <c r="H27" s="268"/>
      <c r="I27" s="268"/>
      <c r="J27" s="268"/>
      <c r="K27" s="268"/>
      <c r="L27" s="268"/>
      <c r="M27" s="268"/>
      <c r="N27" s="268"/>
      <c r="O27" s="268"/>
      <c r="P27" s="268"/>
      <c r="Q27" s="268"/>
      <c r="R27" s="268"/>
      <c r="S27" s="268"/>
      <c r="T27" s="268"/>
      <c r="U27" s="268"/>
      <c r="V27" s="268"/>
      <c r="W27" s="268"/>
      <c r="X27" s="268"/>
      <c r="Y27" s="268"/>
    </row>
    <row r="28">
      <c r="B28" s="268"/>
      <c r="C28" s="268"/>
      <c r="D28" s="268"/>
      <c r="E28" s="268"/>
      <c r="F28" s="268"/>
      <c r="G28" s="268"/>
      <c r="H28" s="268"/>
      <c r="I28" s="268"/>
      <c r="J28" s="268"/>
      <c r="K28" s="268"/>
      <c r="L28" s="268"/>
      <c r="M28" s="268"/>
      <c r="N28" s="268"/>
      <c r="O28" s="268"/>
      <c r="P28" s="268"/>
      <c r="Q28" s="268"/>
      <c r="R28" s="268"/>
      <c r="S28" s="268"/>
      <c r="T28" s="268"/>
      <c r="U28" s="268"/>
      <c r="V28" s="268"/>
      <c r="W28" s="268"/>
      <c r="X28" s="268"/>
      <c r="Y28" s="268"/>
    </row>
    <row r="29">
      <c r="B29" s="268"/>
      <c r="C29" s="268"/>
      <c r="D29" s="268"/>
      <c r="E29" s="268"/>
      <c r="F29" s="268"/>
      <c r="G29" s="268"/>
      <c r="H29" s="268"/>
      <c r="I29" s="268"/>
      <c r="J29" s="268"/>
      <c r="K29" s="268"/>
      <c r="L29" s="268"/>
      <c r="M29" s="268"/>
      <c r="N29" s="268"/>
      <c r="O29" s="268"/>
      <c r="P29" s="268"/>
      <c r="Q29" s="268"/>
      <c r="R29" s="268"/>
      <c r="S29" s="268"/>
      <c r="T29" s="268"/>
      <c r="U29" s="268"/>
      <c r="V29" s="268"/>
      <c r="W29" s="268"/>
      <c r="X29" s="268"/>
      <c r="Y29" s="268"/>
    </row>
    <row r="30">
      <c r="B30" s="268"/>
      <c r="C30" s="268"/>
      <c r="D30" s="268"/>
      <c r="E30" s="268"/>
      <c r="F30" s="268"/>
      <c r="G30" s="268"/>
      <c r="H30" s="268"/>
      <c r="I30" s="268"/>
      <c r="J30" s="268"/>
      <c r="K30" s="268"/>
      <c r="L30" s="268"/>
      <c r="M30" s="268"/>
      <c r="N30" s="268"/>
      <c r="O30" s="268"/>
      <c r="P30" s="268"/>
      <c r="Q30" s="268"/>
      <c r="R30" s="268"/>
      <c r="S30" s="268"/>
      <c r="T30" s="268"/>
      <c r="U30" s="268"/>
      <c r="V30" s="268"/>
      <c r="W30" s="268"/>
      <c r="X30" s="268"/>
      <c r="Y30" s="268"/>
    </row>
    <row r="31">
      <c r="B31" s="268"/>
      <c r="C31" s="268"/>
      <c r="D31" s="268"/>
      <c r="E31" s="268"/>
      <c r="F31" s="268"/>
      <c r="G31" s="268"/>
      <c r="H31" s="268"/>
      <c r="I31" s="268"/>
      <c r="J31" s="268"/>
      <c r="K31" s="268"/>
      <c r="L31" s="268"/>
      <c r="M31" s="268"/>
      <c r="N31" s="268"/>
      <c r="O31" s="268"/>
      <c r="P31" s="268"/>
      <c r="Q31" s="268"/>
      <c r="R31" s="268"/>
      <c r="S31" s="268"/>
      <c r="T31" s="268"/>
      <c r="U31" s="268"/>
      <c r="V31" s="268"/>
      <c r="W31" s="268"/>
      <c r="X31" s="268"/>
      <c r="Y31" s="268"/>
    </row>
    <row r="32">
      <c r="B32" s="268"/>
      <c r="C32" s="268"/>
      <c r="D32" s="268"/>
      <c r="E32" s="268"/>
      <c r="F32" s="268"/>
      <c r="G32" s="268"/>
      <c r="H32" s="268"/>
      <c r="I32" s="268"/>
      <c r="J32" s="268"/>
      <c r="K32" s="268"/>
      <c r="L32" s="268"/>
      <c r="M32" s="268"/>
      <c r="N32" s="268"/>
      <c r="O32" s="268"/>
      <c r="P32" s="268"/>
      <c r="Q32" s="268"/>
      <c r="R32" s="268"/>
      <c r="S32" s="268"/>
      <c r="T32" s="268"/>
      <c r="U32" s="268"/>
      <c r="V32" s="268"/>
      <c r="W32" s="268"/>
      <c r="X32" s="268"/>
      <c r="Y32" s="268"/>
    </row>
    <row r="33">
      <c r="B33" s="268"/>
      <c r="C33" s="268"/>
      <c r="D33" s="268"/>
      <c r="E33" s="268"/>
      <c r="F33" s="268"/>
      <c r="G33" s="268"/>
      <c r="H33" s="268"/>
      <c r="I33" s="268"/>
      <c r="J33" s="268"/>
      <c r="K33" s="268"/>
      <c r="L33" s="268"/>
      <c r="M33" s="268"/>
      <c r="N33" s="268"/>
      <c r="O33" s="268"/>
      <c r="P33" s="268"/>
      <c r="Q33" s="268"/>
      <c r="R33" s="268"/>
      <c r="S33" s="268"/>
      <c r="T33" s="268"/>
      <c r="U33" s="268"/>
      <c r="V33" s="268"/>
      <c r="W33" s="268"/>
      <c r="X33" s="268"/>
      <c r="Y33" s="268"/>
    </row>
    <row r="34">
      <c r="B34" s="268"/>
      <c r="C34" s="268"/>
      <c r="D34" s="268"/>
      <c r="E34" s="268"/>
      <c r="F34" s="268"/>
      <c r="G34" s="268"/>
      <c r="H34" s="268"/>
      <c r="I34" s="268"/>
      <c r="J34" s="268"/>
      <c r="K34" s="268"/>
      <c r="L34" s="268"/>
      <c r="M34" s="268"/>
      <c r="N34" s="268"/>
      <c r="O34" s="268"/>
      <c r="P34" s="268"/>
      <c r="Q34" s="268"/>
      <c r="R34" s="268"/>
      <c r="S34" s="268"/>
      <c r="T34" s="268"/>
      <c r="U34" s="268"/>
      <c r="V34" s="268"/>
      <c r="W34" s="268"/>
      <c r="X34" s="268"/>
      <c r="Y34" s="268"/>
    </row>
    <row r="35">
      <c r="B35" s="268"/>
      <c r="C35" s="268"/>
      <c r="D35" s="268"/>
      <c r="E35" s="268"/>
      <c r="F35" s="268"/>
      <c r="G35" s="268"/>
      <c r="H35" s="268"/>
      <c r="I35" s="268"/>
      <c r="J35" s="268"/>
      <c r="K35" s="268"/>
      <c r="L35" s="268"/>
      <c r="M35" s="268"/>
      <c r="N35" s="268"/>
      <c r="O35" s="268"/>
      <c r="P35" s="268"/>
      <c r="Q35" s="268"/>
      <c r="R35" s="268"/>
      <c r="S35" s="268"/>
      <c r="T35" s="268"/>
      <c r="U35" s="268"/>
      <c r="V35" s="268"/>
      <c r="W35" s="268"/>
      <c r="X35" s="268"/>
      <c r="Y35" s="268"/>
    </row>
    <row r="36">
      <c r="B36" s="268"/>
      <c r="C36" s="268"/>
      <c r="D36" s="268"/>
      <c r="E36" s="268"/>
      <c r="F36" s="268"/>
      <c r="G36" s="268"/>
      <c r="H36" s="268"/>
      <c r="I36" s="268"/>
      <c r="J36" s="268"/>
      <c r="K36" s="268"/>
      <c r="L36" s="268"/>
      <c r="M36" s="268"/>
      <c r="N36" s="268"/>
      <c r="O36" s="268"/>
      <c r="P36" s="268"/>
      <c r="Q36" s="268"/>
      <c r="R36" s="268"/>
      <c r="S36" s="268"/>
      <c r="T36" s="268"/>
      <c r="U36" s="268"/>
      <c r="V36" s="268"/>
      <c r="W36" s="268"/>
      <c r="X36" s="268"/>
      <c r="Y36" s="268"/>
    </row>
    <row r="37">
      <c r="B37" s="268"/>
      <c r="C37" s="268"/>
      <c r="D37" s="268"/>
      <c r="E37" s="268"/>
      <c r="F37" s="268"/>
      <c r="G37" s="268"/>
      <c r="H37" s="268"/>
      <c r="I37" s="268"/>
      <c r="J37" s="268"/>
      <c r="K37" s="268"/>
      <c r="L37" s="268"/>
      <c r="M37" s="268"/>
      <c r="N37" s="268"/>
      <c r="O37" s="268"/>
      <c r="P37" s="268"/>
      <c r="Q37" s="268"/>
      <c r="R37" s="268"/>
      <c r="S37" s="268"/>
      <c r="T37" s="268"/>
      <c r="U37" s="268"/>
      <c r="V37" s="268"/>
      <c r="W37" s="268"/>
      <c r="X37" s="268"/>
      <c r="Y37" s="268"/>
    </row>
    <row r="38">
      <c r="B38" s="268"/>
      <c r="C38" s="268"/>
      <c r="D38" s="268"/>
      <c r="E38" s="268"/>
      <c r="F38" s="268"/>
      <c r="G38" s="268"/>
      <c r="H38" s="268"/>
      <c r="I38" s="268"/>
      <c r="J38" s="268"/>
      <c r="K38" s="268"/>
      <c r="L38" s="268"/>
      <c r="M38" s="268"/>
      <c r="N38" s="268"/>
      <c r="O38" s="268"/>
      <c r="P38" s="268"/>
      <c r="Q38" s="268"/>
      <c r="R38" s="268"/>
      <c r="S38" s="268"/>
      <c r="T38" s="268"/>
      <c r="U38" s="268"/>
      <c r="V38" s="268"/>
      <c r="W38" s="268"/>
      <c r="X38" s="268"/>
      <c r="Y38" s="268"/>
    </row>
    <row r="39">
      <c r="B39" s="268"/>
      <c r="C39" s="268"/>
      <c r="D39" s="268"/>
      <c r="E39" s="268"/>
      <c r="F39" s="268"/>
      <c r="G39" s="268"/>
      <c r="H39" s="268"/>
      <c r="I39" s="268"/>
      <c r="J39" s="268"/>
      <c r="K39" s="268"/>
      <c r="L39" s="268"/>
      <c r="M39" s="268"/>
      <c r="N39" s="268"/>
      <c r="O39" s="268"/>
      <c r="P39" s="268"/>
      <c r="Q39" s="268"/>
      <c r="R39" s="268"/>
      <c r="S39" s="268"/>
      <c r="T39" s="268"/>
      <c r="U39" s="268"/>
      <c r="V39" s="268"/>
      <c r="W39" s="268"/>
      <c r="X39" s="268"/>
      <c r="Y39" s="268"/>
    </row>
    <row r="40">
      <c r="B40" s="268"/>
      <c r="C40" s="268"/>
      <c r="D40" s="268"/>
      <c r="E40" s="268"/>
      <c r="F40" s="268"/>
      <c r="G40" s="268"/>
      <c r="H40" s="268"/>
      <c r="I40" s="268"/>
      <c r="J40" s="268"/>
      <c r="K40" s="268"/>
      <c r="L40" s="268"/>
      <c r="M40" s="268"/>
      <c r="N40" s="268"/>
      <c r="O40" s="268"/>
      <c r="P40" s="268"/>
      <c r="Q40" s="268"/>
      <c r="R40" s="268"/>
      <c r="S40" s="268"/>
      <c r="T40" s="268"/>
      <c r="U40" s="268"/>
      <c r="V40" s="268"/>
      <c r="W40" s="268"/>
      <c r="X40" s="268"/>
      <c r="Y40" s="268"/>
    </row>
    <row r="41">
      <c r="B41" s="268"/>
      <c r="C41" s="268"/>
      <c r="D41" s="268"/>
      <c r="E41" s="268"/>
      <c r="F41" s="268"/>
      <c r="G41" s="268"/>
      <c r="H41" s="268"/>
      <c r="I41" s="268"/>
      <c r="J41" s="268"/>
      <c r="K41" s="268"/>
      <c r="L41" s="268"/>
      <c r="M41" s="268"/>
      <c r="N41" s="268"/>
      <c r="O41" s="268"/>
      <c r="P41" s="268"/>
      <c r="Q41" s="268"/>
      <c r="R41" s="268"/>
      <c r="S41" s="268"/>
      <c r="T41" s="268"/>
      <c r="U41" s="268"/>
      <c r="V41" s="268"/>
      <c r="W41" s="268"/>
      <c r="X41" s="268"/>
      <c r="Y41" s="268"/>
    </row>
    <row r="42">
      <c r="B42" s="268"/>
      <c r="C42" s="268"/>
      <c r="D42" s="268"/>
      <c r="E42" s="268"/>
      <c r="F42" s="268"/>
      <c r="G42" s="268"/>
      <c r="H42" s="268"/>
      <c r="I42" s="268"/>
      <c r="J42" s="268"/>
      <c r="K42" s="268"/>
      <c r="L42" s="268"/>
      <c r="M42" s="268"/>
      <c r="N42" s="268"/>
      <c r="O42" s="268"/>
      <c r="P42" s="268"/>
      <c r="Q42" s="268"/>
      <c r="R42" s="268"/>
      <c r="S42" s="268"/>
      <c r="T42" s="268"/>
      <c r="U42" s="268"/>
      <c r="V42" s="268"/>
      <c r="W42" s="268"/>
      <c r="X42" s="268"/>
      <c r="Y42" s="268"/>
    </row>
    <row r="43">
      <c r="B43" s="268"/>
      <c r="C43" s="268"/>
      <c r="D43" s="268"/>
      <c r="E43" s="268"/>
      <c r="F43" s="268"/>
      <c r="G43" s="268"/>
      <c r="H43" s="268"/>
      <c r="I43" s="268"/>
      <c r="J43" s="268"/>
      <c r="K43" s="268"/>
      <c r="L43" s="268"/>
      <c r="M43" s="268"/>
      <c r="N43" s="268"/>
      <c r="O43" s="268"/>
      <c r="P43" s="268"/>
      <c r="Q43" s="268"/>
      <c r="R43" s="268"/>
      <c r="S43" s="268"/>
      <c r="T43" s="268"/>
      <c r="U43" s="268"/>
      <c r="V43" s="268"/>
      <c r="W43" s="268"/>
      <c r="X43" s="268"/>
      <c r="Y43" s="268"/>
    </row>
    <row r="44">
      <c r="B44" s="268"/>
      <c r="C44" s="268"/>
      <c r="D44" s="268"/>
      <c r="E44" s="268"/>
      <c r="F44" s="268"/>
      <c r="G44" s="268"/>
      <c r="H44" s="268"/>
      <c r="I44" s="268"/>
      <c r="J44" s="268"/>
      <c r="K44" s="268"/>
      <c r="L44" s="268"/>
      <c r="M44" s="268"/>
      <c r="N44" s="268"/>
      <c r="O44" s="268"/>
      <c r="P44" s="268"/>
      <c r="Q44" s="268"/>
      <c r="R44" s="268"/>
      <c r="S44" s="268"/>
      <c r="T44" s="268"/>
      <c r="U44" s="268"/>
      <c r="V44" s="268"/>
      <c r="W44" s="268"/>
      <c r="X44" s="268"/>
      <c r="Y44" s="268"/>
    </row>
    <row r="45">
      <c r="B45" s="268"/>
      <c r="C45" s="268"/>
      <c r="D45" s="268"/>
      <c r="E45" s="268"/>
      <c r="F45" s="268"/>
      <c r="G45" s="268"/>
      <c r="H45" s="268"/>
      <c r="I45" s="268"/>
      <c r="J45" s="268"/>
      <c r="K45" s="268"/>
      <c r="L45" s="268"/>
      <c r="M45" s="268"/>
      <c r="N45" s="268"/>
      <c r="O45" s="268"/>
      <c r="P45" s="268"/>
      <c r="Q45" s="268"/>
      <c r="R45" s="268"/>
      <c r="S45" s="268"/>
      <c r="T45" s="268"/>
      <c r="U45" s="268"/>
      <c r="V45" s="268"/>
      <c r="W45" s="268"/>
      <c r="X45" s="268"/>
      <c r="Y45" s="268"/>
    </row>
    <row r="46">
      <c r="B46" s="268"/>
      <c r="C46" s="268"/>
      <c r="D46" s="268"/>
      <c r="E46" s="268"/>
      <c r="F46" s="268"/>
      <c r="G46" s="268"/>
      <c r="H46" s="268"/>
      <c r="I46" s="268"/>
      <c r="J46" s="268"/>
      <c r="K46" s="268"/>
      <c r="L46" s="268"/>
      <c r="M46" s="268"/>
      <c r="N46" s="268"/>
      <c r="O46" s="268"/>
      <c r="P46" s="268"/>
      <c r="Q46" s="268"/>
      <c r="R46" s="268"/>
      <c r="S46" s="268"/>
      <c r="T46" s="268"/>
      <c r="U46" s="268"/>
      <c r="V46" s="268"/>
      <c r="W46" s="268"/>
      <c r="X46" s="268"/>
      <c r="Y46" s="268"/>
    </row>
    <row r="47">
      <c r="B47" s="268"/>
      <c r="C47" s="268"/>
      <c r="D47" s="268"/>
      <c r="E47" s="268"/>
      <c r="F47" s="268"/>
      <c r="G47" s="268"/>
      <c r="H47" s="268"/>
      <c r="I47" s="268"/>
      <c r="J47" s="268"/>
      <c r="K47" s="268"/>
      <c r="L47" s="268"/>
      <c r="M47" s="268"/>
      <c r="N47" s="268"/>
      <c r="O47" s="268"/>
      <c r="P47" s="268"/>
      <c r="Q47" s="268"/>
      <c r="R47" s="268"/>
      <c r="S47" s="268"/>
      <c r="T47" s="268"/>
      <c r="U47" s="268"/>
      <c r="V47" s="268"/>
      <c r="W47" s="268"/>
      <c r="X47" s="268"/>
      <c r="Y47" s="268"/>
    </row>
    <row r="48">
      <c r="B48" s="268"/>
      <c r="C48" s="268"/>
      <c r="D48" s="268"/>
      <c r="E48" s="268"/>
      <c r="F48" s="268"/>
      <c r="G48" s="268"/>
      <c r="H48" s="268"/>
      <c r="I48" s="268"/>
      <c r="J48" s="268"/>
      <c r="K48" s="268"/>
      <c r="L48" s="268"/>
      <c r="M48" s="268"/>
      <c r="N48" s="268"/>
      <c r="O48" s="268"/>
      <c r="P48" s="268"/>
      <c r="Q48" s="268"/>
      <c r="R48" s="268"/>
      <c r="S48" s="268"/>
      <c r="T48" s="268"/>
      <c r="U48" s="268"/>
      <c r="V48" s="268"/>
      <c r="W48" s="268"/>
      <c r="X48" s="268"/>
      <c r="Y48" s="268"/>
    </row>
    <row r="49">
      <c r="B49" s="268"/>
      <c r="C49" s="268"/>
      <c r="D49" s="268"/>
      <c r="E49" s="268"/>
      <c r="F49" s="268"/>
      <c r="G49" s="268"/>
      <c r="H49" s="268"/>
      <c r="I49" s="268"/>
      <c r="J49" s="268"/>
      <c r="K49" s="268"/>
      <c r="L49" s="268"/>
      <c r="M49" s="268"/>
      <c r="N49" s="268"/>
      <c r="O49" s="268"/>
      <c r="P49" s="268"/>
      <c r="Q49" s="268"/>
      <c r="R49" s="268"/>
      <c r="S49" s="268"/>
      <c r="T49" s="268"/>
      <c r="U49" s="268"/>
      <c r="V49" s="268"/>
      <c r="W49" s="268"/>
      <c r="X49" s="268"/>
      <c r="Y49" s="268"/>
    </row>
    <row r="50">
      <c r="B50" s="268"/>
      <c r="C50" s="268"/>
      <c r="D50" s="268"/>
      <c r="E50" s="268"/>
      <c r="F50" s="268"/>
      <c r="G50" s="268"/>
      <c r="H50" s="268"/>
      <c r="I50" s="268"/>
      <c r="J50" s="268"/>
      <c r="K50" s="268"/>
      <c r="L50" s="268"/>
      <c r="M50" s="268"/>
      <c r="N50" s="268"/>
      <c r="O50" s="268"/>
      <c r="P50" s="268"/>
      <c r="Q50" s="268"/>
      <c r="R50" s="268"/>
      <c r="S50" s="268"/>
      <c r="T50" s="268"/>
      <c r="U50" s="268"/>
      <c r="V50" s="268"/>
      <c r="W50" s="268"/>
      <c r="X50" s="268"/>
      <c r="Y50" s="268"/>
    </row>
    <row r="51">
      <c r="B51" s="268"/>
      <c r="C51" s="268"/>
      <c r="D51" s="268"/>
      <c r="E51" s="268"/>
      <c r="F51" s="268"/>
      <c r="G51" s="268"/>
      <c r="H51" s="268"/>
      <c r="I51" s="268"/>
      <c r="J51" s="268"/>
      <c r="K51" s="268"/>
      <c r="L51" s="268"/>
      <c r="M51" s="268"/>
      <c r="N51" s="268"/>
      <c r="O51" s="268"/>
      <c r="P51" s="268"/>
      <c r="Q51" s="268"/>
      <c r="R51" s="268"/>
      <c r="S51" s="268"/>
      <c r="T51" s="268"/>
      <c r="U51" s="268"/>
      <c r="V51" s="268"/>
      <c r="W51" s="268"/>
      <c r="X51" s="268"/>
      <c r="Y51" s="268"/>
    </row>
    <row r="52">
      <c r="B52" s="268"/>
      <c r="C52" s="268"/>
      <c r="D52" s="268"/>
      <c r="E52" s="268"/>
      <c r="F52" s="268"/>
      <c r="G52" s="268"/>
      <c r="H52" s="268"/>
      <c r="I52" s="268"/>
      <c r="J52" s="268"/>
      <c r="K52" s="268"/>
      <c r="L52" s="268"/>
      <c r="M52" s="268"/>
      <c r="N52" s="268"/>
      <c r="O52" s="268"/>
      <c r="P52" s="268"/>
      <c r="Q52" s="268"/>
      <c r="R52" s="268"/>
      <c r="S52" s="268"/>
      <c r="T52" s="268"/>
      <c r="U52" s="268"/>
      <c r="V52" s="268"/>
      <c r="W52" s="268"/>
      <c r="X52" s="268"/>
      <c r="Y52" s="268"/>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h"/>
  </hyperlink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zoomScale="77" workbookViewId="0">
      <selection activeCell="L81" sqref="L81"/>
    </sheetView>
  </sheetViews>
  <sheetFormatPr defaultRowHeight="15.0" baseColWidth="10"/>
  <cols>
    <col min="2" max="2" width="26.42578125" hidden="0" customWidth="1"/>
    <col min="3" max="3" width="13.140625" hidden="0" customWidth="1"/>
    <col min="20" max="20" width="11.5703125" hidden="0" customWidth="1"/>
    <col min="21" max="21" width="11.5703125" hidden="0" customWidth="1"/>
    <col min="22" max="22" width="11.5703125" hidden="0" customWidth="1"/>
    <col min="23" max="23" width="11.5703125" hidden="0" customWidth="1"/>
    <col min="24" max="24" width="11.5703125" hidden="0" customWidth="1"/>
    <col min="25" max="25" width="11.5703125" hidden="0" customWidth="1"/>
    <col min="26" max="26" width="11.5703125" hidden="0" customWidth="1"/>
    <col min="27" max="27" width="11.5703125" hidden="0" customWidth="1"/>
    <col min="28" max="28" width="11.5703125" hidden="0" customWidth="1"/>
    <col min="29" max="29" width="11.5703125" hidden="0" customWidth="1"/>
    <col min="30" max="30" width="12.140625" hidden="0" customWidth="1"/>
    <col min="31" max="31" width="12.140625" hidden="0" customWidth="1"/>
    <col min="32" max="32" width="12.140625" hidden="0" customWidth="1"/>
  </cols>
  <sheetData>
    <row r="1">
      <c r="B1" s="233" t="s">
        <v>1792</v>
      </c>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row>
    <row r="2">
      <c r="B2" s="265" t="s">
        <v>1793</v>
      </c>
      <c r="C2" s="265"/>
      <c r="D2" s="265"/>
      <c r="E2" s="265"/>
      <c r="F2" s="265"/>
      <c r="G2" s="265"/>
      <c r="H2" s="265"/>
      <c r="I2" s="265"/>
      <c r="J2" s="265"/>
      <c r="K2" s="265"/>
      <c r="L2" s="265"/>
      <c r="M2" s="265"/>
      <c r="N2" s="265"/>
      <c r="O2" s="265"/>
      <c r="P2" s="265"/>
      <c r="Q2" s="265"/>
      <c r="R2" s="265"/>
      <c r="S2" s="265"/>
      <c r="T2" s="265"/>
      <c r="U2" s="265"/>
      <c r="V2" s="265"/>
      <c r="W2" s="265"/>
      <c r="X2" s="265"/>
      <c r="Y2" s="265"/>
      <c r="Z2" s="265"/>
      <c r="AA2" s="265"/>
      <c r="AB2" s="265"/>
      <c r="AC2" s="265"/>
    </row>
    <row r="3">
      <c r="B3" s="265"/>
      <c r="C3" s="265"/>
      <c r="D3" s="265"/>
      <c r="E3" s="265"/>
      <c r="F3" s="265"/>
      <c r="G3" s="265"/>
      <c r="H3" s="265"/>
      <c r="I3" s="265"/>
      <c r="J3" s="265"/>
      <c r="K3" s="265"/>
      <c r="L3" s="265"/>
      <c r="M3" s="265"/>
      <c r="N3" s="265"/>
      <c r="O3" s="265"/>
      <c r="P3" s="265"/>
      <c r="Q3" s="265"/>
      <c r="R3" s="265"/>
      <c r="S3" s="265"/>
      <c r="T3" s="265"/>
      <c r="U3" s="265"/>
      <c r="V3" s="265"/>
      <c r="W3" s="265"/>
      <c r="X3" s="265"/>
      <c r="Y3" s="265"/>
      <c r="Z3" s="265"/>
      <c r="AA3" s="265"/>
      <c r="AB3" s="265"/>
      <c r="AC3" s="265"/>
    </row>
    <row r="4">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row>
    <row r="5">
      <c r="B5" s="265"/>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5"/>
      <c r="AC5" s="265"/>
    </row>
    <row r="6">
      <c r="B6" s="63"/>
      <c r="C6" s="1124"/>
      <c r="D6" s="1165"/>
      <c r="E6" s="1165"/>
      <c r="F6" s="1165"/>
      <c r="G6" s="1165"/>
      <c r="H6" s="1165"/>
      <c r="I6" s="1165"/>
      <c r="J6" s="1165"/>
      <c r="K6" s="1165"/>
      <c r="L6" s="1165"/>
      <c r="M6" s="1165"/>
      <c r="N6" s="1165"/>
      <c r="O6" s="1165"/>
      <c r="P6" s="1165"/>
      <c r="Q6" s="1165"/>
      <c r="R6" s="1165"/>
      <c r="S6" s="1165"/>
      <c r="T6" s="1165"/>
      <c r="U6" s="1165"/>
      <c r="V6" s="1165"/>
      <c r="W6" s="1165"/>
      <c r="X6" s="1165"/>
      <c r="Y6" s="1165"/>
      <c r="Z6" s="1165"/>
      <c r="AA6" s="1165"/>
      <c r="AB6" s="1165"/>
      <c r="AC6" s="1165"/>
      <c r="AD6" s="1165"/>
      <c r="AE6" s="1165"/>
      <c r="AF6" s="1165"/>
    </row>
    <row r="7" ht="14.45" customHeight="1">
      <c r="B7" s="1099" t="s">
        <v>1822</v>
      </c>
      <c r="C7" s="1099"/>
      <c r="D7" s="1099"/>
      <c r="E7" s="1099"/>
      <c r="F7" s="1099"/>
      <c r="G7" s="265"/>
      <c r="H7" s="265"/>
      <c r="I7" s="265"/>
      <c r="J7" s="265"/>
      <c r="K7" s="265"/>
      <c r="L7" s="265"/>
      <c r="M7" s="265"/>
      <c r="N7" s="265"/>
      <c r="O7" s="265"/>
      <c r="P7" s="265"/>
      <c r="Q7" s="265"/>
      <c r="R7" s="265"/>
      <c r="S7" s="265"/>
      <c r="T7" s="265"/>
      <c r="U7" s="265"/>
      <c r="V7" s="265"/>
      <c r="W7" s="265"/>
      <c r="X7" s="265"/>
      <c r="Y7" s="265"/>
      <c r="Z7" s="265"/>
      <c r="AA7" s="265"/>
      <c r="AB7" s="265"/>
      <c r="AC7" s="265"/>
    </row>
    <row r="8">
      <c r="B8" s="237" t="s">
        <v>1811</v>
      </c>
      <c r="C8" s="238"/>
      <c r="D8" s="486" t="s">
        <v>325</v>
      </c>
      <c r="E8" s="487"/>
      <c r="F8" s="487"/>
      <c r="G8" s="487"/>
      <c r="H8" s="487"/>
      <c r="I8" s="487"/>
      <c r="J8" s="487"/>
      <c r="K8" s="487"/>
      <c r="L8" s="487"/>
      <c r="M8" s="487"/>
      <c r="N8" s="487"/>
      <c r="O8" s="487"/>
      <c r="P8" s="487"/>
      <c r="Q8" s="332"/>
      <c r="R8" s="332"/>
      <c r="S8" s="238"/>
      <c r="T8" s="488" t="s">
        <v>1888</v>
      </c>
      <c r="U8" s="488"/>
      <c r="V8" s="488"/>
      <c r="W8" s="488"/>
      <c r="X8" s="488"/>
      <c r="Y8" s="488"/>
      <c r="Z8" s="488"/>
      <c r="AA8" s="488"/>
      <c r="AB8" s="488"/>
      <c r="AC8" s="488"/>
      <c r="AD8" s="488"/>
      <c r="AE8" s="488"/>
      <c r="AF8" s="489"/>
    </row>
    <row r="9">
      <c r="B9" s="239"/>
      <c r="C9" s="240"/>
      <c r="D9" s="204" t="n">
        <v>2018</v>
      </c>
      <c r="E9" s="204" t="n">
        <v>2019</v>
      </c>
      <c r="F9" s="217"/>
      <c r="G9" s="217"/>
      <c r="H9" s="200"/>
      <c r="I9" s="204" t="n">
        <v>2020</v>
      </c>
      <c r="J9" s="217"/>
      <c r="K9" s="217"/>
      <c r="L9" s="217"/>
      <c r="M9" s="204" t="n">
        <v>2021</v>
      </c>
      <c r="N9" s="217"/>
      <c r="O9" s="217"/>
      <c r="P9" s="217"/>
      <c r="Q9" s="245" t="n">
        <v>2022</v>
      </c>
      <c r="R9" s="246"/>
      <c r="S9" s="276"/>
      <c r="T9" s="276"/>
      <c r="U9" s="244" t="n">
        <v>2023</v>
      </c>
      <c r="V9" s="241"/>
      <c r="W9" s="241"/>
      <c r="X9" s="241"/>
      <c r="Y9" s="244" t="n">
        <v>2024</v>
      </c>
      <c r="Z9" s="241"/>
      <c r="AA9" s="241"/>
      <c r="AB9" s="243"/>
      <c r="AC9" s="244" t="n">
        <v>2025</v>
      </c>
      <c r="AD9" s="241"/>
      <c r="AE9" s="241"/>
      <c r="AF9" s="243"/>
    </row>
    <row r="10">
      <c r="B10" s="319"/>
      <c r="C10" s="320"/>
      <c r="D10" s="204" t="s">
        <v>327</v>
      </c>
      <c r="E10" s="204" t="s">
        <v>328</v>
      </c>
      <c r="F10" s="217" t="s">
        <v>329</v>
      </c>
      <c r="G10" s="217" t="s">
        <v>238</v>
      </c>
      <c r="H10" s="200" t="s">
        <v>327</v>
      </c>
      <c r="I10" s="217" t="s">
        <v>328</v>
      </c>
      <c r="J10" s="217" t="s">
        <v>329</v>
      </c>
      <c r="K10" s="217" t="s">
        <v>238</v>
      </c>
      <c r="L10" s="217" t="s">
        <v>327</v>
      </c>
      <c r="M10" s="204" t="s">
        <v>328</v>
      </c>
      <c r="N10" s="217" t="s">
        <v>329</v>
      </c>
      <c r="O10" s="217" t="s">
        <v>238</v>
      </c>
      <c r="P10" s="217" t="s">
        <v>327</v>
      </c>
      <c r="Q10" s="204" t="s">
        <v>328</v>
      </c>
      <c r="R10" s="217" t="s">
        <v>329</v>
      </c>
      <c r="S10" s="200" t="s">
        <v>238</v>
      </c>
      <c r="T10" s="200" t="s">
        <v>327</v>
      </c>
      <c r="U10" s="418" t="s">
        <v>328</v>
      </c>
      <c r="V10" s="350" t="s">
        <v>329</v>
      </c>
      <c r="W10" s="350" t="s">
        <v>238</v>
      </c>
      <c r="X10" s="350" t="s">
        <v>327</v>
      </c>
      <c r="Y10" s="418" t="s">
        <v>328</v>
      </c>
      <c r="Z10" s="283" t="s">
        <v>329</v>
      </c>
      <c r="AA10" s="350" t="s">
        <v>238</v>
      </c>
      <c r="AB10" s="348" t="s">
        <v>327</v>
      </c>
      <c r="AC10" s="443" t="s">
        <v>328</v>
      </c>
      <c r="AD10" s="350" t="s">
        <v>329</v>
      </c>
      <c r="AE10" s="350" t="s">
        <v>238</v>
      </c>
      <c r="AF10" s="348" t="s">
        <v>327</v>
      </c>
    </row>
    <row r="11">
      <c r="B11" s="1100" t="s">
        <v>1821</v>
      </c>
      <c r="C11" s="733"/>
      <c r="D11" s="733"/>
      <c r="E11" s="733"/>
      <c r="F11" s="733"/>
      <c r="G11" s="733"/>
      <c r="H11" s="733"/>
      <c r="I11" s="733"/>
      <c r="J11" s="733"/>
      <c r="K11" s="733"/>
      <c r="L11" s="733"/>
      <c r="M11" s="733"/>
      <c r="N11" s="733"/>
      <c r="O11" s="733"/>
      <c r="P11" s="733"/>
      <c r="Q11" s="733"/>
      <c r="R11" s="733"/>
      <c r="S11" s="733"/>
      <c r="T11" s="733"/>
      <c r="U11" s="733"/>
      <c r="V11" s="733"/>
      <c r="W11" s="733"/>
      <c r="X11" s="733"/>
      <c r="Y11" s="733"/>
      <c r="Z11" s="733"/>
      <c r="AA11" s="733"/>
      <c r="AB11" s="733"/>
      <c r="AC11" s="733"/>
      <c r="AD11" s="733"/>
      <c r="AE11" s="733"/>
      <c r="AF11" s="1091"/>
    </row>
    <row r="12">
      <c r="B12" s="1168" t="s">
        <v>1796</v>
      </c>
      <c r="C12" s="1169"/>
      <c r="D12" s="1166" t="n">
        <f t="shared" ref="D12:S12" si="0">D38</f>
        <v>1.5156509117148609E-2</v>
      </c>
      <c r="E12" s="1166" t="n">
        <f t="shared" si="0"/>
        <v>8.3593342288621475E-3</v>
      </c>
      <c r="F12" s="1166" t="n">
        <f t="shared" si="0"/>
        <v>2.4734353401225873E-2</v>
      </c>
      <c r="G12" s="1166" t="n">
        <f t="shared" si="0"/>
        <v>1.0490970472330163E-2</v>
      </c>
      <c r="H12" s="1166" t="n">
        <f t="shared" si="0"/>
        <v>1.4569048707785859E-2</v>
      </c>
      <c r="I12" s="1166" t="n">
        <f t="shared" si="0"/>
        <v>1.4662498774455912E-2</v>
      </c>
      <c r="J12" s="1166" t="n">
        <f t="shared" si="0"/>
        <v>-1.794085945788193E-2</v>
      </c>
      <c r="K12" s="1166" t="n">
        <f t="shared" si="0"/>
        <v>3.3775526155126689E-2</v>
      </c>
      <c r="L12" s="1166" t="n">
        <f t="shared" si="0"/>
        <v>1.6442937470855457E-2</v>
      </c>
      <c r="M12" s="1166" t="n">
        <f t="shared" si="0"/>
        <v>4.5025943450949013E-2</v>
      </c>
      <c r="N12" s="1166" t="n">
        <f t="shared" si="0"/>
        <v>6.444180274366329E-2</v>
      </c>
      <c r="O12" s="1166" t="n">
        <f t="shared" si="0"/>
        <v>5.5998846943190017E-2</v>
      </c>
      <c r="P12" s="1166" t="n">
        <f t="shared" si="0"/>
        <v>6.1859650545573519E-2</v>
      </c>
      <c r="Q12" s="1166" t="n">
        <f t="shared" si="0"/>
        <v>7.4784916271317448E-2</v>
      </c>
      <c r="R12" s="1166" t="n">
        <f t="shared" si="0"/>
        <v>7.2922192171477107E-2</v>
      </c>
      <c r="S12" s="1166" t="n">
        <f t="shared" si="0"/>
        <v>4.3177876601944165E-2</v>
      </c>
      <c r="T12" s="1167" t="n">
        <f>T38</f>
        <v>3.6959130883695179E-2</v>
      </c>
      <c r="U12" s="1166" t="n">
        <f>U38+U13</f>
        <v>3.5724460314211282E-2</v>
      </c>
      <c r="V12" s="1166" t="n">
        <f t="shared" ref="V12:AF12" si="1">V38+V13</f>
        <v>3.3692799617050628E-2</v>
      </c>
      <c r="W12" s="1166" t="n">
        <f t="shared" si="1"/>
        <v>3.3167790258204821E-2</v>
      </c>
      <c r="X12" s="1166" t="n">
        <f t="shared" si="1"/>
        <v>2.9707222134434552E-2</v>
      </c>
      <c r="Y12" s="1166" t="n">
        <f t="shared" si="1"/>
        <v>2.6454849931970781E-2</v>
      </c>
      <c r="Z12" s="1166" t="n">
        <f t="shared" si="1"/>
        <v>2.4178630417615032E-2</v>
      </c>
      <c r="AA12" s="1166" t="n">
        <f t="shared" si="1"/>
        <v>2.3052401549803703E-2</v>
      </c>
      <c r="AB12" s="1166" t="n">
        <f t="shared" si="1"/>
        <v>2.2407286089961342E-2</v>
      </c>
      <c r="AC12" s="1166" t="n">
        <f t="shared" si="1"/>
        <v>2.2473232090692186E-2</v>
      </c>
      <c r="AD12" s="1166" t="n">
        <f t="shared" si="1"/>
        <v>2.2071462401670683E-2</v>
      </c>
      <c r="AE12" s="1166" t="n">
        <f t="shared" si="1"/>
        <v>2.1752174739111618E-2</v>
      </c>
      <c r="AF12" s="1167" t="n">
        <f t="shared" si="1"/>
        <v>2.1591374086621817E-2</v>
      </c>
    </row>
    <row r="13">
      <c r="B13" s="1175" t="s">
        <v>1883</v>
      </c>
      <c r="C13" s="1170"/>
      <c r="D13" s="1171"/>
      <c r="E13" s="1172"/>
      <c r="F13" s="1172"/>
      <c r="G13" s="1172"/>
      <c r="H13" s="1172"/>
      <c r="I13" s="1172"/>
      <c r="J13" s="1172"/>
      <c r="K13" s="1172"/>
      <c r="L13" s="1172"/>
      <c r="M13" s="1172"/>
      <c r="N13" s="1172"/>
      <c r="O13" s="1172"/>
      <c r="P13" s="1172"/>
      <c r="Q13" s="1172"/>
      <c r="R13" s="1172"/>
      <c r="S13" s="1172"/>
      <c r="T13" s="1173"/>
      <c r="U13" s="1172"/>
      <c r="V13" s="1172"/>
      <c r="W13" s="1172"/>
      <c r="X13" s="1172"/>
      <c r="Y13" s="1172"/>
      <c r="Z13" s="1172"/>
      <c r="AA13" s="1172"/>
      <c r="AB13" s="1172"/>
      <c r="AC13" s="1172"/>
      <c r="AD13" s="1172"/>
      <c r="AE13" s="1172"/>
      <c r="AF13" s="1173"/>
    </row>
    <row r="14">
      <c r="B14" s="914" t="s">
        <v>1797</v>
      </c>
      <c r="C14" s="1169"/>
      <c r="D14" s="1165" t="n">
        <f t="shared" ref="D14:S14" si="2">D39</f>
        <v>2.9652502701153827E-2</v>
      </c>
      <c r="E14" s="1165" t="n">
        <f t="shared" si="2"/>
        <v>4.3357912415273203E-2</v>
      </c>
      <c r="F14" s="1165" t="n">
        <f t="shared" si="2"/>
        <v>-2.634393397263235E-2</v>
      </c>
      <c r="G14" s="1165" t="n">
        <f t="shared" si="2"/>
        <v>1.0018821110834297E-2</v>
      </c>
      <c r="H14" s="1165" t="n">
        <f t="shared" si="2"/>
        <v>1.6245763277308534E-2</v>
      </c>
      <c r="I14" s="1165" t="n">
        <f t="shared" si="2"/>
        <v>1.3591255249431944E-2</v>
      </c>
      <c r="J14" s="1165" t="n">
        <f t="shared" si="2"/>
        <v>3.3104511883148557E-3</v>
      </c>
      <c r="K14" s="1165" t="n">
        <f t="shared" si="2"/>
        <v>2.5959727144998501E-2</v>
      </c>
      <c r="L14" s="1165" t="n">
        <f t="shared" si="2"/>
        <v>2.4447407360365325E-2</v>
      </c>
      <c r="M14" s="1165" t="n">
        <f t="shared" si="2"/>
        <v>4.0827649049088865E-2</v>
      </c>
      <c r="N14" s="1165" t="n">
        <f t="shared" si="2"/>
        <v>4.1247362410053112E-2</v>
      </c>
      <c r="O14" s="1165" t="n">
        <f t="shared" si="2"/>
        <v>4.4017858095279694E-2</v>
      </c>
      <c r="P14" s="1165" t="n">
        <f t="shared" si="2"/>
        <v>4.3432299825096221E-2</v>
      </c>
      <c r="Q14" s="1165" t="n">
        <f t="shared" si="2"/>
        <v>5.6798579453040565E-2</v>
      </c>
      <c r="R14" s="1165" t="n">
        <f t="shared" si="2"/>
        <v>5.9959109255099508E-2</v>
      </c>
      <c r="S14" s="1165" t="n">
        <f t="shared" si="2"/>
        <v>4.8205722331254197E-2</v>
      </c>
      <c r="T14" s="1129" t="n">
        <f>T39</f>
        <v>3.084492349222212E-2</v>
      </c>
      <c r="U14" s="1165" t="n">
        <f>U39+U15</f>
        <v>2.5929771595060602E-2</v>
      </c>
      <c r="V14" s="1165" t="n">
        <f t="shared" ref="V14:AF14" si="3">V39+V15</f>
        <v>2.3505953506363975E-2</v>
      </c>
      <c r="W14" s="1165" t="n">
        <f t="shared" si="3"/>
        <v>2.5343185973087934E-2</v>
      </c>
      <c r="X14" s="1165" t="n">
        <f t="shared" si="3"/>
        <v>2.5512101094298911E-2</v>
      </c>
      <c r="Y14" s="1165" t="n">
        <f t="shared" si="3"/>
        <v>2.940897202642212E-2</v>
      </c>
      <c r="Z14" s="1165" t="n">
        <f t="shared" si="3"/>
        <v>2.823164052632654E-2</v>
      </c>
      <c r="AA14" s="1165" t="n">
        <f t="shared" si="3"/>
        <v>2.7484808362226332E-2</v>
      </c>
      <c r="AB14" s="1165" t="n">
        <f t="shared" si="3"/>
        <v>2.6738284169484539E-2</v>
      </c>
      <c r="AC14" s="1165" t="n">
        <f t="shared" si="3"/>
        <v>2.4037894596453224E-2</v>
      </c>
      <c r="AD14" s="1165" t="n">
        <f t="shared" si="3"/>
        <v>2.4492235467838519E-2</v>
      </c>
      <c r="AE14" s="1165" t="n">
        <f t="shared" si="3"/>
        <v>2.4419305134427693E-2</v>
      </c>
      <c r="AF14" s="1129" t="n">
        <f t="shared" si="3"/>
        <v>2.4121029556380291E-2</v>
      </c>
    </row>
    <row r="15">
      <c r="B15" s="210" t="s">
        <v>1884</v>
      </c>
      <c r="C15" s="1170"/>
      <c r="D15" s="1171"/>
      <c r="E15" s="1172"/>
      <c r="F15" s="1172"/>
      <c r="G15" s="1172"/>
      <c r="H15" s="1172"/>
      <c r="I15" s="1172"/>
      <c r="J15" s="1172"/>
      <c r="K15" s="1172"/>
      <c r="L15" s="1172"/>
      <c r="M15" s="1172"/>
      <c r="N15" s="1172"/>
      <c r="O15" s="1172"/>
      <c r="P15" s="1172"/>
      <c r="Q15" s="1172"/>
      <c r="R15" s="1172"/>
      <c r="S15" s="1172"/>
      <c r="T15" s="1173"/>
      <c r="U15" s="1172"/>
      <c r="V15" s="1172"/>
      <c r="W15" s="1172"/>
      <c r="X15" s="1172"/>
      <c r="Y15" s="1172"/>
      <c r="Z15" s="1172"/>
      <c r="AA15" s="1172"/>
      <c r="AB15" s="1172"/>
      <c r="AC15" s="1172"/>
      <c r="AD15" s="1172"/>
      <c r="AE15" s="1172"/>
      <c r="AF15" s="1173"/>
    </row>
    <row r="16">
      <c r="B16" s="914" t="s">
        <v>1798</v>
      </c>
      <c r="C16" s="1169"/>
      <c r="D16" s="1165" t="n">
        <f t="shared" ref="D16:T16" si="4">D40</f>
        <v>2.0739486303195998E-2</v>
      </c>
      <c r="E16" s="1165" t="n">
        <f t="shared" si="4"/>
        <v>-1.0909955372547464E-2</v>
      </c>
      <c r="F16" s="1165" t="n">
        <f t="shared" si="4"/>
        <v>2.9915559028399707E-2</v>
      </c>
      <c r="G16" s="1165" t="n">
        <f t="shared" si="4"/>
        <v>1.0527559706478895E-2</v>
      </c>
      <c r="H16" s="1165" t="n">
        <f t="shared" si="4"/>
        <v>1.4919704890896002E-2</v>
      </c>
      <c r="I16" s="1165" t="n">
        <f t="shared" si="4"/>
        <v>4.3158369252632278E-2</v>
      </c>
      <c r="J16" s="1165" t="n">
        <f t="shared" si="4"/>
        <v>-2.2930962354547058E-3</v>
      </c>
      <c r="K16" s="1165" t="n">
        <f t="shared" si="4"/>
        <v>3.587837095953339E-2</v>
      </c>
      <c r="L16" s="1165" t="n">
        <f t="shared" si="4"/>
        <v>4.5534894387470937E-2</v>
      </c>
      <c r="M16" s="1165" t="n">
        <f t="shared" si="4"/>
        <v>8.7714323909891423E-2</v>
      </c>
      <c r="N16" s="1165" t="n">
        <f t="shared" si="4"/>
        <v>8.4888593948209357E-2</v>
      </c>
      <c r="O16" s="1165" t="n">
        <f t="shared" si="4"/>
        <v>6.9703587118332688E-2</v>
      </c>
      <c r="P16" s="1165" t="n">
        <f t="shared" si="4"/>
        <v>9.0463399615994478E-2</v>
      </c>
      <c r="Q16" s="1165" t="n">
        <f t="shared" si="4"/>
        <v>0.10558682780244433</v>
      </c>
      <c r="R16" s="1165" t="n">
        <f t="shared" si="4"/>
        <v>0.14979890704557142</v>
      </c>
      <c r="S16" s="1165" t="n">
        <f t="shared" si="4"/>
        <v>2.9055945911607095E-2</v>
      </c>
      <c r="T16" s="1129" t="n">
        <f t="shared" si="4"/>
        <v>3.7674447238076336E-2</v>
      </c>
      <c r="U16" s="1165" t="n">
        <f>U40+U17</f>
        <v>3.4770037870923476E-2</v>
      </c>
      <c r="V16" s="1165" t="n">
        <f t="shared" ref="V16:AF16" si="5">V40+V17</f>
        <v>3.2439960780993538E-2</v>
      </c>
      <c r="W16" s="1165" t="n">
        <f t="shared" si="5"/>
        <v>3.4971806389749727E-2</v>
      </c>
      <c r="X16" s="1165" t="n">
        <f t="shared" si="5"/>
        <v>3.4409055377128128E-2</v>
      </c>
      <c r="Y16" s="1165" t="n">
        <f t="shared" si="5"/>
        <v>3.1280978879036248E-2</v>
      </c>
      <c r="Z16" s="1165" t="n">
        <f t="shared" si="5"/>
        <v>2.8069377631034564E-2</v>
      </c>
      <c r="AA16" s="1165" t="n">
        <f t="shared" si="5"/>
        <v>2.7079936500734814E-2</v>
      </c>
      <c r="AB16" s="1165" t="n">
        <f t="shared" si="5"/>
        <v>2.6642026237504224E-2</v>
      </c>
      <c r="AC16" s="1165" t="n">
        <f t="shared" si="5"/>
        <v>2.7649904239910983E-2</v>
      </c>
      <c r="AD16" s="1165" t="n">
        <f t="shared" si="5"/>
        <v>2.7332985680263322E-2</v>
      </c>
      <c r="AE16" s="1165" t="n">
        <f t="shared" si="5"/>
        <v>2.7468596479684804E-2</v>
      </c>
      <c r="AF16" s="1129" t="n">
        <f t="shared" si="5"/>
        <v>2.7135528596684111E-2</v>
      </c>
    </row>
    <row r="17">
      <c r="B17" s="210" t="s">
        <v>1885</v>
      </c>
      <c r="C17" s="1170"/>
      <c r="D17" s="1171"/>
      <c r="E17" s="1172"/>
      <c r="F17" s="1172"/>
      <c r="G17" s="1172"/>
      <c r="H17" s="1172"/>
      <c r="I17" s="1172"/>
      <c r="J17" s="1172"/>
      <c r="K17" s="1172"/>
      <c r="L17" s="1172"/>
      <c r="M17" s="1172"/>
      <c r="N17" s="1172"/>
      <c r="O17" s="1172"/>
      <c r="P17" s="1172"/>
      <c r="Q17" s="1172"/>
      <c r="R17" s="1172"/>
      <c r="S17" s="1172"/>
      <c r="T17" s="1173"/>
      <c r="U17" s="1172"/>
      <c r="V17" s="1172"/>
      <c r="W17" s="1172"/>
      <c r="X17" s="1172"/>
      <c r="Y17" s="1172"/>
      <c r="Z17" s="1172"/>
      <c r="AA17" s="1172"/>
      <c r="AB17" s="1172"/>
      <c r="AC17" s="1172"/>
      <c r="AD17" s="1172"/>
      <c r="AE17" s="1172"/>
      <c r="AF17" s="1173"/>
    </row>
    <row r="18">
      <c r="B18" s="914" t="s">
        <v>1799</v>
      </c>
      <c r="C18" s="1169"/>
      <c r="D18" s="1165" t="n">
        <f t="shared" ref="D18:T18" si="6">D41</f>
        <v>1.6036274889288604E-2</v>
      </c>
      <c r="E18" s="1165" t="n">
        <f t="shared" si="6"/>
        <v>-1.6750426853228473E-2</v>
      </c>
      <c r="F18" s="1165" t="n">
        <f t="shared" si="6"/>
        <v>2.5813818283004775E-2</v>
      </c>
      <c r="G18" s="1165" t="n">
        <f t="shared" si="6"/>
        <v>8.6124156242581851E-3</v>
      </c>
      <c r="H18" s="1165" t="n">
        <f t="shared" si="6"/>
        <v>1.6996215944869331E-2</v>
      </c>
      <c r="I18" s="1165" t="n">
        <f t="shared" si="6"/>
        <v>5.0660572456327158E-2</v>
      </c>
      <c r="J18" s="1165" t="n">
        <f t="shared" si="6"/>
        <v>-1.0613393340251909E-3</v>
      </c>
      <c r="K18" s="1165" t="n">
        <f t="shared" si="6"/>
        <v>3.4596703938156059E-2</v>
      </c>
      <c r="L18" s="1165" t="n">
        <f t="shared" si="6"/>
        <v>5.1547958936444926E-2</v>
      </c>
      <c r="M18" s="1165" t="n">
        <f t="shared" si="6"/>
        <v>9.2834286401326738E-2</v>
      </c>
      <c r="N18" s="1165" t="n">
        <f t="shared" si="6"/>
        <v>8.057551462066237E-2</v>
      </c>
      <c r="O18" s="1165" t="n">
        <f t="shared" si="6"/>
        <v>6.4680375979367932E-2</v>
      </c>
      <c r="P18" s="1165" t="n">
        <f t="shared" si="6"/>
        <v>8.4136934840179034E-2</v>
      </c>
      <c r="Q18" s="1165" t="n">
        <f t="shared" si="6"/>
        <v>0.10120576467409093</v>
      </c>
      <c r="R18" s="1165" t="n">
        <f t="shared" si="6"/>
        <v>0.15221841372862355</v>
      </c>
      <c r="S18" s="1165" t="n">
        <f t="shared" si="6"/>
        <v>1.6422651906601304E-2</v>
      </c>
      <c r="T18" s="1129" t="n">
        <f t="shared" si="6"/>
        <v>3.4553492951127307E-2</v>
      </c>
      <c r="U18" s="1165" t="n">
        <f>U41+U19</f>
        <v>3.4770037870923476E-2</v>
      </c>
      <c r="V18" s="1165" t="n">
        <f t="shared" ref="V18:AF18" si="7">V41+V19</f>
        <v>3.2439960780993538E-2</v>
      </c>
      <c r="W18" s="1165" t="n">
        <f t="shared" si="7"/>
        <v>3.4971806389749727E-2</v>
      </c>
      <c r="X18" s="1165" t="n">
        <f t="shared" si="7"/>
        <v>3.4409055377128128E-2</v>
      </c>
      <c r="Y18" s="1165" t="n">
        <f t="shared" si="7"/>
        <v>3.1280978879036248E-2</v>
      </c>
      <c r="Z18" s="1165" t="n">
        <f t="shared" si="7"/>
        <v>2.8069377631034564E-2</v>
      </c>
      <c r="AA18" s="1165" t="n">
        <f t="shared" si="7"/>
        <v>2.7079936500734814E-2</v>
      </c>
      <c r="AB18" s="1165" t="n">
        <f t="shared" si="7"/>
        <v>2.6642026237504224E-2</v>
      </c>
      <c r="AC18" s="1165" t="n">
        <f t="shared" si="7"/>
        <v>2.7649904239910983E-2</v>
      </c>
      <c r="AD18" s="1165" t="n">
        <f t="shared" si="7"/>
        <v>2.7332985680263322E-2</v>
      </c>
      <c r="AE18" s="1165" t="n">
        <f t="shared" si="7"/>
        <v>2.7468596479684804E-2</v>
      </c>
      <c r="AF18" s="1129" t="n">
        <f t="shared" si="7"/>
        <v>2.7135528596684111E-2</v>
      </c>
    </row>
    <row r="19">
      <c r="B19" s="210" t="s">
        <v>1886</v>
      </c>
      <c r="C19" s="1170"/>
      <c r="D19" s="1171"/>
      <c r="E19" s="1172"/>
      <c r="F19" s="1172"/>
      <c r="G19" s="1172"/>
      <c r="H19" s="1172"/>
      <c r="I19" s="1172"/>
      <c r="J19" s="1172"/>
      <c r="K19" s="1172"/>
      <c r="L19" s="1172"/>
      <c r="M19" s="1172"/>
      <c r="N19" s="1172"/>
      <c r="O19" s="1172"/>
      <c r="P19" s="1172"/>
      <c r="Q19" s="1172"/>
      <c r="R19" s="1172"/>
      <c r="S19" s="1172"/>
      <c r="T19" s="1173"/>
      <c r="U19" s="1172"/>
      <c r="V19" s="1172"/>
      <c r="W19" s="1172"/>
      <c r="X19" s="1172"/>
      <c r="Y19" s="1172"/>
      <c r="Z19" s="1172"/>
      <c r="AA19" s="1172"/>
      <c r="AB19" s="1172"/>
      <c r="AC19" s="1172"/>
      <c r="AD19" s="1172"/>
      <c r="AE19" s="1172"/>
      <c r="AF19" s="1173"/>
      <c r="AG19" s="1174"/>
    </row>
    <row r="20">
      <c r="B20" s="914" t="s">
        <v>1800</v>
      </c>
      <c r="C20" s="1169"/>
      <c r="D20" s="1165" t="n">
        <f t="shared" ref="D20:T20" si="8">D42</f>
        <v>4.1912016313215839E-2</v>
      </c>
      <c r="E20" s="1165" t="n">
        <f t="shared" si="8"/>
        <v>1.5721372171975556E-2</v>
      </c>
      <c r="F20" s="1165" t="n">
        <f t="shared" si="8"/>
        <v>4.8037769815769016E-2</v>
      </c>
      <c r="G20" s="1165" t="n">
        <f t="shared" si="8"/>
        <v>1.9083730667159404E-2</v>
      </c>
      <c r="H20" s="1165" t="n">
        <f t="shared" si="8"/>
        <v>5.8979339636944239E-3</v>
      </c>
      <c r="I20" s="1165" t="n">
        <f t="shared" si="8"/>
        <v>1.0418465412080913E-2</v>
      </c>
      <c r="J20" s="1165" t="n">
        <f t="shared" si="8"/>
        <v>-7.6555980249765065E-3</v>
      </c>
      <c r="K20" s="1165" t="n">
        <f t="shared" si="8"/>
        <v>4.135501545294451E-2</v>
      </c>
      <c r="L20" s="1165" t="n">
        <f t="shared" si="8"/>
        <v>1.8415186976738607E-2</v>
      </c>
      <c r="M20" s="1165" t="n">
        <f t="shared" si="8"/>
        <v>6.4160755006020143E-2</v>
      </c>
      <c r="N20" s="1165" t="n">
        <f t="shared" si="8"/>
        <v>0.10458990215743946</v>
      </c>
      <c r="O20" s="1165" t="n">
        <f t="shared" si="8"/>
        <v>9.3631239224950313E-2</v>
      </c>
      <c r="P20" s="1165" t="n">
        <f t="shared" si="8"/>
        <v>0.12124821634027616</v>
      </c>
      <c r="Q20" s="1165" t="n">
        <f t="shared" si="8"/>
        <v>0.12687792670398412</v>
      </c>
      <c r="R20" s="1165" t="n">
        <f t="shared" si="8"/>
        <v>0.13796693794697101</v>
      </c>
      <c r="S20" s="1165" t="n">
        <f t="shared" si="8"/>
        <v>9.3268944702830758E-2</v>
      </c>
      <c r="T20" s="1129" t="n">
        <f t="shared" si="8"/>
        <v>5.2666155244963875E-2</v>
      </c>
      <c r="U20" s="1165" t="n">
        <f>U42+U21</f>
        <v>3.4770037870923476E-2</v>
      </c>
      <c r="V20" s="1165" t="n">
        <f t="shared" ref="V20:AF20" si="9">V42+V21</f>
        <v>3.2439960780993538E-2</v>
      </c>
      <c r="W20" s="1165" t="n">
        <f t="shared" si="9"/>
        <v>3.4971806389749727E-2</v>
      </c>
      <c r="X20" s="1165" t="n">
        <f t="shared" si="9"/>
        <v>3.4409055377128128E-2</v>
      </c>
      <c r="Y20" s="1165" t="n">
        <f t="shared" si="9"/>
        <v>3.1280978879036248E-2</v>
      </c>
      <c r="Z20" s="1165" t="n">
        <f t="shared" si="9"/>
        <v>2.8069377631034564E-2</v>
      </c>
      <c r="AA20" s="1165" t="n">
        <f t="shared" si="9"/>
        <v>2.7079936500734814E-2</v>
      </c>
      <c r="AB20" s="1165" t="n">
        <f t="shared" si="9"/>
        <v>2.6642026237504224E-2</v>
      </c>
      <c r="AC20" s="1165" t="n">
        <f t="shared" si="9"/>
        <v>2.7649904239910983E-2</v>
      </c>
      <c r="AD20" s="1165" t="n">
        <f t="shared" si="9"/>
        <v>2.7332985680263322E-2</v>
      </c>
      <c r="AE20" s="1165" t="n">
        <f t="shared" si="9"/>
        <v>2.7468596479684804E-2</v>
      </c>
      <c r="AF20" s="1129" t="n">
        <f t="shared" si="9"/>
        <v>2.7135528596684111E-2</v>
      </c>
    </row>
    <row r="21">
      <c r="B21" s="210" t="s">
        <v>1887</v>
      </c>
      <c r="C21" s="1170"/>
      <c r="D21" s="1131"/>
      <c r="E21" s="1131"/>
      <c r="F21" s="1131"/>
      <c r="G21" s="1131"/>
      <c r="H21" s="1131"/>
      <c r="I21" s="1131"/>
      <c r="J21" s="1131"/>
      <c r="K21" s="1131"/>
      <c r="L21" s="1131"/>
      <c r="M21" s="1131"/>
      <c r="N21" s="1131"/>
      <c r="O21" s="1131"/>
      <c r="P21" s="1131"/>
      <c r="Q21" s="1131"/>
      <c r="R21" s="1131"/>
      <c r="S21" s="1131"/>
      <c r="T21" s="1132"/>
      <c r="U21" s="1131"/>
      <c r="V21" s="1131"/>
      <c r="W21" s="1131"/>
      <c r="X21" s="1131"/>
      <c r="Y21" s="1131"/>
      <c r="Z21" s="1131"/>
      <c r="AA21" s="1131"/>
      <c r="AB21" s="1131"/>
      <c r="AC21" s="1131"/>
      <c r="AD21" s="1131"/>
      <c r="AE21" s="1131"/>
      <c r="AF21" s="1132"/>
    </row>
    <row r="22">
      <c r="B22" s="1102" t="s">
        <v>1826</v>
      </c>
      <c r="C22" s="1103"/>
      <c r="D22" s="1103"/>
      <c r="E22" s="1103"/>
      <c r="F22" s="1103"/>
      <c r="G22" s="1103"/>
      <c r="H22" s="1103"/>
      <c r="I22" s="1103"/>
      <c r="J22" s="1103"/>
      <c r="K22" s="1103"/>
      <c r="L22" s="1103"/>
      <c r="M22" s="1103"/>
      <c r="N22" s="1103"/>
      <c r="O22" s="1103"/>
      <c r="P22" s="1103"/>
      <c r="Q22" s="1103"/>
      <c r="R22" s="1103"/>
      <c r="S22" s="1103"/>
      <c r="T22" s="1103"/>
      <c r="U22" s="1103"/>
      <c r="V22" s="1103"/>
      <c r="W22" s="1103"/>
      <c r="X22" s="1103"/>
      <c r="Y22" s="1103"/>
      <c r="Z22" s="1103"/>
      <c r="AA22" s="1103"/>
      <c r="AB22" s="1103"/>
      <c r="AC22" s="1103"/>
      <c r="AD22" s="1103"/>
      <c r="AE22" s="1103"/>
      <c r="AF22" s="1104"/>
    </row>
    <row r="23">
      <c r="B23" s="1158" t="s">
        <v>1796</v>
      </c>
      <c r="C23" s="1159"/>
      <c r="D23" s="1156" t="n">
        <f t="shared" ref="D23:AF23" si="10">(D12+1)^0.25-1</f>
        <v>3.7677794973836054E-3</v>
      </c>
      <c r="E23" s="1156" t="n">
        <f t="shared" si="10"/>
        <v>2.0833142133425131E-3</v>
      </c>
      <c r="F23" s="1156" t="n">
        <f t="shared" si="10"/>
        <v>6.127046928233737E-3</v>
      </c>
      <c r="G23" s="1156" t="n">
        <f t="shared" si="10"/>
        <v>2.6124871423760521E-3</v>
      </c>
      <c r="H23" s="1156" t="n">
        <f t="shared" si="10"/>
        <v>3.6225305055199719E-3</v>
      </c>
      <c r="I23" s="1156" t="n">
        <f t="shared" si="10"/>
        <v>3.6456401581284048E-3</v>
      </c>
      <c r="J23" s="1156" t="n">
        <f t="shared" si="10"/>
        <v>-4.5157103455735204E-3</v>
      </c>
      <c r="K23" s="1156" t="n">
        <f t="shared" si="10"/>
        <v>8.3389922585903609E-3</v>
      </c>
      <c r="L23" s="1156" t="n">
        <f t="shared" si="10"/>
        <v>4.0856275703535783E-3</v>
      </c>
      <c r="M23" s="1156" t="n">
        <f t="shared" si="10"/>
        <v>1.1071265683547882E-2</v>
      </c>
      <c r="N23" s="1156" t="n">
        <f t="shared" si="10"/>
        <v>1.5735147135566452E-2</v>
      </c>
      <c r="O23" s="1156" t="n">
        <f t="shared" si="10"/>
        <v>1.3714972395896918E-2</v>
      </c>
      <c r="P23" s="1156" t="n">
        <f t="shared" si="10"/>
        <v>1.5118586412170565E-2</v>
      </c>
      <c r="Q23" s="1156" t="n">
        <f t="shared" si="10"/>
        <v>1.8193665219635502E-2</v>
      </c>
      <c r="R23" s="1156" t="n">
        <f t="shared" si="10"/>
        <v>1.7752216949378008E-2</v>
      </c>
      <c r="S23" s="1157" t="n">
        <f t="shared" si="10"/>
        <v>1.0623963938950931E-2</v>
      </c>
      <c r="T23" s="1156" t="n">
        <f t="shared" si="10"/>
        <v>9.1144149967679056E-3</v>
      </c>
      <c r="U23" s="1156" t="n">
        <f t="shared" si="10"/>
        <v>8.8139015717265679E-3</v>
      </c>
      <c r="V23" s="1156" t="n">
        <f t="shared" si="10"/>
        <v>8.3188189000429347E-3</v>
      </c>
      <c r="W23" s="1156" t="n">
        <f t="shared" si="10"/>
        <v>8.1907640097225176E-3</v>
      </c>
      <c r="X23" s="1156" t="n">
        <f t="shared" si="10"/>
        <v>7.3454744803962413E-3</v>
      </c>
      <c r="Y23" s="1156" t="n">
        <f t="shared" si="10"/>
        <v>6.5490951570947864E-3</v>
      </c>
      <c r="Z23" s="1156" t="n">
        <f t="shared" si="10"/>
        <v>5.9906111616996327E-3</v>
      </c>
      <c r="AA23" s="1156" t="n">
        <f t="shared" si="10"/>
        <v>5.71393990210467E-3</v>
      </c>
      <c r="AB23" s="1156" t="n">
        <f t="shared" si="10"/>
        <v>5.5553568504056461E-3</v>
      </c>
      <c r="AC23" s="1156" t="n">
        <f t="shared" si="10"/>
        <v>5.5715712180339771E-3</v>
      </c>
      <c r="AD23" s="1156" t="n">
        <f t="shared" si="10"/>
        <v>5.4727745674469919E-3</v>
      </c>
      <c r="AE23" s="1156" t="n">
        <f t="shared" si="10"/>
        <v>5.39423977829534E-3</v>
      </c>
      <c r="AF23" s="1157" t="n">
        <f t="shared" si="10"/>
        <v>5.354680872593276E-3</v>
      </c>
    </row>
    <row r="24">
      <c r="B24" s="1160" t="s">
        <v>1797</v>
      </c>
      <c r="C24" s="1159"/>
      <c r="D24" s="1156" t="n">
        <f t="shared" ref="D24:AF24" si="11">(D14+1)^0.25-1</f>
        <v>7.3320914354932931E-3</v>
      </c>
      <c r="E24" s="1156" t="n">
        <f t="shared" si="11"/>
        <v>1.0667565499398624E-2</v>
      </c>
      <c r="F24" s="1156" t="n">
        <f t="shared" si="11"/>
        <v>-6.652064573700045E-3</v>
      </c>
      <c r="G24" s="1156" t="n">
        <f t="shared" si="11"/>
        <v>2.495349575790673E-3</v>
      </c>
      <c r="H24" s="1156" t="n">
        <f t="shared" si="11"/>
        <v>4.0369297610427513E-3</v>
      </c>
      <c r="I24" s="1156" t="n">
        <f t="shared" si="11"/>
        <v>3.3806321331337763E-3</v>
      </c>
      <c r="J24" s="1156" t="n">
        <f t="shared" si="11"/>
        <v>8.2658736219798357E-4</v>
      </c>
      <c r="K24" s="1156" t="n">
        <f t="shared" si="11"/>
        <v>6.4276929430036045E-3</v>
      </c>
      <c r="L24" s="1156" t="n">
        <f t="shared" si="11"/>
        <v>6.0566056248829714E-3</v>
      </c>
      <c r="M24" s="1156" t="n">
        <f t="shared" si="11"/>
        <v>1.0054261091605454E-2</v>
      </c>
      <c r="N24" s="1156" t="n">
        <f t="shared" si="11"/>
        <v>1.0156071698179447E-2</v>
      </c>
      <c r="O24" s="1156" t="n">
        <f t="shared" si="11"/>
        <v>1.0827344693645324E-2</v>
      </c>
      <c r="P24" s="1156" t="n">
        <f t="shared" si="11"/>
        <v>1.0685579196217487E-2</v>
      </c>
      <c r="Q24" s="1156" t="n">
        <f t="shared" si="11"/>
        <v>1.3906845400109002E-2</v>
      </c>
      <c r="R24" s="1156" t="n">
        <f t="shared" si="11"/>
        <v>1.4664060468276618E-2</v>
      </c>
      <c r="S24" s="1157" t="n">
        <f t="shared" si="11"/>
        <v>1.1839505254193972E-2</v>
      </c>
      <c r="T24" s="1156" t="n">
        <f t="shared" si="11"/>
        <v>7.623607854032155E-3</v>
      </c>
      <c r="U24" s="1156" t="n">
        <f t="shared" si="11"/>
        <v>6.420346547156619E-3</v>
      </c>
      <c r="V24" s="1156" t="n">
        <f t="shared" si="11"/>
        <v>5.8253876907148339E-3</v>
      </c>
      <c r="W24" s="1156" t="n">
        <f t="shared" si="11"/>
        <v>6.2764579641267915E-3</v>
      </c>
      <c r="X24" s="1156" t="n">
        <f t="shared" si="11"/>
        <v>6.3178989208103609E-3</v>
      </c>
      <c r="Y24" s="1156" t="n">
        <f t="shared" si="11"/>
        <v>7.2725232743062751E-3</v>
      </c>
      <c r="Z24" s="1156" t="n">
        <f t="shared" si="11"/>
        <v>6.9843961411393263E-3</v>
      </c>
      <c r="AA24" s="1156" t="n">
        <f t="shared" si="11"/>
        <v>6.8014963862881306E-3</v>
      </c>
      <c r="AB24" s="1156" t="n">
        <f t="shared" si="11"/>
        <v>6.6185723821980957E-3</v>
      </c>
      <c r="AC24" s="1156" t="n">
        <f t="shared" si="11"/>
        <v>5.9560502446180941E-3</v>
      </c>
      <c r="AD24" s="1156" t="n">
        <f t="shared" si="11"/>
        <v>6.067611283465224E-3</v>
      </c>
      <c r="AE24" s="1156" t="n">
        <f t="shared" si="11"/>
        <v>6.0497061196782553E-3</v>
      </c>
      <c r="AF24" s="1157" t="n">
        <f t="shared" si="11"/>
        <v>5.9764663763033354E-3</v>
      </c>
    </row>
    <row r="25">
      <c r="B25" s="1160" t="s">
        <v>1798</v>
      </c>
      <c r="C25" s="1159"/>
      <c r="D25" s="1156" t="n">
        <f t="shared" ref="D25:AF25" si="12">(D16+1)^0.25-1</f>
        <v>5.1450282316933826E-3</v>
      </c>
      <c r="E25" s="1156" t="n">
        <f t="shared" si="12"/>
        <v>-2.7387191894091556E-3</v>
      </c>
      <c r="F25" s="1156" t="n">
        <f t="shared" si="12"/>
        <v>7.3964237457664339E-3</v>
      </c>
      <c r="G25" s="1156" t="n">
        <f t="shared" si="12"/>
        <v>2.6215630089621023E-3</v>
      </c>
      <c r="H25" s="1156" t="n">
        <f t="shared" si="12"/>
        <v>3.7092374780660631E-3</v>
      </c>
      <c r="I25" s="1156" t="n">
        <f t="shared" si="12"/>
        <v>1.0619239257432245E-2</v>
      </c>
      <c r="J25" s="1156" t="n">
        <f t="shared" si="12"/>
        <v>-5.737676840339434E-4</v>
      </c>
      <c r="K25" s="1156" t="n">
        <f t="shared" si="12"/>
        <v>8.8513774045670957E-3</v>
      </c>
      <c r="L25" s="1156" t="n">
        <f t="shared" si="12"/>
        <v>1.1194346769946906E-2</v>
      </c>
      <c r="M25" s="1156" t="n">
        <f t="shared" si="12"/>
        <v>2.1242104555839303E-2</v>
      </c>
      <c r="N25" s="1156" t="n">
        <f t="shared" si="12"/>
        <v>2.0578196323559839E-2</v>
      </c>
      <c r="O25" s="1156" t="n">
        <f t="shared" si="12"/>
        <v>1.6988080943209027E-2</v>
      </c>
      <c r="P25" s="1156" t="n">
        <f t="shared" si="12"/>
        <v>2.1886762550021865E-2</v>
      </c>
      <c r="Q25" s="1156" t="n">
        <f t="shared" si="12"/>
        <v>2.5411571298960212E-2</v>
      </c>
      <c r="R25" s="1156" t="n">
        <f t="shared" si="12"/>
        <v>3.5512803061239939E-2</v>
      </c>
      <c r="S25" s="1157" t="n">
        <f t="shared" si="12"/>
        <v>7.1861535090920192E-3</v>
      </c>
      <c r="T25" s="1156" t="n">
        <f t="shared" si="12"/>
        <v>9.2883971170441004E-3</v>
      </c>
      <c r="U25" s="1156" t="n">
        <f t="shared" si="12"/>
        <v>8.5814151419392193E-3</v>
      </c>
      <c r="V25" s="1156" t="n">
        <f t="shared" si="12"/>
        <v>8.0131585685250251E-3</v>
      </c>
      <c r="W25" s="1156" t="n">
        <f t="shared" si="12"/>
        <v>8.630577055315225E-3</v>
      </c>
      <c r="X25" s="1156" t="n">
        <f t="shared" si="12"/>
        <v>8.4934420030498003E-3</v>
      </c>
      <c r="Y25" s="1156" t="n">
        <f t="shared" si="12"/>
        <v>7.7301491027170766E-3</v>
      </c>
      <c r="Z25" s="1156" t="n">
        <f t="shared" si="12"/>
        <v>6.9446663109324902E-3</v>
      </c>
      <c r="AA25" s="1156" t="n">
        <f t="shared" si="12"/>
        <v>6.7023012839417806E-3</v>
      </c>
      <c r="AB25" s="1156" t="n">
        <f t="shared" si="12"/>
        <v>6.5949786314196679E-3</v>
      </c>
      <c r="AC25" s="1156" t="n">
        <f t="shared" si="12"/>
        <v>6.8419370723198369E-3</v>
      </c>
      <c r="AD25" s="1156" t="n">
        <f t="shared" si="12"/>
        <v>6.764302704038716E-3</v>
      </c>
      <c r="AE25" s="1156" t="n">
        <f t="shared" si="12"/>
        <v>6.7975249786220715E-3</v>
      </c>
      <c r="AF25" s="1157" t="n">
        <f t="shared" si="12"/>
        <v>6.7159232896483179E-3</v>
      </c>
    </row>
    <row r="26">
      <c r="B26" s="1160" t="s">
        <v>1799</v>
      </c>
      <c r="C26" s="1159"/>
      <c r="D26" s="1156" t="n">
        <f t="shared" ref="D26:AF26" si="13">(D18+1)^0.25-1</f>
        <v>3.9851828444024129E-3</v>
      </c>
      <c r="E26" s="1156" t="n">
        <f t="shared" si="13"/>
        <v>-4.2141708050640325E-3</v>
      </c>
      <c r="F26" s="1156" t="n">
        <f t="shared" si="13"/>
        <v>6.3919082655803372E-3</v>
      </c>
      <c r="G26" s="1156" t="n">
        <f t="shared" si="13"/>
        <v>2.1461848510757608E-3</v>
      </c>
      <c r="H26" s="1156" t="n">
        <f t="shared" si="13"/>
        <v>4.2222376989240473E-3</v>
      </c>
      <c r="I26" s="1156" t="n">
        <f t="shared" si="13"/>
        <v>1.2431406205300366E-2</v>
      </c>
      <c r="J26" s="1156" t="n">
        <f t="shared" si="13"/>
        <v>-2.6544050279575515E-4</v>
      </c>
      <c r="K26" s="1156" t="n">
        <f t="shared" si="13"/>
        <v>8.5391757168795657E-3</v>
      </c>
      <c r="L26" s="1156" t="n">
        <f t="shared" si="13"/>
        <v>1.2645113075675285E-2</v>
      </c>
      <c r="M26" s="1156" t="n">
        <f t="shared" si="13"/>
        <v>2.2441757099008752E-2</v>
      </c>
      <c r="N26" s="1156" t="n">
        <f t="shared" si="13"/>
        <v>1.9562328778359062E-2</v>
      </c>
      <c r="O26" s="1156" t="n">
        <f t="shared" si="13"/>
        <v>1.5792056507083485E-2</v>
      </c>
      <c r="P26" s="1156" t="n">
        <f t="shared" si="13"/>
        <v>2.0401374875263389E-2</v>
      </c>
      <c r="Q26" s="1156" t="n">
        <f t="shared" si="13"/>
        <v>2.4394219276322904E-2</v>
      </c>
      <c r="R26" s="1156" t="n">
        <f t="shared" si="13"/>
        <v>3.6057127703905678E-2</v>
      </c>
      <c r="S26" s="1157" t="n">
        <f t="shared" si="13"/>
        <v>4.0806177967589452E-3</v>
      </c>
      <c r="T26" s="1156" t="n">
        <f t="shared" si="13"/>
        <v>8.52864488499816E-3</v>
      </c>
      <c r="U26" s="1156" t="n">
        <f t="shared" si="13"/>
        <v>8.5814151419392193E-3</v>
      </c>
      <c r="V26" s="1156" t="n">
        <f t="shared" si="13"/>
        <v>8.0131585685250251E-3</v>
      </c>
      <c r="W26" s="1156" t="n">
        <f t="shared" si="13"/>
        <v>8.630577055315225E-3</v>
      </c>
      <c r="X26" s="1156" t="n">
        <f t="shared" si="13"/>
        <v>8.4934420030498003E-3</v>
      </c>
      <c r="Y26" s="1156" t="n">
        <f t="shared" si="13"/>
        <v>7.7301491027170766E-3</v>
      </c>
      <c r="Z26" s="1156" t="n">
        <f t="shared" si="13"/>
        <v>6.9446663109324902E-3</v>
      </c>
      <c r="AA26" s="1156" t="n">
        <f t="shared" si="13"/>
        <v>6.7023012839417806E-3</v>
      </c>
      <c r="AB26" s="1156" t="n">
        <f t="shared" si="13"/>
        <v>6.5949786314196679E-3</v>
      </c>
      <c r="AC26" s="1156" t="n">
        <f t="shared" si="13"/>
        <v>6.8419370723198369E-3</v>
      </c>
      <c r="AD26" s="1156" t="n">
        <f t="shared" si="13"/>
        <v>6.764302704038716E-3</v>
      </c>
      <c r="AE26" s="1156" t="n">
        <f t="shared" si="13"/>
        <v>6.7975249786220715E-3</v>
      </c>
      <c r="AF26" s="1157" t="n">
        <f t="shared" si="13"/>
        <v>6.7159232896483179E-3</v>
      </c>
    </row>
    <row r="27">
      <c r="B27" s="1161" t="s">
        <v>1800</v>
      </c>
      <c r="C27" s="1162"/>
      <c r="D27" s="1163" t="n">
        <f t="shared" ref="D27:AF27" si="14">(D20+1)^0.25-1</f>
        <v>1.0317235016500392E-2</v>
      </c>
      <c r="E27" s="1163" t="n">
        <f t="shared" si="14"/>
        <v>3.9073818785286818E-3</v>
      </c>
      <c r="F27" s="1163" t="n">
        <f t="shared" si="14"/>
        <v>1.1798971416576265E-2</v>
      </c>
      <c r="G27" s="1163" t="n">
        <f t="shared" si="14"/>
        <v>4.7371651351562072E-3</v>
      </c>
      <c r="H27" s="1163" t="n">
        <f t="shared" si="14"/>
        <v>1.4712335131508159E-3</v>
      </c>
      <c r="I27" s="1163" t="n">
        <f t="shared" si="14"/>
        <v>2.5945017182129604E-3</v>
      </c>
      <c r="J27" s="1163" t="n">
        <f t="shared" si="14"/>
        <v>-1.9194186903395138E-3</v>
      </c>
      <c r="K27" s="1163" t="n">
        <f t="shared" si="14"/>
        <v>1.0182180325898571E-2</v>
      </c>
      <c r="L27" s="1163" t="n">
        <f t="shared" si="14"/>
        <v>4.5723415828120562E-3</v>
      </c>
      <c r="M27" s="1163" t="n">
        <f t="shared" si="14"/>
        <v>1.5668093602477118E-2</v>
      </c>
      <c r="N27" s="1163" t="n">
        <f t="shared" si="14"/>
        <v>2.5180335515684549E-2</v>
      </c>
      <c r="O27" s="1163" t="n">
        <f t="shared" si="14"/>
        <v>2.2628110857430661E-2</v>
      </c>
      <c r="P27" s="1163" t="n">
        <f t="shared" si="14"/>
        <v>2.9023851519918598E-2</v>
      </c>
      <c r="Q27" s="1163" t="n">
        <f t="shared" si="14"/>
        <v>3.0313091147743609E-2</v>
      </c>
      <c r="R27" s="1163" t="n">
        <f t="shared" si="14"/>
        <v>3.2838482925038104E-2</v>
      </c>
      <c r="S27" s="1164" t="n">
        <f t="shared" si="14"/>
        <v>2.2543407123629677E-2</v>
      </c>
      <c r="T27" s="1163" t="n">
        <f t="shared" si="14"/>
        <v>1.2914212729723928E-2</v>
      </c>
      <c r="U27" s="1163" t="n">
        <f t="shared" si="14"/>
        <v>8.5814151419392193E-3</v>
      </c>
      <c r="V27" s="1163" t="n">
        <f t="shared" si="14"/>
        <v>8.0131585685250251E-3</v>
      </c>
      <c r="W27" s="1163" t="n">
        <f t="shared" si="14"/>
        <v>8.630577055315225E-3</v>
      </c>
      <c r="X27" s="1163" t="n">
        <f t="shared" si="14"/>
        <v>8.4934420030498003E-3</v>
      </c>
      <c r="Y27" s="1163" t="n">
        <f t="shared" si="14"/>
        <v>7.7301491027170766E-3</v>
      </c>
      <c r="Z27" s="1163" t="n">
        <f t="shared" si="14"/>
        <v>6.9446663109324902E-3</v>
      </c>
      <c r="AA27" s="1163" t="n">
        <f t="shared" si="14"/>
        <v>6.7023012839417806E-3</v>
      </c>
      <c r="AB27" s="1163" t="n">
        <f t="shared" si="14"/>
        <v>6.5949786314196679E-3</v>
      </c>
      <c r="AC27" s="1163" t="n">
        <f t="shared" si="14"/>
        <v>6.8419370723198369E-3</v>
      </c>
      <c r="AD27" s="1163" t="n">
        <f t="shared" si="14"/>
        <v>6.764302704038716E-3</v>
      </c>
      <c r="AE27" s="1163" t="n">
        <f t="shared" si="14"/>
        <v>6.7975249786220715E-3</v>
      </c>
      <c r="AF27" s="1164" t="n">
        <f t="shared" si="14"/>
        <v>6.7159232896483179E-3</v>
      </c>
    </row>
    <row r="28">
      <c r="B28" s="63"/>
      <c r="C28" s="1124"/>
      <c r="D28" s="1165"/>
      <c r="E28" s="1165"/>
      <c r="F28" s="1165"/>
      <c r="G28" s="1165"/>
      <c r="H28" s="1165"/>
      <c r="I28" s="1165"/>
      <c r="J28" s="1165"/>
      <c r="K28" s="1165"/>
      <c r="L28" s="1165"/>
      <c r="M28" s="1165"/>
      <c r="N28" s="1165"/>
      <c r="O28" s="1165"/>
      <c r="P28" s="1165"/>
      <c r="Q28" s="1165"/>
      <c r="R28" s="1165"/>
      <c r="S28" s="1165"/>
      <c r="T28" s="1165"/>
      <c r="U28" s="1165"/>
      <c r="V28" s="1165"/>
      <c r="W28" s="1165"/>
      <c r="X28" s="1165"/>
      <c r="Y28" s="1165"/>
      <c r="Z28" s="1165"/>
      <c r="AA28" s="1165"/>
      <c r="AB28" s="1165"/>
      <c r="AC28" s="1165"/>
      <c r="AD28" s="1165"/>
      <c r="AE28" s="1165"/>
      <c r="AF28" s="1165"/>
    </row>
    <row r="29">
      <c r="B29" s="63"/>
      <c r="C29" s="1124"/>
      <c r="D29" s="1165"/>
      <c r="E29" s="1165"/>
      <c r="F29" s="1165"/>
      <c r="G29" s="1165"/>
      <c r="H29" s="1165"/>
      <c r="I29" s="1165"/>
      <c r="J29" s="1165"/>
      <c r="K29" s="1165"/>
      <c r="L29" s="1165"/>
      <c r="M29" s="1165"/>
      <c r="N29" s="1165"/>
      <c r="O29" s="1165"/>
      <c r="P29" s="1165"/>
      <c r="Q29" s="1165"/>
      <c r="R29" s="1165"/>
      <c r="S29" s="1165"/>
      <c r="T29" s="1165"/>
      <c r="U29" s="1165"/>
      <c r="V29" s="1165"/>
      <c r="W29" s="1165"/>
      <c r="X29" s="1165"/>
      <c r="Y29" s="1165"/>
      <c r="Z29" s="1165"/>
      <c r="AA29" s="1165"/>
      <c r="AB29" s="1165"/>
      <c r="AC29" s="1165"/>
      <c r="AD29" s="1165"/>
      <c r="AE29" s="1165"/>
      <c r="AF29" s="1165"/>
    </row>
    <row r="30">
      <c r="B30" s="63"/>
      <c r="C30" s="1124"/>
      <c r="D30" s="1165"/>
      <c r="E30" s="1165"/>
      <c r="F30" s="1165"/>
      <c r="G30" s="1165"/>
      <c r="H30" s="1165"/>
      <c r="I30" s="1165"/>
      <c r="J30" s="1165"/>
      <c r="K30" s="1165"/>
      <c r="L30" s="1165"/>
      <c r="M30" s="1165"/>
      <c r="N30" s="1165"/>
      <c r="O30" s="1165"/>
      <c r="P30" s="1165"/>
      <c r="Q30" s="1165"/>
      <c r="R30" s="1165"/>
      <c r="S30" s="1165"/>
      <c r="T30" s="1165"/>
      <c r="U30" s="1165"/>
      <c r="V30" s="1165"/>
      <c r="W30" s="1165"/>
      <c r="X30" s="1165"/>
      <c r="Y30" s="1165"/>
      <c r="Z30" s="1165"/>
      <c r="AA30" s="1165"/>
      <c r="AB30" s="1165"/>
      <c r="AC30" s="1165"/>
      <c r="AD30" s="1165"/>
      <c r="AE30" s="1165"/>
      <c r="AF30" s="1165"/>
    </row>
    <row r="31">
      <c r="B31" s="63"/>
      <c r="C31" s="1124"/>
      <c r="D31" s="1165"/>
      <c r="E31" s="1165"/>
      <c r="F31" s="1165"/>
      <c r="G31" s="1165"/>
      <c r="H31" s="1165"/>
      <c r="I31" s="1165"/>
      <c r="J31" s="1165"/>
      <c r="K31" s="1165"/>
      <c r="L31" s="1165"/>
      <c r="M31" s="1165"/>
      <c r="N31" s="1165"/>
      <c r="O31" s="1165"/>
      <c r="P31" s="1165"/>
      <c r="Q31" s="1165"/>
      <c r="R31" s="1165"/>
      <c r="S31" s="1165"/>
      <c r="T31" s="1165"/>
      <c r="U31" s="1165"/>
      <c r="V31" s="1165"/>
      <c r="W31" s="1165"/>
      <c r="X31" s="1165"/>
      <c r="Y31" s="1165"/>
      <c r="Z31" s="1165"/>
      <c r="AA31" s="1165"/>
      <c r="AB31" s="1165"/>
      <c r="AC31" s="1165"/>
      <c r="AD31" s="1165"/>
      <c r="AE31" s="1165"/>
      <c r="AF31" s="1165"/>
    </row>
    <row r="32">
      <c r="B32" s="63"/>
      <c r="C32" s="1124"/>
      <c r="D32" s="1165"/>
      <c r="E32" s="1165"/>
      <c r="F32" s="1165"/>
      <c r="G32" s="1165"/>
      <c r="H32" s="1165"/>
      <c r="I32" s="1165"/>
      <c r="J32" s="1165"/>
      <c r="K32" s="1165"/>
      <c r="L32" s="1165"/>
      <c r="M32" s="1165"/>
      <c r="N32" s="1165"/>
      <c r="O32" s="1165"/>
      <c r="P32" s="1165"/>
      <c r="Q32" s="1165"/>
      <c r="R32" s="1165"/>
      <c r="S32" s="1165"/>
      <c r="T32" s="1165"/>
      <c r="U32" s="1165"/>
      <c r="V32" s="1165"/>
      <c r="W32" s="1165"/>
      <c r="X32" s="1165"/>
      <c r="Y32" s="1165"/>
      <c r="Z32" s="1165"/>
      <c r="AA32" s="1165"/>
      <c r="AB32" s="1165"/>
      <c r="AC32" s="1165"/>
      <c r="AD32" s="1165"/>
      <c r="AE32" s="1165"/>
      <c r="AF32" s="1165"/>
    </row>
    <row r="33">
      <c r="B33" s="63"/>
      <c r="C33" s="1124"/>
      <c r="D33" s="1165"/>
      <c r="E33" s="1165"/>
      <c r="F33" s="1165"/>
      <c r="G33" s="1165"/>
      <c r="H33" s="1165"/>
      <c r="I33" s="1165"/>
      <c r="J33" s="1165"/>
      <c r="K33" s="1165"/>
      <c r="L33" s="1165"/>
      <c r="M33" s="1165"/>
      <c r="N33" s="1165"/>
      <c r="O33" s="1165"/>
      <c r="P33" s="1165"/>
      <c r="Q33" s="1165"/>
      <c r="R33" s="1165"/>
      <c r="S33" s="1165"/>
      <c r="T33" s="1165"/>
      <c r="U33" s="1165"/>
      <c r="V33" s="1165"/>
      <c r="W33" s="1165"/>
      <c r="X33" s="1165"/>
      <c r="Y33" s="1165"/>
      <c r="Z33" s="1165"/>
      <c r="AA33" s="1165"/>
      <c r="AB33" s="1165"/>
      <c r="AC33" s="1165"/>
      <c r="AD33" s="1165"/>
      <c r="AE33" s="1165"/>
      <c r="AF33" s="1165"/>
    </row>
    <row r="34">
      <c r="B34" s="1101" t="s">
        <v>1823</v>
      </c>
      <c r="C34" s="1101"/>
      <c r="D34" s="265"/>
      <c r="E34" s="265"/>
      <c r="F34" s="265"/>
      <c r="G34" s="265"/>
      <c r="H34" s="265"/>
      <c r="I34" s="265"/>
      <c r="J34" s="265"/>
      <c r="K34" s="265"/>
      <c r="L34" s="265"/>
      <c r="M34" s="265"/>
      <c r="N34" s="265"/>
      <c r="O34" s="265"/>
      <c r="P34" s="265"/>
      <c r="Q34" s="265"/>
      <c r="R34" s="265"/>
      <c r="S34" s="265"/>
      <c r="T34" s="265"/>
      <c r="U34" s="265"/>
      <c r="V34" s="265"/>
      <c r="W34" s="265"/>
      <c r="X34" s="265"/>
      <c r="Y34" s="265"/>
      <c r="Z34" s="265"/>
      <c r="AA34" s="265"/>
      <c r="AB34" s="265"/>
      <c r="AC34" s="265"/>
    </row>
    <row r="35">
      <c r="B35" s="237" t="s">
        <v>1795</v>
      </c>
      <c r="C35" s="238"/>
      <c r="D35" s="247" t="s">
        <v>1824</v>
      </c>
      <c r="E35" s="248"/>
      <c r="F35" s="248"/>
      <c r="G35" s="248"/>
      <c r="H35" s="248"/>
      <c r="I35" s="248"/>
      <c r="J35" s="248"/>
      <c r="K35" s="248"/>
      <c r="L35" s="248"/>
      <c r="M35" s="248"/>
      <c r="N35" s="248"/>
      <c r="O35" s="248"/>
      <c r="P35" s="248"/>
      <c r="Q35" s="332"/>
      <c r="R35" s="332"/>
      <c r="S35" s="332"/>
      <c r="T35" s="332"/>
      <c r="U35" s="251" t="s">
        <v>1876</v>
      </c>
      <c r="V35" s="251"/>
      <c r="W35" s="251"/>
      <c r="X35" s="251"/>
      <c r="Y35" s="251"/>
      <c r="Z35" s="251"/>
      <c r="AA35" s="251"/>
      <c r="AB35" s="251"/>
      <c r="AC35" s="251"/>
      <c r="AD35" s="251"/>
      <c r="AE35" s="251"/>
      <c r="AF35" s="252"/>
    </row>
    <row r="36">
      <c r="B36" s="239"/>
      <c r="C36" s="240"/>
      <c r="D36" s="204" t="n">
        <v>2018</v>
      </c>
      <c r="E36" s="204" t="n">
        <v>2019</v>
      </c>
      <c r="F36" s="217"/>
      <c r="G36" s="217"/>
      <c r="H36" s="200"/>
      <c r="I36" s="204" t="n">
        <v>2020</v>
      </c>
      <c r="J36" s="217"/>
      <c r="K36" s="217"/>
      <c r="L36" s="217"/>
      <c r="M36" s="204" t="n">
        <v>2021</v>
      </c>
      <c r="N36" s="217"/>
      <c r="O36" s="217"/>
      <c r="P36" s="217"/>
      <c r="Q36" s="198" t="n">
        <v>2022</v>
      </c>
      <c r="R36" s="199"/>
      <c r="S36" s="199"/>
      <c r="T36" s="236"/>
      <c r="U36" s="241" t="n">
        <v>2023</v>
      </c>
      <c r="V36" s="242"/>
      <c r="W36" s="242"/>
      <c r="X36" s="242"/>
      <c r="Y36" s="244" t="n">
        <v>2024</v>
      </c>
      <c r="Z36" s="242"/>
      <c r="AA36" s="242"/>
      <c r="AB36" s="243"/>
      <c r="AC36" s="244" t="n">
        <v>2025</v>
      </c>
      <c r="AD36" s="242"/>
      <c r="AE36" s="242"/>
      <c r="AF36" s="243"/>
    </row>
    <row r="37">
      <c r="B37" s="319"/>
      <c r="C37" s="320"/>
      <c r="D37" s="204" t="s">
        <v>327</v>
      </c>
      <c r="E37" s="204" t="s">
        <v>328</v>
      </c>
      <c r="F37" s="217" t="s">
        <v>329</v>
      </c>
      <c r="G37" s="217" t="s">
        <v>238</v>
      </c>
      <c r="H37" s="200" t="s">
        <v>327</v>
      </c>
      <c r="I37" s="217" t="s">
        <v>328</v>
      </c>
      <c r="J37" s="217" t="s">
        <v>329</v>
      </c>
      <c r="K37" s="217" t="s">
        <v>238</v>
      </c>
      <c r="L37" s="217" t="s">
        <v>327</v>
      </c>
      <c r="M37" s="204" t="s">
        <v>328</v>
      </c>
      <c r="N37" s="217" t="s">
        <v>329</v>
      </c>
      <c r="O37" s="217" t="s">
        <v>238</v>
      </c>
      <c r="P37" s="217" t="s">
        <v>327</v>
      </c>
      <c r="Q37" s="204" t="s">
        <v>328</v>
      </c>
      <c r="R37" s="217" t="s">
        <v>329</v>
      </c>
      <c r="S37" s="217" t="s">
        <v>238</v>
      </c>
      <c r="T37" s="200" t="s">
        <v>327</v>
      </c>
      <c r="U37" s="350" t="s">
        <v>328</v>
      </c>
      <c r="V37" s="350" t="s">
        <v>329</v>
      </c>
      <c r="W37" s="350" t="s">
        <v>238</v>
      </c>
      <c r="X37" s="350" t="s">
        <v>327</v>
      </c>
      <c r="Y37" s="418" t="s">
        <v>328</v>
      </c>
      <c r="Z37" s="283" t="s">
        <v>329</v>
      </c>
      <c r="AA37" s="350" t="s">
        <v>238</v>
      </c>
      <c r="AB37" s="348" t="s">
        <v>327</v>
      </c>
      <c r="AC37" s="443" t="s">
        <v>328</v>
      </c>
      <c r="AD37" s="350" t="s">
        <v>329</v>
      </c>
      <c r="AE37" s="350" t="s">
        <v>238</v>
      </c>
      <c r="AF37" s="348" t="s">
        <v>327</v>
      </c>
    </row>
    <row r="38">
      <c r="B38" s="1168" t="s">
        <v>1796</v>
      </c>
      <c r="C38" s="1123" t="s">
        <v>1784</v>
      </c>
      <c r="D38" s="1110" t="n">
        <f>('Haver Pivoted'!GO76+1)^4-1</f>
        <v>1.5156509117148609E-2</v>
      </c>
      <c r="E38" s="1166" t="n">
        <f>('Haver Pivoted'!GP76+1)^4-1</f>
        <v>8.3593342288621475E-3</v>
      </c>
      <c r="F38" s="1166" t="n">
        <f>('Haver Pivoted'!GQ76+1)^4-1</f>
        <v>2.4734353401225873E-2</v>
      </c>
      <c r="G38" s="1166" t="n">
        <f>('Haver Pivoted'!GR76+1)^4-1</f>
        <v>1.0490970472330163E-2</v>
      </c>
      <c r="H38" s="1166" t="n">
        <f>('Haver Pivoted'!GS76+1)^4-1</f>
        <v>1.4569048707785859E-2</v>
      </c>
      <c r="I38" s="1166" t="n">
        <f>('Haver Pivoted'!GT76+1)^4-1</f>
        <v>1.4662498774455912E-2</v>
      </c>
      <c r="J38" s="1166" t="n">
        <f>('Haver Pivoted'!GU76+1)^4-1</f>
        <v>-1.794085945788193E-2</v>
      </c>
      <c r="K38" s="1166" t="n">
        <f>('Haver Pivoted'!GV76+1)^4-1</f>
        <v>3.3775526155126689E-2</v>
      </c>
      <c r="L38" s="1166" t="n">
        <f>('Haver Pivoted'!GW76+1)^4-1</f>
        <v>1.6442937470855457E-2</v>
      </c>
      <c r="M38" s="1166" t="n">
        <f>('Haver Pivoted'!GX76+1)^4-1</f>
        <v>4.5025943450949013E-2</v>
      </c>
      <c r="N38" s="1166" t="n">
        <f>('Haver Pivoted'!GY76+1)^4-1</f>
        <v>6.444180274366329E-2</v>
      </c>
      <c r="O38" s="1166" t="n">
        <f>('Haver Pivoted'!GZ76+1)^4-1</f>
        <v>5.5998846943190017E-2</v>
      </c>
      <c r="P38" s="1166" t="n">
        <f>('Haver Pivoted'!HA76+1)^4-1</f>
        <v>6.1859650545573519E-2</v>
      </c>
      <c r="Q38" s="1166" t="n">
        <f>('Haver Pivoted'!HB76+1)^4-1</f>
        <v>7.4784916271317448E-2</v>
      </c>
      <c r="R38" s="1166" t="n">
        <f>('Haver Pivoted'!HC76+1)^4-1</f>
        <v>7.2922192171477107E-2</v>
      </c>
      <c r="S38" s="1111" t="n">
        <f>('Haver Pivoted'!HD76+1)^4-1</f>
        <v>4.3177876601944165E-2</v>
      </c>
      <c r="T38" s="1112" t="n">
        <f>('Haver Pivoted'!HE76+1)^4-1</f>
        <v>3.6959130883695179E-2</v>
      </c>
      <c r="U38" s="1127" t="n">
        <f t="shared" ref="U38:AF38" si="15">(U61/T61)^4-1</f>
        <v>3.5724460314211282E-2</v>
      </c>
      <c r="V38" s="1127" t="n">
        <f t="shared" si="15"/>
        <v>3.3692799617050628E-2</v>
      </c>
      <c r="W38" s="1127" t="n">
        <f t="shared" si="15"/>
        <v>3.3167790258204821E-2</v>
      </c>
      <c r="X38" s="1127" t="n">
        <f t="shared" si="15"/>
        <v>2.9707222134434552E-2</v>
      </c>
      <c r="Y38" s="1127" t="n">
        <f t="shared" si="15"/>
        <v>2.6454849931970781E-2</v>
      </c>
      <c r="Z38" s="1127" t="n">
        <f t="shared" si="15"/>
        <v>2.4178630417615032E-2</v>
      </c>
      <c r="AA38" s="1127" t="n">
        <f t="shared" si="15"/>
        <v>2.3052401549803703E-2</v>
      </c>
      <c r="AB38" s="1127" t="n">
        <f t="shared" si="15"/>
        <v>2.2407286089961342E-2</v>
      </c>
      <c r="AC38" s="1127" t="n">
        <f t="shared" si="15"/>
        <v>2.2473232090692186E-2</v>
      </c>
      <c r="AD38" s="1127" t="n">
        <f t="shared" si="15"/>
        <v>2.2071462401670683E-2</v>
      </c>
      <c r="AE38" s="1127" t="n">
        <f t="shared" si="15"/>
        <v>2.1752174739111618E-2</v>
      </c>
      <c r="AF38" s="1167" t="n">
        <f t="shared" si="15"/>
        <v>2.1591374086621817E-2</v>
      </c>
    </row>
    <row r="39">
      <c r="B39" s="75" t="s">
        <v>1797</v>
      </c>
      <c r="C39" s="1124" t="s">
        <v>1785</v>
      </c>
      <c r="D39" s="1128" t="n">
        <f>('Haver Pivoted'!GO77+1)^4-1</f>
        <v>2.9652502701153827E-2</v>
      </c>
      <c r="E39" s="1165" t="n">
        <f>('Haver Pivoted'!GP77+1)^4-1</f>
        <v>4.3357912415273203E-2</v>
      </c>
      <c r="F39" s="1165" t="n">
        <f>('Haver Pivoted'!GQ77+1)^4-1</f>
        <v>-2.634393397263235E-2</v>
      </c>
      <c r="G39" s="1165" t="n">
        <f>('Haver Pivoted'!GR77+1)^4-1</f>
        <v>1.0018821110834297E-2</v>
      </c>
      <c r="H39" s="1165" t="n">
        <f>('Haver Pivoted'!GS77+1)^4-1</f>
        <v>1.6245763277308534E-2</v>
      </c>
      <c r="I39" s="1165" t="n">
        <f>('Haver Pivoted'!GT77+1)^4-1</f>
        <v>1.3591255249431944E-2</v>
      </c>
      <c r="J39" s="1165" t="n">
        <f>('Haver Pivoted'!GU77+1)^4-1</f>
        <v>3.3104511883148557E-3</v>
      </c>
      <c r="K39" s="1165" t="n">
        <f>('Haver Pivoted'!GV77+1)^4-1</f>
        <v>2.5959727144998501E-2</v>
      </c>
      <c r="L39" s="1165" t="n">
        <f>('Haver Pivoted'!GW77+1)^4-1</f>
        <v>2.4447407360365325E-2</v>
      </c>
      <c r="M39" s="1165" t="n">
        <f>('Haver Pivoted'!GX77+1)^4-1</f>
        <v>4.0827649049088865E-2</v>
      </c>
      <c r="N39" s="1165" t="n">
        <f>('Haver Pivoted'!GY77+1)^4-1</f>
        <v>4.1247362410053112E-2</v>
      </c>
      <c r="O39" s="1165" t="n">
        <f>('Haver Pivoted'!GZ77+1)^4-1</f>
        <v>4.4017858095279694E-2</v>
      </c>
      <c r="P39" s="1165" t="n">
        <f>('Haver Pivoted'!HA77+1)^4-1</f>
        <v>4.3432299825096221E-2</v>
      </c>
      <c r="Q39" s="1165" t="n">
        <f>('Haver Pivoted'!HB77+1)^4-1</f>
        <v>5.6798579453040565E-2</v>
      </c>
      <c r="R39" s="1165" t="n">
        <f>('Haver Pivoted'!HC77+1)^4-1</f>
        <v>5.9959109255099508E-2</v>
      </c>
      <c r="S39" s="1109" t="n">
        <f>('Haver Pivoted'!HD77+1)^4-1</f>
        <v>4.8205722331254197E-2</v>
      </c>
      <c r="T39" s="1113" t="n">
        <f>('Haver Pivoted'!HE77+1)^4-1</f>
        <v>3.084492349222212E-2</v>
      </c>
      <c r="U39" s="1165" t="n">
        <f t="shared" ref="U39:AF39" si="16">(U62/T62)^4-1</f>
        <v>2.5929771595060602E-2</v>
      </c>
      <c r="V39" s="1165" t="n">
        <f t="shared" si="16"/>
        <v>2.3505953506363975E-2</v>
      </c>
      <c r="W39" s="1165" t="n">
        <f t="shared" si="16"/>
        <v>2.5343185973087934E-2</v>
      </c>
      <c r="X39" s="1165" t="n">
        <f t="shared" si="16"/>
        <v>2.5512101094298911E-2</v>
      </c>
      <c r="Y39" s="1165" t="n">
        <f t="shared" si="16"/>
        <v>2.940897202642212E-2</v>
      </c>
      <c r="Z39" s="1165" t="n">
        <f t="shared" si="16"/>
        <v>2.823164052632654E-2</v>
      </c>
      <c r="AA39" s="1165" t="n">
        <f t="shared" si="16"/>
        <v>2.7484808362226332E-2</v>
      </c>
      <c r="AB39" s="1165" t="n">
        <f t="shared" si="16"/>
        <v>2.6738284169484539E-2</v>
      </c>
      <c r="AC39" s="1165" t="n">
        <f t="shared" si="16"/>
        <v>2.4037894596453224E-2</v>
      </c>
      <c r="AD39" s="1165" t="n">
        <f t="shared" si="16"/>
        <v>2.4492235467838519E-2</v>
      </c>
      <c r="AE39" s="1165" t="n">
        <f t="shared" si="16"/>
        <v>2.4419305134427693E-2</v>
      </c>
      <c r="AF39" s="1129" t="n">
        <f t="shared" si="16"/>
        <v>2.4121029556380291E-2</v>
      </c>
    </row>
    <row r="40">
      <c r="B40" s="75" t="s">
        <v>1798</v>
      </c>
      <c r="C40" s="1124" t="s">
        <v>1786</v>
      </c>
      <c r="D40" s="1128" t="n">
        <f>('Haver Pivoted'!GO78+1)^4-1</f>
        <v>2.0739486303195998E-2</v>
      </c>
      <c r="E40" s="1165" t="n">
        <f>('Haver Pivoted'!GP78+1)^4-1</f>
        <v>-1.0909955372547464E-2</v>
      </c>
      <c r="F40" s="1165" t="n">
        <f>('Haver Pivoted'!GQ78+1)^4-1</f>
        <v>2.9915559028399707E-2</v>
      </c>
      <c r="G40" s="1165" t="n">
        <f>('Haver Pivoted'!GR78+1)^4-1</f>
        <v>1.0527559706478895E-2</v>
      </c>
      <c r="H40" s="1165" t="n">
        <f>('Haver Pivoted'!GS78+1)^4-1</f>
        <v>1.4919704890896002E-2</v>
      </c>
      <c r="I40" s="1165" t="n">
        <f>('Haver Pivoted'!GT78+1)^4-1</f>
        <v>4.3158369252632278E-2</v>
      </c>
      <c r="J40" s="1165" t="n">
        <f>('Haver Pivoted'!GU78+1)^4-1</f>
        <v>-2.2930962354547058E-3</v>
      </c>
      <c r="K40" s="1165" t="n">
        <f>('Haver Pivoted'!GV78+1)^4-1</f>
        <v>3.587837095953339E-2</v>
      </c>
      <c r="L40" s="1165" t="n">
        <f>('Haver Pivoted'!GW78+1)^4-1</f>
        <v>4.5534894387470937E-2</v>
      </c>
      <c r="M40" s="1165" t="n">
        <f>('Haver Pivoted'!GX78+1)^4-1</f>
        <v>8.7714323909891423E-2</v>
      </c>
      <c r="N40" s="1165" t="n">
        <f>('Haver Pivoted'!GY78+1)^4-1</f>
        <v>8.4888593948209357E-2</v>
      </c>
      <c r="O40" s="1165" t="n">
        <f>('Haver Pivoted'!GZ78+1)^4-1</f>
        <v>6.9703587118332688E-2</v>
      </c>
      <c r="P40" s="1165" t="n">
        <f>('Haver Pivoted'!HA78+1)^4-1</f>
        <v>9.0463399615994478E-2</v>
      </c>
      <c r="Q40" s="1165" t="n">
        <f>('Haver Pivoted'!HB78+1)^4-1</f>
        <v>0.10558682780244433</v>
      </c>
      <c r="R40" s="1165" t="n">
        <f>('Haver Pivoted'!HC78+1)^4-1</f>
        <v>0.14979890704557142</v>
      </c>
      <c r="S40" s="1109" t="n">
        <f>('Haver Pivoted'!HD78+1)^4-1</f>
        <v>2.9055945911607095E-2</v>
      </c>
      <c r="T40" s="1113" t="n">
        <f>('Haver Pivoted'!HE78+1)^4-1</f>
        <v>3.7674447238076336E-2</v>
      </c>
      <c r="U40" s="1165" t="n">
        <f t="shared" ref="U40:AF40" si="17">(U63/T63)^4-1</f>
        <v>3.4770037870923476E-2</v>
      </c>
      <c r="V40" s="1165" t="n">
        <f t="shared" si="17"/>
        <v>3.2439960780993538E-2</v>
      </c>
      <c r="W40" s="1165" t="n">
        <f t="shared" si="17"/>
        <v>3.4971806389749727E-2</v>
      </c>
      <c r="X40" s="1165" t="n">
        <f t="shared" si="17"/>
        <v>3.4409055377128128E-2</v>
      </c>
      <c r="Y40" s="1165" t="n">
        <f t="shared" si="17"/>
        <v>3.1280978879036248E-2</v>
      </c>
      <c r="Z40" s="1165" t="n">
        <f t="shared" si="17"/>
        <v>2.8069377631034564E-2</v>
      </c>
      <c r="AA40" s="1165" t="n">
        <f t="shared" si="17"/>
        <v>2.7079936500734814E-2</v>
      </c>
      <c r="AB40" s="1165" t="n">
        <f t="shared" si="17"/>
        <v>2.6642026237504224E-2</v>
      </c>
      <c r="AC40" s="1165" t="n">
        <f t="shared" si="17"/>
        <v>2.7649904239910983E-2</v>
      </c>
      <c r="AD40" s="1165" t="n">
        <f t="shared" si="17"/>
        <v>2.7332985680263322E-2</v>
      </c>
      <c r="AE40" s="1165" t="n">
        <f t="shared" si="17"/>
        <v>2.7468596479684804E-2</v>
      </c>
      <c r="AF40" s="1129" t="n">
        <f t="shared" si="17"/>
        <v>2.7135528596684111E-2</v>
      </c>
    </row>
    <row r="41">
      <c r="B41" s="75" t="s">
        <v>1799</v>
      </c>
      <c r="C41" s="1124" t="s">
        <v>1787</v>
      </c>
      <c r="D41" s="1128" t="n">
        <f>('Haver Pivoted'!GO79+1)^4-1</f>
        <v>1.6036274889288604E-2</v>
      </c>
      <c r="E41" s="1165" t="n">
        <f>('Haver Pivoted'!GP79+1)^4-1</f>
        <v>-1.6750426853228473E-2</v>
      </c>
      <c r="F41" s="1165" t="n">
        <f>('Haver Pivoted'!GQ79+1)^4-1</f>
        <v>2.5813818283004775E-2</v>
      </c>
      <c r="G41" s="1165" t="n">
        <f>('Haver Pivoted'!GR79+1)^4-1</f>
        <v>8.6124156242581851E-3</v>
      </c>
      <c r="H41" s="1165" t="n">
        <f>('Haver Pivoted'!GS79+1)^4-1</f>
        <v>1.6996215944869331E-2</v>
      </c>
      <c r="I41" s="1165" t="n">
        <f>('Haver Pivoted'!GT79+1)^4-1</f>
        <v>5.0660572456327158E-2</v>
      </c>
      <c r="J41" s="1165" t="n">
        <f>('Haver Pivoted'!GU79+1)^4-1</f>
        <v>-1.0613393340251909E-3</v>
      </c>
      <c r="K41" s="1165" t="n">
        <f>('Haver Pivoted'!GV79+1)^4-1</f>
        <v>3.4596703938156059E-2</v>
      </c>
      <c r="L41" s="1165" t="n">
        <f>('Haver Pivoted'!GW79+1)^4-1</f>
        <v>5.1547958936444926E-2</v>
      </c>
      <c r="M41" s="1165" t="n">
        <f>('Haver Pivoted'!GX79+1)^4-1</f>
        <v>9.2834286401326738E-2</v>
      </c>
      <c r="N41" s="1165" t="n">
        <f>('Haver Pivoted'!GY79+1)^4-1</f>
        <v>8.057551462066237E-2</v>
      </c>
      <c r="O41" s="1165" t="n">
        <f>('Haver Pivoted'!GZ79+1)^4-1</f>
        <v>6.4680375979367932E-2</v>
      </c>
      <c r="P41" s="1165" t="n">
        <f>('Haver Pivoted'!HA79+1)^4-1</f>
        <v>8.4136934840179034E-2</v>
      </c>
      <c r="Q41" s="1165" t="n">
        <f>('Haver Pivoted'!HB79+1)^4-1</f>
        <v>0.10120576467409093</v>
      </c>
      <c r="R41" s="1165" t="n">
        <f>('Haver Pivoted'!HC79+1)^4-1</f>
        <v>0.15221841372862355</v>
      </c>
      <c r="S41" s="1109" t="n">
        <f>('Haver Pivoted'!HD79+1)^4-1</f>
        <v>1.6422651906601304E-2</v>
      </c>
      <c r="T41" s="1113" t="n">
        <f>('Haver Pivoted'!HE79+1)^4-1</f>
        <v>3.4553492951127307E-2</v>
      </c>
      <c r="U41" s="1165" t="n">
        <f t="shared" ref="U41:AF42" si="18">U40</f>
        <v>3.4770037870923476E-2</v>
      </c>
      <c r="V41" s="1165" t="n">
        <f t="shared" si="18"/>
        <v>3.2439960780993538E-2</v>
      </c>
      <c r="W41" s="1165" t="n">
        <f t="shared" si="18"/>
        <v>3.4971806389749727E-2</v>
      </c>
      <c r="X41" s="1165" t="n">
        <f t="shared" si="18"/>
        <v>3.4409055377128128E-2</v>
      </c>
      <c r="Y41" s="1165" t="n">
        <f t="shared" si="18"/>
        <v>3.1280978879036248E-2</v>
      </c>
      <c r="Z41" s="1165" t="n">
        <f t="shared" si="18"/>
        <v>2.8069377631034564E-2</v>
      </c>
      <c r="AA41" s="1165" t="n">
        <f t="shared" si="18"/>
        <v>2.7079936500734814E-2</v>
      </c>
      <c r="AB41" s="1165" t="n">
        <f t="shared" si="18"/>
        <v>2.6642026237504224E-2</v>
      </c>
      <c r="AC41" s="1165" t="n">
        <f t="shared" si="18"/>
        <v>2.7649904239910983E-2</v>
      </c>
      <c r="AD41" s="1165" t="n">
        <f t="shared" si="18"/>
        <v>2.7332985680263322E-2</v>
      </c>
      <c r="AE41" s="1165" t="n">
        <f t="shared" si="18"/>
        <v>2.7468596479684804E-2</v>
      </c>
      <c r="AF41" s="1129" t="n">
        <f t="shared" si="18"/>
        <v>2.7135528596684111E-2</v>
      </c>
    </row>
    <row r="42">
      <c r="B42" s="210" t="s">
        <v>1800</v>
      </c>
      <c r="C42" s="1125" t="s">
        <v>1788</v>
      </c>
      <c r="D42" s="1130" t="n">
        <f>('Haver Pivoted'!GO80+1)^4-1</f>
        <v>4.1912016313215839E-2</v>
      </c>
      <c r="E42" s="1131" t="n">
        <f>('Haver Pivoted'!GP80+1)^4-1</f>
        <v>1.5721372171975556E-2</v>
      </c>
      <c r="F42" s="1131" t="n">
        <f>('Haver Pivoted'!GQ80+1)^4-1</f>
        <v>4.8037769815769016E-2</v>
      </c>
      <c r="G42" s="1131" t="n">
        <f>('Haver Pivoted'!GR80+1)^4-1</f>
        <v>1.9083730667159404E-2</v>
      </c>
      <c r="H42" s="1131" t="n">
        <f>('Haver Pivoted'!GS80+1)^4-1</f>
        <v>5.8979339636944239E-3</v>
      </c>
      <c r="I42" s="1131" t="n">
        <f>('Haver Pivoted'!GT80+1)^4-1</f>
        <v>1.0418465412080913E-2</v>
      </c>
      <c r="J42" s="1131" t="n">
        <f>('Haver Pivoted'!GU80+1)^4-1</f>
        <v>-7.6555980249765065E-3</v>
      </c>
      <c r="K42" s="1131" t="n">
        <f>('Haver Pivoted'!GV80+1)^4-1</f>
        <v>4.135501545294451E-2</v>
      </c>
      <c r="L42" s="1131" t="n">
        <f>('Haver Pivoted'!GW80+1)^4-1</f>
        <v>1.8415186976738607E-2</v>
      </c>
      <c r="M42" s="1131" t="n">
        <f>('Haver Pivoted'!GX80+1)^4-1</f>
        <v>6.4160755006020143E-2</v>
      </c>
      <c r="N42" s="1131" t="n">
        <f>('Haver Pivoted'!GY80+1)^4-1</f>
        <v>0.10458990215743946</v>
      </c>
      <c r="O42" s="1131" t="n">
        <f>('Haver Pivoted'!GZ80+1)^4-1</f>
        <v>9.3631239224950313E-2</v>
      </c>
      <c r="P42" s="1131" t="n">
        <f>('Haver Pivoted'!HA80+1)^4-1</f>
        <v>0.12124821634027616</v>
      </c>
      <c r="Q42" s="1131" t="n">
        <f>('Haver Pivoted'!HB80+1)^4-1</f>
        <v>0.12687792670398412</v>
      </c>
      <c r="R42" s="1131" t="n">
        <f>('Haver Pivoted'!HC80+1)^4-1</f>
        <v>0.13796693794697101</v>
      </c>
      <c r="S42" s="1108" t="n">
        <f>('Haver Pivoted'!HD80+1)^4-1</f>
        <v>9.3268944702830758E-2</v>
      </c>
      <c r="T42" s="1114" t="n">
        <f>('Haver Pivoted'!HE80+1)^4-1</f>
        <v>5.2666155244963875E-2</v>
      </c>
      <c r="U42" s="1131" t="n">
        <f t="shared" si="18"/>
        <v>3.4770037870923476E-2</v>
      </c>
      <c r="V42" s="1131" t="n">
        <f t="shared" si="18"/>
        <v>3.2439960780993538E-2</v>
      </c>
      <c r="W42" s="1131" t="n">
        <f t="shared" si="18"/>
        <v>3.4971806389749727E-2</v>
      </c>
      <c r="X42" s="1131" t="n">
        <f t="shared" si="18"/>
        <v>3.4409055377128128E-2</v>
      </c>
      <c r="Y42" s="1131" t="n">
        <f t="shared" si="18"/>
        <v>3.1280978879036248E-2</v>
      </c>
      <c r="Z42" s="1131" t="n">
        <f t="shared" si="18"/>
        <v>2.8069377631034564E-2</v>
      </c>
      <c r="AA42" s="1131" t="n">
        <f t="shared" si="18"/>
        <v>2.7079936500734814E-2</v>
      </c>
      <c r="AB42" s="1131" t="n">
        <f t="shared" si="18"/>
        <v>2.6642026237504224E-2</v>
      </c>
      <c r="AC42" s="1131" t="n">
        <f t="shared" si="18"/>
        <v>2.7649904239910983E-2</v>
      </c>
      <c r="AD42" s="1131" t="n">
        <f t="shared" si="18"/>
        <v>2.7332985680263322E-2</v>
      </c>
      <c r="AE42" s="1131" t="n">
        <f t="shared" si="18"/>
        <v>2.7468596479684804E-2</v>
      </c>
      <c r="AF42" s="1132" t="n">
        <f t="shared" si="18"/>
        <v>2.7135528596684111E-2</v>
      </c>
    </row>
    <row r="43">
      <c r="B43" s="63"/>
      <c r="C43" s="1124"/>
      <c r="D43" s="1165"/>
      <c r="E43" s="1165"/>
      <c r="F43" s="1165"/>
      <c r="G43" s="1165"/>
      <c r="H43" s="1165"/>
      <c r="I43" s="1165"/>
      <c r="J43" s="1165"/>
      <c r="K43" s="1165"/>
      <c r="L43" s="1165"/>
      <c r="M43" s="1165"/>
      <c r="N43" s="1165"/>
      <c r="O43" s="1165"/>
      <c r="P43" s="1165"/>
      <c r="Q43" s="1165"/>
      <c r="R43" s="1165"/>
      <c r="S43" s="1165"/>
      <c r="T43" s="1165"/>
      <c r="U43" s="1165"/>
      <c r="V43" s="1165"/>
      <c r="W43" s="1165"/>
      <c r="X43" s="1165"/>
      <c r="Y43" s="1165"/>
      <c r="Z43" s="1165"/>
      <c r="AA43" s="1165"/>
      <c r="AB43" s="1165"/>
      <c r="AC43" s="1165"/>
      <c r="AD43" s="1165"/>
      <c r="AE43" s="1165"/>
      <c r="AF43" s="1165"/>
    </row>
    <row r="44" ht="14.45" customHeight="1">
      <c r="B44" s="746" t="s">
        <v>1825</v>
      </c>
      <c r="C44" s="746"/>
      <c r="D44" s="746"/>
      <c r="E44" s="746"/>
      <c r="F44" s="265"/>
      <c r="G44" s="265"/>
      <c r="H44" s="265"/>
      <c r="I44" s="265"/>
      <c r="J44" s="265"/>
      <c r="K44" s="265"/>
      <c r="L44" s="265"/>
      <c r="M44" s="265"/>
      <c r="N44" s="265"/>
      <c r="O44" s="265"/>
      <c r="P44" s="265"/>
      <c r="Q44" s="265"/>
      <c r="R44" s="265"/>
      <c r="S44" s="265"/>
      <c r="T44" s="265"/>
      <c r="U44" s="265"/>
      <c r="V44" s="265"/>
      <c r="W44" s="265"/>
      <c r="X44" s="265"/>
      <c r="Y44" s="265"/>
      <c r="Z44" s="265"/>
      <c r="AA44" s="265"/>
      <c r="AB44" s="265"/>
      <c r="AC44" s="265"/>
    </row>
    <row r="45" ht="30" customHeight="1">
      <c r="B45" s="1150" t="s">
        <v>1801</v>
      </c>
      <c r="C45" s="1105"/>
      <c r="D45" s="198" t="n">
        <v>2018</v>
      </c>
      <c r="E45" s="198" t="n">
        <v>2019</v>
      </c>
      <c r="F45" s="199"/>
      <c r="G45" s="199"/>
      <c r="H45" s="236"/>
      <c r="I45" s="198" t="n">
        <v>2020</v>
      </c>
      <c r="J45" s="199"/>
      <c r="K45" s="199"/>
      <c r="L45" s="199"/>
      <c r="M45" s="198" t="n">
        <v>2021</v>
      </c>
      <c r="N45" s="199"/>
      <c r="O45" s="199"/>
      <c r="P45" s="199"/>
      <c r="Q45" s="245" t="n">
        <v>2022</v>
      </c>
      <c r="R45" s="246"/>
      <c r="S45" s="263"/>
      <c r="T45" s="276"/>
      <c r="U45" s="241" t="n">
        <v>2023</v>
      </c>
      <c r="V45" s="242"/>
      <c r="W45" s="242"/>
      <c r="X45" s="242"/>
      <c r="Y45" s="244" t="n">
        <v>2024</v>
      </c>
      <c r="Z45" s="242"/>
      <c r="AA45" s="242"/>
      <c r="AB45" s="243"/>
      <c r="AC45" s="244" t="n">
        <v>2025</v>
      </c>
      <c r="AD45" s="242"/>
      <c r="AE45" s="242"/>
      <c r="AF45" s="243"/>
    </row>
    <row r="46">
      <c r="B46" s="1133"/>
      <c r="C46" s="268"/>
      <c r="D46" s="204" t="s">
        <v>327</v>
      </c>
      <c r="E46" s="204" t="s">
        <v>328</v>
      </c>
      <c r="F46" s="217" t="s">
        <v>329</v>
      </c>
      <c r="G46" s="217" t="s">
        <v>238</v>
      </c>
      <c r="H46" s="200" t="s">
        <v>327</v>
      </c>
      <c r="I46" s="217" t="s">
        <v>328</v>
      </c>
      <c r="J46" s="217" t="s">
        <v>329</v>
      </c>
      <c r="K46" s="217" t="s">
        <v>238</v>
      </c>
      <c r="L46" s="217" t="s">
        <v>327</v>
      </c>
      <c r="M46" s="204" t="s">
        <v>328</v>
      </c>
      <c r="N46" s="217" t="s">
        <v>329</v>
      </c>
      <c r="O46" s="217" t="s">
        <v>238</v>
      </c>
      <c r="P46" s="217" t="s">
        <v>327</v>
      </c>
      <c r="Q46" s="204" t="s">
        <v>328</v>
      </c>
      <c r="R46" s="217" t="s">
        <v>329</v>
      </c>
      <c r="S46" s="217" t="s">
        <v>238</v>
      </c>
      <c r="T46" s="200" t="s">
        <v>327</v>
      </c>
      <c r="U46" s="304" t="s">
        <v>328</v>
      </c>
      <c r="V46" s="304" t="s">
        <v>329</v>
      </c>
      <c r="W46" s="304" t="s">
        <v>238</v>
      </c>
      <c r="X46" s="304" t="s">
        <v>327</v>
      </c>
      <c r="Y46" s="303" t="s">
        <v>328</v>
      </c>
      <c r="Z46" s="299" t="s">
        <v>329</v>
      </c>
      <c r="AA46" s="304" t="s">
        <v>238</v>
      </c>
      <c r="AB46" s="305" t="s">
        <v>327</v>
      </c>
      <c r="AC46" s="306" t="s">
        <v>328</v>
      </c>
      <c r="AD46" s="304" t="s">
        <v>329</v>
      </c>
      <c r="AE46" s="304" t="s">
        <v>238</v>
      </c>
      <c r="AF46" s="305" t="s">
        <v>327</v>
      </c>
    </row>
    <row r="47">
      <c r="B47" s="1133"/>
      <c r="C47" s="268"/>
      <c r="D47" s="729"/>
      <c r="E47" s="730"/>
      <c r="F47" s="730"/>
      <c r="G47" s="730"/>
      <c r="H47" s="730"/>
      <c r="I47" s="730"/>
      <c r="J47" s="730"/>
      <c r="K47" s="730"/>
      <c r="L47" s="730"/>
      <c r="M47" s="730"/>
      <c r="N47" s="730"/>
      <c r="O47" s="730"/>
      <c r="P47" s="730"/>
      <c r="Q47" s="730"/>
      <c r="R47" s="730"/>
      <c r="S47" s="730"/>
      <c r="T47" s="728"/>
      <c r="U47" s="350"/>
      <c r="V47" s="350"/>
      <c r="W47" s="350"/>
      <c r="X47" s="350"/>
      <c r="Y47" s="350"/>
      <c r="Z47" s="283"/>
      <c r="AA47" s="350"/>
      <c r="AB47" s="350"/>
      <c r="AC47" s="350"/>
      <c r="AD47" s="350"/>
      <c r="AE47" s="350"/>
      <c r="AF47" s="348"/>
    </row>
    <row r="48" ht="26.25" customHeight="1">
      <c r="B48" s="1134" t="s">
        <v>1802</v>
      </c>
      <c r="C48" s="63" t="s">
        <v>1805</v>
      </c>
      <c r="D48" s="914"/>
      <c r="E48" s="1117"/>
      <c r="F48" s="1117"/>
      <c r="G48" s="1117"/>
      <c r="H48" s="1117"/>
      <c r="I48" s="1117"/>
      <c r="J48" s="1117"/>
      <c r="K48" s="1117"/>
      <c r="L48" s="1117"/>
      <c r="M48" s="1117"/>
      <c r="N48" s="1117"/>
      <c r="O48" s="1117"/>
      <c r="P48" s="1117"/>
      <c r="Q48" s="1117"/>
      <c r="R48" s="1117"/>
      <c r="S48" s="1118" t="n">
        <v>17251.3</v>
      </c>
      <c r="T48" s="1119" t="n">
        <v>17488.099999999999</v>
      </c>
      <c r="U48" s="1137" t="n">
        <v>17692.3</v>
      </c>
      <c r="V48" s="1137" t="n">
        <v>17892.599999999999</v>
      </c>
      <c r="W48" s="1137" t="n">
        <v>18086.3</v>
      </c>
      <c r="X48" s="1137" t="n">
        <v>18268.2</v>
      </c>
      <c r="Y48" s="1137" t="n">
        <v>18446.3</v>
      </c>
      <c r="Z48" s="1138" t="n">
        <v>18612.400000000001</v>
      </c>
      <c r="AA48" s="1138" t="n">
        <v>18774.5</v>
      </c>
      <c r="AB48" s="1138" t="n">
        <v>18946.900000000001</v>
      </c>
      <c r="AC48" s="1138" t="n">
        <v>19117.900000000001</v>
      </c>
      <c r="AD48" s="1138" t="n">
        <v>19292.7</v>
      </c>
      <c r="AE48" s="1138" t="n">
        <v>19460.400000000001</v>
      </c>
      <c r="AF48" s="1139" t="n">
        <v>19646.400000000001</v>
      </c>
      <c r="AG48" s="1138"/>
      <c r="AH48" s="1138"/>
      <c r="AI48" s="1138"/>
      <c r="AJ48" s="1138"/>
      <c r="AK48" s="1138"/>
      <c r="AL48" s="1138"/>
      <c r="AM48" s="1138"/>
      <c r="AN48" s="1138"/>
      <c r="AO48" s="1138"/>
    </row>
    <row r="49" ht="28.5" customHeight="1">
      <c r="B49" s="541" t="s">
        <v>1910</v>
      </c>
      <c r="C49" s="268"/>
      <c r="D49" s="264"/>
      <c r="E49" s="264"/>
      <c r="F49" s="264"/>
      <c r="G49" s="264"/>
      <c r="H49" s="264"/>
      <c r="I49" s="264"/>
      <c r="J49" s="264"/>
      <c r="K49" s="264"/>
      <c r="L49" s="264"/>
      <c r="M49" s="264"/>
      <c r="N49" s="264"/>
      <c r="O49" s="264"/>
      <c r="P49" s="264"/>
      <c r="Q49" s="264"/>
      <c r="R49" s="264"/>
      <c r="S49" s="1106" t="n">
        <v>17517.099999999999</v>
      </c>
      <c r="T49" s="1106" t="n">
        <v>17851.099999999999</v>
      </c>
      <c r="U49" s="1106" t="n">
        <v>18063.900000000001</v>
      </c>
      <c r="V49" s="1106" t="n">
        <v>18252.3</v>
      </c>
      <c r="W49" s="1106" t="n">
        <v>18452.8</v>
      </c>
      <c r="X49" s="1106" t="n">
        <v>18649.400000000001</v>
      </c>
      <c r="Y49" s="1106" t="n">
        <v>18836.5</v>
      </c>
      <c r="Z49" s="1106" t="n">
        <v>19019.400000000001</v>
      </c>
      <c r="AA49" s="1106" t="n">
        <v>19200.900000000001</v>
      </c>
      <c r="AB49" s="1106" t="n">
        <v>19391.900000000001</v>
      </c>
      <c r="AC49" s="1106" t="n">
        <v>19588.599999999999</v>
      </c>
      <c r="AD49" s="1106" t="n">
        <v>19779.599999999999</v>
      </c>
      <c r="AE49" s="1106" t="n">
        <v>19973.5</v>
      </c>
      <c r="AF49" s="1106" t="n">
        <v>20163.8</v>
      </c>
    </row>
    <row r="50" ht="26.25" customHeight="1">
      <c r="B50" s="1134" t="s">
        <v>1803</v>
      </c>
      <c r="C50" s="63" t="s">
        <v>1806</v>
      </c>
      <c r="D50" s="75"/>
      <c r="E50" s="63"/>
      <c r="F50" s="63"/>
      <c r="G50" s="63"/>
      <c r="H50" s="63"/>
      <c r="I50" s="63"/>
      <c r="J50" s="63"/>
      <c r="K50" s="63"/>
      <c r="L50" s="63"/>
      <c r="M50" s="63"/>
      <c r="N50" s="63"/>
      <c r="O50" s="63"/>
      <c r="P50" s="63"/>
      <c r="Q50" s="63"/>
      <c r="R50" s="63"/>
      <c r="S50" s="220" t="n">
        <v>1607.9</v>
      </c>
      <c r="T50" s="1120" t="n">
        <v>1622.9</v>
      </c>
      <c r="U50" s="1140" t="n">
        <v>1639</v>
      </c>
      <c r="V50" s="1140" t="n">
        <v>1653.9</v>
      </c>
      <c r="W50" s="1140" t="n">
        <v>1667.4</v>
      </c>
      <c r="X50" s="1140" t="n">
        <v>1679.6</v>
      </c>
      <c r="Y50" s="1140" t="n">
        <v>1693.3</v>
      </c>
      <c r="Z50" s="1141" t="n">
        <v>1706.4</v>
      </c>
      <c r="AA50" s="1141" t="n">
        <v>1719.6</v>
      </c>
      <c r="AB50" s="1141" t="n">
        <v>1732.8</v>
      </c>
      <c r="AC50" s="1141" t="n">
        <v>1743.7</v>
      </c>
      <c r="AD50" s="1141" t="n">
        <v>1755</v>
      </c>
      <c r="AE50" s="1141" t="n">
        <v>1766.6</v>
      </c>
      <c r="AF50" s="1142" t="n">
        <v>1778.5</v>
      </c>
      <c r="AG50" s="1141"/>
      <c r="AH50" s="1141"/>
      <c r="AI50" s="1141"/>
      <c r="AJ50" s="1141"/>
      <c r="AK50" s="1141"/>
      <c r="AL50" s="1141"/>
      <c r="AM50" s="1141"/>
      <c r="AN50" s="1141"/>
      <c r="AO50" s="1141"/>
    </row>
    <row r="51" ht="26.25" customHeight="1">
      <c r="B51" s="1134" t="s">
        <v>1911</v>
      </c>
      <c r="C51" s="63"/>
      <c r="D51" s="75"/>
      <c r="E51" s="63"/>
      <c r="F51" s="63"/>
      <c r="G51" s="63"/>
      <c r="H51" s="63"/>
      <c r="I51" s="63"/>
      <c r="J51" s="63"/>
      <c r="K51" s="63"/>
      <c r="L51" s="63"/>
      <c r="M51" s="63"/>
      <c r="N51" s="63"/>
      <c r="O51" s="63"/>
      <c r="P51" s="63"/>
      <c r="Q51" s="63"/>
      <c r="R51" s="63"/>
      <c r="S51" s="1106" t="n">
        <v>1656.9</v>
      </c>
      <c r="T51" s="1106" t="n">
        <v>1665.8</v>
      </c>
      <c r="U51" s="1106" t="n">
        <v>1683.2</v>
      </c>
      <c r="V51" s="1106" t="n">
        <v>1699</v>
      </c>
      <c r="W51" s="1106" t="n">
        <v>1721.1</v>
      </c>
      <c r="X51" s="1106" t="n">
        <v>1740.7</v>
      </c>
      <c r="Y51" s="1106" t="n">
        <v>1758.2</v>
      </c>
      <c r="Z51" s="1106" t="n">
        <v>1774.2</v>
      </c>
      <c r="AA51" s="1106" t="n">
        <v>1790.4</v>
      </c>
      <c r="AB51" s="1106" t="n">
        <v>1805.5</v>
      </c>
      <c r="AC51" s="1106" t="n">
        <v>1819</v>
      </c>
      <c r="AD51" s="1106" t="n">
        <v>1832.8</v>
      </c>
      <c r="AE51" s="1106" t="n">
        <v>1846.8</v>
      </c>
      <c r="AF51" s="1106" t="n">
        <v>1860.9</v>
      </c>
      <c r="AG51" s="1138"/>
      <c r="AH51" s="1138"/>
      <c r="AI51" s="1138"/>
      <c r="AJ51" s="1138"/>
      <c r="AK51" s="1138"/>
      <c r="AL51" s="1138"/>
      <c r="AM51" s="1138"/>
      <c r="AN51" s="1138"/>
      <c r="AO51" s="1138"/>
    </row>
    <row r="52" ht="26.25" customHeight="1">
      <c r="B52" s="1134" t="s">
        <v>1804</v>
      </c>
      <c r="C52" s="63" t="s">
        <v>1807</v>
      </c>
      <c r="D52" s="75"/>
      <c r="E52" s="63"/>
      <c r="F52" s="63"/>
      <c r="G52" s="63"/>
      <c r="H52" s="63"/>
      <c r="I52" s="63"/>
      <c r="J52" s="63"/>
      <c r="K52" s="63"/>
      <c r="L52" s="63"/>
      <c r="M52" s="63"/>
      <c r="N52" s="63"/>
      <c r="O52" s="63"/>
      <c r="P52" s="63"/>
      <c r="Q52" s="63"/>
      <c r="R52" s="63"/>
      <c r="S52" s="220" t="n">
        <v>2737.7</v>
      </c>
      <c r="T52" s="1120" t="n">
        <v>2776</v>
      </c>
      <c r="U52" s="1140" t="n">
        <v>2809.9</v>
      </c>
      <c r="V52" s="1140" t="n">
        <v>2839.2</v>
      </c>
      <c r="W52" s="1140" t="n">
        <v>2865.7</v>
      </c>
      <c r="X52" s="1140" t="n">
        <v>2891.3</v>
      </c>
      <c r="Y52" s="1140" t="n">
        <v>2916.4</v>
      </c>
      <c r="Z52" s="1141" t="n">
        <v>2941.4</v>
      </c>
      <c r="AA52" s="1141" t="n">
        <v>2967.1</v>
      </c>
      <c r="AB52" s="1141" t="n">
        <v>2993.7</v>
      </c>
      <c r="AC52" s="1141" t="n">
        <v>3022.3</v>
      </c>
      <c r="AD52" s="1141" t="n">
        <v>3052</v>
      </c>
      <c r="AE52" s="1141" t="n">
        <v>3082.6</v>
      </c>
      <c r="AF52" s="1142" t="n">
        <v>3113.5</v>
      </c>
      <c r="AG52" s="1141"/>
      <c r="AH52" s="1141"/>
      <c r="AI52" s="1141"/>
      <c r="AJ52" s="1141"/>
      <c r="AK52" s="1141"/>
      <c r="AL52" s="1141"/>
      <c r="AM52" s="1141"/>
      <c r="AN52" s="1141"/>
      <c r="AO52" s="1141"/>
    </row>
    <row r="53" ht="26.25" customHeight="1">
      <c r="B53" s="1134" t="s">
        <v>1912</v>
      </c>
      <c r="C53" s="63"/>
      <c r="D53" s="75"/>
      <c r="E53" s="63"/>
      <c r="F53" s="63"/>
      <c r="G53" s="63"/>
      <c r="H53" s="63"/>
      <c r="I53" s="63"/>
      <c r="J53" s="63"/>
      <c r="K53" s="63"/>
      <c r="L53" s="63"/>
      <c r="M53" s="63"/>
      <c r="N53" s="63"/>
      <c r="O53" s="63"/>
      <c r="P53" s="63"/>
      <c r="Q53" s="63"/>
      <c r="R53" s="63"/>
      <c r="S53" s="1106" t="n">
        <v>2829.6</v>
      </c>
      <c r="T53" s="1106" t="n">
        <v>2871.1</v>
      </c>
      <c r="U53" s="1106" t="n">
        <v>2900.1</v>
      </c>
      <c r="V53" s="1106" t="n">
        <v>2932.7</v>
      </c>
      <c r="W53" s="1106" t="n">
        <v>2970.6</v>
      </c>
      <c r="X53" s="1106" t="n">
        <v>3002.9</v>
      </c>
      <c r="Y53" s="1106" t="n">
        <v>3034.4</v>
      </c>
      <c r="Z53" s="1106" t="n">
        <v>3062.5</v>
      </c>
      <c r="AA53" s="1106" t="n">
        <v>3090.1</v>
      </c>
      <c r="AB53" s="1106" t="n">
        <v>3117.6</v>
      </c>
      <c r="AC53" s="1106" t="n">
        <v>3146.1</v>
      </c>
      <c r="AD53" s="1106" t="n">
        <v>3174.9</v>
      </c>
      <c r="AE53" s="1106" t="n">
        <v>3203.9</v>
      </c>
      <c r="AF53" s="1106" t="n">
        <v>3233.8</v>
      </c>
      <c r="AG53" s="1141"/>
      <c r="AH53" s="1141"/>
      <c r="AI53" s="1141"/>
      <c r="AJ53" s="1141"/>
      <c r="AK53" s="1141"/>
      <c r="AL53" s="1141"/>
      <c r="AM53" s="1141"/>
      <c r="AN53" s="1141"/>
      <c r="AO53" s="1141"/>
    </row>
    <row r="54" ht="26.25" customHeight="1">
      <c r="B54" s="1134" t="s">
        <v>1802</v>
      </c>
      <c r="C54" s="63" t="s">
        <v>1808</v>
      </c>
      <c r="D54" s="75"/>
      <c r="E54" s="63"/>
      <c r="F54" s="63"/>
      <c r="G54" s="63"/>
      <c r="H54" s="63"/>
      <c r="I54" s="63"/>
      <c r="J54" s="63"/>
      <c r="K54" s="63"/>
      <c r="L54" s="63"/>
      <c r="M54" s="63"/>
      <c r="N54" s="63"/>
      <c r="O54" s="63"/>
      <c r="P54" s="63"/>
      <c r="Q54" s="63"/>
      <c r="R54" s="63"/>
      <c r="S54" s="220" t="n">
        <v>14141.9</v>
      </c>
      <c r="T54" s="1120" t="n">
        <v>14239.3</v>
      </c>
      <c r="U54" s="1140" t="n">
        <v>14317.2</v>
      </c>
      <c r="V54" s="1140" t="n">
        <v>14396</v>
      </c>
      <c r="W54" s="1140" t="n">
        <v>14470.5</v>
      </c>
      <c r="X54" s="1140" t="n">
        <v>14536.1</v>
      </c>
      <c r="Y54" s="1140" t="n">
        <v>14600.2</v>
      </c>
      <c r="Z54" s="1141" t="n">
        <v>14655.3</v>
      </c>
      <c r="AA54" s="1141" t="n">
        <v>14707.8</v>
      </c>
      <c r="AB54" s="1141" t="n">
        <v>14768.3</v>
      </c>
      <c r="AC54" s="1141" t="n">
        <v>14826.6</v>
      </c>
      <c r="AD54" s="1141" t="n">
        <v>14887.5</v>
      </c>
      <c r="AE54" s="1141" t="n">
        <v>14942.4</v>
      </c>
      <c r="AF54" s="1142" t="n">
        <v>15010.7</v>
      </c>
      <c r="AG54" s="1141"/>
      <c r="AH54" s="1141"/>
      <c r="AI54" s="1141"/>
      <c r="AJ54" s="1141"/>
      <c r="AK54" s="1141"/>
      <c r="AL54" s="1141"/>
      <c r="AM54" s="1141"/>
      <c r="AN54" s="1141"/>
      <c r="AO54" s="1141"/>
    </row>
    <row r="55" ht="26.25" customHeight="1">
      <c r="B55" s="1134" t="s">
        <v>1913</v>
      </c>
      <c r="C55" s="63"/>
      <c r="D55" s="75"/>
      <c r="E55" s="63"/>
      <c r="F55" s="63"/>
      <c r="G55" s="63"/>
      <c r="H55" s="63"/>
      <c r="I55" s="63"/>
      <c r="J55" s="63"/>
      <c r="K55" s="63"/>
      <c r="L55" s="63"/>
      <c r="M55" s="63"/>
      <c r="N55" s="63"/>
      <c r="O55" s="63"/>
      <c r="P55" s="63"/>
      <c r="Q55" s="63"/>
      <c r="R55" s="63"/>
      <c r="S55" s="1106" t="n">
        <v>14159.9</v>
      </c>
      <c r="T55" s="1106" t="n">
        <v>14286.7</v>
      </c>
      <c r="U55" s="1106" t="n">
        <v>14330.7</v>
      </c>
      <c r="V55" s="1106" t="n">
        <v>14360.7</v>
      </c>
      <c r="W55" s="1106" t="n">
        <v>14400.5</v>
      </c>
      <c r="X55" s="1106" t="n">
        <v>14447.8</v>
      </c>
      <c r="Y55" s="1106" t="n">
        <v>14497.8</v>
      </c>
      <c r="Z55" s="1106" t="n">
        <v>14551.4</v>
      </c>
      <c r="AA55" s="1106" t="n">
        <v>14606.8</v>
      </c>
      <c r="AB55" s="1106" t="n">
        <v>14670.6</v>
      </c>
      <c r="AC55" s="1106" t="n">
        <v>14737.3</v>
      </c>
      <c r="AD55" s="1106" t="n">
        <v>14800</v>
      </c>
      <c r="AE55" s="1106" t="n">
        <v>14864.9</v>
      </c>
      <c r="AF55" s="1106" t="n">
        <v>14926.6</v>
      </c>
      <c r="AG55" s="1141"/>
      <c r="AH55" s="1141"/>
      <c r="AI55" s="1141"/>
      <c r="AJ55" s="1141"/>
      <c r="AK55" s="1141"/>
      <c r="AL55" s="1141"/>
      <c r="AM55" s="1141"/>
      <c r="AN55" s="1141"/>
      <c r="AO55" s="1141"/>
    </row>
    <row r="56" ht="26.1" customHeight="1">
      <c r="B56" s="1134" t="s">
        <v>1803</v>
      </c>
      <c r="C56" s="63" t="s">
        <v>1809</v>
      </c>
      <c r="D56" s="75"/>
      <c r="E56" s="63"/>
      <c r="F56" s="63"/>
      <c r="G56" s="63"/>
      <c r="H56" s="63"/>
      <c r="I56" s="63"/>
      <c r="J56" s="63"/>
      <c r="K56" s="63"/>
      <c r="L56" s="63"/>
      <c r="M56" s="63"/>
      <c r="N56" s="63"/>
      <c r="O56" s="63"/>
      <c r="P56" s="63"/>
      <c r="Q56" s="63"/>
      <c r="R56" s="63"/>
      <c r="S56" s="220" t="n">
        <v>1325.4</v>
      </c>
      <c r="T56" s="1120" t="n">
        <v>1330.1</v>
      </c>
      <c r="U56" s="1140" t="n">
        <v>1336.1</v>
      </c>
      <c r="V56" s="1140" t="n">
        <v>1341.1</v>
      </c>
      <c r="W56" s="1140" t="n">
        <v>1344.8</v>
      </c>
      <c r="X56" s="1140" t="n">
        <v>1347.2</v>
      </c>
      <c r="Y56" s="1140" t="n">
        <v>1350.7</v>
      </c>
      <c r="Z56" s="1141" t="n">
        <v>1353.6</v>
      </c>
      <c r="AA56" s="1141" t="n">
        <v>1356.5</v>
      </c>
      <c r="AB56" s="1141" t="n">
        <v>1359.2</v>
      </c>
      <c r="AC56" s="1141" t="n">
        <v>1360.1</v>
      </c>
      <c r="AD56" s="1141" t="n">
        <v>1361.2</v>
      </c>
      <c r="AE56" s="1141" t="n">
        <v>1362.5</v>
      </c>
      <c r="AF56" s="1142" t="n">
        <v>1363.9</v>
      </c>
      <c r="AG56" s="1141"/>
      <c r="AH56" s="1141"/>
      <c r="AI56" s="1141"/>
      <c r="AJ56" s="1141"/>
      <c r="AK56" s="1141"/>
      <c r="AL56" s="1141"/>
      <c r="AM56" s="1141"/>
      <c r="AN56" s="1141"/>
      <c r="AO56" s="1141"/>
    </row>
    <row r="57" ht="26.25" customHeight="1">
      <c r="B57" s="1134" t="s">
        <v>1911</v>
      </c>
      <c r="C57" s="63"/>
      <c r="D57" s="75"/>
      <c r="E57" s="63"/>
      <c r="F57" s="63"/>
      <c r="G57" s="63"/>
      <c r="H57" s="63"/>
      <c r="I57" s="63"/>
      <c r="J57" s="63"/>
      <c r="K57" s="63"/>
      <c r="L57" s="63"/>
      <c r="M57" s="63"/>
      <c r="N57" s="63"/>
      <c r="O57" s="63"/>
      <c r="P57" s="63"/>
      <c r="Q57" s="63"/>
      <c r="R57" s="63"/>
      <c r="S57" s="1106" t="n">
        <v>1352.6</v>
      </c>
      <c r="T57" s="1106" t="n">
        <v>1350.2</v>
      </c>
      <c r="U57" s="1106" t="n">
        <v>1355.6</v>
      </c>
      <c r="V57" s="1106" t="n">
        <v>1360.4</v>
      </c>
      <c r="W57" s="1106" t="n">
        <v>1369.5</v>
      </c>
      <c r="X57" s="1106" t="n">
        <v>1376.4</v>
      </c>
      <c r="Y57" s="1106" t="n">
        <v>1380.2</v>
      </c>
      <c r="Z57" s="1106" t="n">
        <v>1383.1</v>
      </c>
      <c r="AA57" s="1106" t="n">
        <v>1386.3</v>
      </c>
      <c r="AB57" s="1106" t="n">
        <v>1388.8</v>
      </c>
      <c r="AC57" s="1106" t="n">
        <v>1390.9</v>
      </c>
      <c r="AD57" s="1106" t="n">
        <v>1393</v>
      </c>
      <c r="AE57" s="1106" t="n">
        <v>1395.2</v>
      </c>
      <c r="AF57" s="1106" t="n">
        <v>1397.5</v>
      </c>
      <c r="AG57" s="1141"/>
      <c r="AH57" s="1141"/>
      <c r="AI57" s="1141"/>
      <c r="AJ57" s="1141"/>
      <c r="AK57" s="1141"/>
      <c r="AL57" s="1141"/>
      <c r="AM57" s="1141"/>
      <c r="AN57" s="1141"/>
      <c r="AO57" s="1141"/>
    </row>
    <row r="58" ht="26.25" customHeight="1">
      <c r="B58" s="1135" t="s">
        <v>1804</v>
      </c>
      <c r="C58" s="64" t="s">
        <v>1810</v>
      </c>
      <c r="D58" s="210"/>
      <c r="E58" s="64"/>
      <c r="F58" s="64"/>
      <c r="G58" s="64"/>
      <c r="H58" s="64"/>
      <c r="I58" s="64"/>
      <c r="J58" s="64"/>
      <c r="K58" s="64"/>
      <c r="L58" s="64"/>
      <c r="M58" s="64"/>
      <c r="N58" s="64"/>
      <c r="O58" s="64"/>
      <c r="P58" s="64"/>
      <c r="Q58" s="64"/>
      <c r="R58" s="64"/>
      <c r="S58" s="1155" t="n">
        <v>2063.4</v>
      </c>
      <c r="T58" s="1121" t="n">
        <v>2072.6999999999998</v>
      </c>
      <c r="U58" s="1144" t="n">
        <v>2079.5</v>
      </c>
      <c r="V58" s="1144" t="n">
        <v>2084.6999999999998</v>
      </c>
      <c r="W58" s="1144" t="n">
        <v>2088.9</v>
      </c>
      <c r="X58" s="1144" t="n">
        <v>2092.8000000000002</v>
      </c>
      <c r="Y58" s="1144" t="n">
        <v>2096.3000000000002</v>
      </c>
      <c r="Z58" s="1145" t="n">
        <v>2099.9</v>
      </c>
      <c r="AA58" s="1145" t="n">
        <v>2103.8000000000002</v>
      </c>
      <c r="AB58" s="1145" t="n">
        <v>2108</v>
      </c>
      <c r="AC58" s="1145" t="n">
        <v>2113</v>
      </c>
      <c r="AD58" s="1145" t="n">
        <v>2118.1999999999998</v>
      </c>
      <c r="AE58" s="1145" t="n">
        <v>2123.6999999999998</v>
      </c>
      <c r="AF58" s="1146" t="n">
        <v>2129</v>
      </c>
      <c r="AG58" s="1141"/>
      <c r="AH58" s="1141"/>
      <c r="AI58" s="1141"/>
      <c r="AJ58" s="1141"/>
      <c r="AK58" s="1141"/>
      <c r="AL58" s="1141"/>
      <c r="AM58" s="1141"/>
      <c r="AN58" s="1141"/>
      <c r="AO58" s="1141"/>
    </row>
    <row r="59" ht="26.1" customHeight="1">
      <c r="B59" s="1134" t="s">
        <v>1914</v>
      </c>
      <c r="C59" s="63"/>
      <c r="D59" s="75"/>
      <c r="E59" s="63"/>
      <c r="F59" s="63"/>
      <c r="G59" s="63"/>
      <c r="H59" s="63"/>
      <c r="I59" s="63"/>
      <c r="J59" s="63"/>
      <c r="K59" s="63"/>
      <c r="L59" s="63"/>
      <c r="M59" s="63"/>
      <c r="N59" s="63"/>
      <c r="O59" s="63"/>
      <c r="P59" s="63"/>
      <c r="Q59" s="63"/>
      <c r="R59" s="63"/>
      <c r="S59" s="1106" t="n">
        <v>2052.1</v>
      </c>
      <c r="T59" s="1106" t="n">
        <v>2058</v>
      </c>
      <c r="U59" s="1106" t="n">
        <v>2061.1</v>
      </c>
      <c r="V59" s="1106" t="n">
        <v>2067.6999999999998</v>
      </c>
      <c r="W59" s="1106" t="n">
        <v>2076.5</v>
      </c>
      <c r="X59" s="1106" t="n">
        <v>2081.4</v>
      </c>
      <c r="Y59" s="1106" t="n">
        <v>2087.1</v>
      </c>
      <c r="Z59" s="1106" t="n">
        <v>2091.9</v>
      </c>
      <c r="AA59" s="1106" t="n">
        <v>2096.6999999999998</v>
      </c>
      <c r="AB59" s="1106" t="n">
        <v>2101.5</v>
      </c>
      <c r="AC59" s="1106" t="n">
        <v>2106.3000000000002</v>
      </c>
      <c r="AD59" s="1106" t="n">
        <v>2111.3000000000002</v>
      </c>
      <c r="AE59" s="1106" t="n">
        <v>2116.1999999999998</v>
      </c>
      <c r="AF59" s="1106" t="n">
        <v>2121.6999999999998</v>
      </c>
      <c r="AG59" s="1141"/>
      <c r="AH59" s="1141"/>
      <c r="AI59" s="1141"/>
      <c r="AJ59" s="1141"/>
      <c r="AK59" s="1141"/>
      <c r="AL59" s="1141"/>
      <c r="AM59" s="1141"/>
      <c r="AN59" s="1141"/>
      <c r="AO59" s="1141"/>
    </row>
    <row r="60">
      <c r="B60" s="1151"/>
      <c r="C60" s="1152"/>
      <c r="D60" s="1115"/>
      <c r="E60" s="1115"/>
      <c r="F60" s="1115"/>
      <c r="G60" s="1115"/>
      <c r="H60" s="1115"/>
      <c r="I60" s="1115"/>
      <c r="J60" s="1115"/>
      <c r="K60" s="1115"/>
      <c r="L60" s="1115"/>
      <c r="M60" s="1115"/>
      <c r="N60" s="1115"/>
      <c r="O60" s="1115"/>
      <c r="P60" s="1115"/>
      <c r="Q60" s="1115"/>
      <c r="R60" s="1115"/>
      <c r="S60" s="1115"/>
      <c r="T60" s="1116" t="s">
        <v>1792</v>
      </c>
      <c r="U60" s="1153"/>
      <c r="V60" s="1153"/>
      <c r="W60" s="1153"/>
      <c r="X60" s="1153"/>
      <c r="Y60" s="1153"/>
      <c r="Z60" s="1153"/>
      <c r="AA60" s="1153"/>
      <c r="AB60" s="1153"/>
      <c r="AC60" s="1153"/>
      <c r="AD60" s="1153"/>
      <c r="AE60" s="1153"/>
      <c r="AF60" s="1154"/>
      <c r="AG60" s="268"/>
      <c r="AH60" s="268"/>
      <c r="AI60" s="268"/>
      <c r="AJ60" s="268"/>
      <c r="AK60" s="268"/>
      <c r="AL60" s="268"/>
      <c r="AM60" s="268"/>
      <c r="AN60" s="268"/>
      <c r="AO60" s="268"/>
      <c r="AP60" s="63"/>
      <c r="AQ60" s="63"/>
      <c r="AR60" s="63"/>
      <c r="AS60" s="63"/>
      <c r="AT60" s="63"/>
      <c r="AU60" s="63"/>
      <c r="AV60" s="63"/>
    </row>
    <row r="61">
      <c r="B61" s="1168" t="s">
        <v>1796</v>
      </c>
      <c r="C61" s="115"/>
      <c r="D61" s="1107"/>
      <c r="E61" s="1107"/>
      <c r="F61" s="1107"/>
      <c r="G61" s="1107"/>
      <c r="H61" s="1107"/>
      <c r="I61" s="1107"/>
      <c r="J61" s="1107"/>
      <c r="K61" s="1107"/>
      <c r="L61" s="1107"/>
      <c r="M61" s="1107"/>
      <c r="N61" s="1107"/>
      <c r="O61" s="1107"/>
      <c r="P61" s="1107"/>
      <c r="Q61" s="1107"/>
      <c r="R61" s="1107"/>
      <c r="S61" s="1147" t="n">
        <f t="shared" ref="S61:AF61" si="19">S49/S55</f>
        <v>1.2370920698592502</v>
      </c>
      <c r="T61" s="1147" t="n">
        <f t="shared" si="19"/>
        <v>1.2494907851358255</v>
      </c>
      <c r="U61" s="1147" t="n">
        <f t="shared" si="19"/>
        <v>1.260503673930792</v>
      </c>
      <c r="V61" s="1147" t="n">
        <f t="shared" si="19"/>
        <v>1.2709895757170611</v>
      </c>
      <c r="W61" s="1147" t="n">
        <f t="shared" si="19"/>
        <v>1.2813999513905767</v>
      </c>
      <c r="X61" s="1147" t="n">
        <f t="shared" si="19"/>
        <v>1.2908124420326972</v>
      </c>
      <c r="Y61" s="1147" t="n">
        <f t="shared" si="19"/>
        <v>1.2992660955455311</v>
      </c>
      <c r="Z61" s="1147" t="n">
        <f t="shared" si="19"/>
        <v>1.307049493519524</v>
      </c>
      <c r="AA61" s="1147" t="n">
        <f t="shared" si="19"/>
        <v>1.3145178957745709</v>
      </c>
      <c r="AB61" s="1147" t="n">
        <f t="shared" si="19"/>
        <v>1.3218205117718431</v>
      </c>
      <c r="AC61" s="1147" t="n">
        <f t="shared" si="19"/>
        <v>1.329185128890638</v>
      </c>
      <c r="AD61" s="1147" t="n">
        <f t="shared" si="19"/>
        <v>1.3364594594594594</v>
      </c>
      <c r="AE61" s="1147" t="n">
        <f t="shared" si="19"/>
        <v>1.3436686422377548</v>
      </c>
      <c r="AF61" s="1119" t="n">
        <f t="shared" si="19"/>
        <v>1.3508635590154487</v>
      </c>
      <c r="AG61" s="1138"/>
      <c r="AH61" s="1138"/>
      <c r="AI61" s="1138"/>
      <c r="AJ61" s="1138"/>
      <c r="AK61" s="1138"/>
      <c r="AL61" s="1138"/>
      <c r="AM61" s="1138"/>
      <c r="AN61" s="1138"/>
      <c r="AO61" s="1138"/>
    </row>
    <row r="62">
      <c r="B62" s="75" t="s">
        <v>1797</v>
      </c>
      <c r="C62" s="209"/>
      <c r="D62" s="63"/>
      <c r="E62" s="63"/>
      <c r="F62" s="63"/>
      <c r="G62" s="63"/>
      <c r="H62" s="63"/>
      <c r="I62" s="63"/>
      <c r="J62" s="63"/>
      <c r="K62" s="63"/>
      <c r="L62" s="63"/>
      <c r="M62" s="63"/>
      <c r="N62" s="63"/>
      <c r="O62" s="63"/>
      <c r="P62" s="63"/>
      <c r="Q62" s="63"/>
      <c r="R62" s="63"/>
      <c r="S62" s="1137" t="n">
        <f t="shared" ref="S62" si="20">S51/S57</f>
        <v>1.2249741239095078</v>
      </c>
      <c r="T62" s="1137" t="n">
        <f t="shared" ref="T62:AF62" si="21">T51/T57</f>
        <v>1.2337431491630868</v>
      </c>
      <c r="U62" s="1137" t="n">
        <f t="shared" si="21"/>
        <v>1.2416642077308941</v>
      </c>
      <c r="V62" s="1137" t="n">
        <f t="shared" si="21"/>
        <v>1.2488973831226109</v>
      </c>
      <c r="W62" s="1137" t="n">
        <f t="shared" si="21"/>
        <v>1.256736035049288</v>
      </c>
      <c r="X62" s="1137" t="n">
        <f t="shared" si="21"/>
        <v>1.2646759662888694</v>
      </c>
      <c r="Y62" s="1137" t="n">
        <f t="shared" si="21"/>
        <v>1.2738733516881611</v>
      </c>
      <c r="Z62" s="1137" t="n">
        <f t="shared" si="21"/>
        <v>1.2827705878099922</v>
      </c>
      <c r="AA62" s="1137" t="n">
        <f t="shared" si="21"/>
        <v>1.2914953473274184</v>
      </c>
      <c r="AB62" s="1137" t="n">
        <f t="shared" si="21"/>
        <v>1.3000432027649771</v>
      </c>
      <c r="AC62" s="1137" t="n">
        <f t="shared" si="21"/>
        <v>1.3077863254008195</v>
      </c>
      <c r="AD62" s="1137" t="n">
        <f t="shared" si="21"/>
        <v>1.3157214644651831</v>
      </c>
      <c r="AE62" s="1137" t="n">
        <f t="shared" si="21"/>
        <v>1.3236811926605503</v>
      </c>
      <c r="AF62" s="1148" t="n">
        <f t="shared" si="21"/>
        <v>1.3315921288014312</v>
      </c>
      <c r="AG62" s="1141"/>
      <c r="AH62" s="1141"/>
      <c r="AI62" s="1141"/>
      <c r="AJ62" s="1141"/>
      <c r="AK62" s="1141"/>
      <c r="AL62" s="1141"/>
      <c r="AM62" s="1141"/>
      <c r="AN62" s="1141"/>
      <c r="AO62" s="1141"/>
    </row>
    <row r="63">
      <c r="B63" s="210" t="s">
        <v>1798</v>
      </c>
      <c r="C63" s="211"/>
      <c r="D63" s="64"/>
      <c r="E63" s="64"/>
      <c r="F63" s="64"/>
      <c r="G63" s="64"/>
      <c r="H63" s="64"/>
      <c r="I63" s="64"/>
      <c r="J63" s="64"/>
      <c r="K63" s="64"/>
      <c r="L63" s="64"/>
      <c r="M63" s="64"/>
      <c r="N63" s="64"/>
      <c r="O63" s="64"/>
      <c r="P63" s="64"/>
      <c r="Q63" s="64"/>
      <c r="R63" s="64"/>
      <c r="S63" s="1143" t="n">
        <f t="shared" ref="S63" si="22">S53/S59</f>
        <v>1.3788801715316017</v>
      </c>
      <c r="T63" s="1143" t="n">
        <f t="shared" ref="T63:AF63" si="23">T53/T59</f>
        <v>1.3950923226433429</v>
      </c>
      <c r="U63" s="1143" t="n">
        <f t="shared" si="23"/>
        <v>1.4070641890252777</v>
      </c>
      <c r="V63" s="1143" t="n">
        <f t="shared" si="23"/>
        <v>1.4183392174880303</v>
      </c>
      <c r="W63" s="1143" t="n">
        <f t="shared" si="23"/>
        <v>1.4305803033951361</v>
      </c>
      <c r="X63" s="1143" t="n">
        <f t="shared" si="23"/>
        <v>1.442730854232728</v>
      </c>
      <c r="Y63" s="1143" t="n">
        <f t="shared" si="23"/>
        <v>1.4538833788510375</v>
      </c>
      <c r="Z63" s="1143" t="n">
        <f t="shared" si="23"/>
        <v>1.4639801137721689</v>
      </c>
      <c r="AA63" s="1143" t="n">
        <f t="shared" si="23"/>
        <v>1.4737921495683695</v>
      </c>
      <c r="AB63" s="1143" t="n">
        <f t="shared" si="23"/>
        <v>1.4835117773019271</v>
      </c>
      <c r="AC63" s="1143" t="n">
        <f t="shared" si="23"/>
        <v>1.4936618715282721</v>
      </c>
      <c r="AD63" s="1143" t="n">
        <f t="shared" si="23"/>
        <v>1.5037654525647703</v>
      </c>
      <c r="AE63" s="1143" t="n">
        <f t="shared" si="23"/>
        <v>1.5139873357905682</v>
      </c>
      <c r="AF63" s="1149" t="n">
        <f t="shared" si="23"/>
        <v>1.5241551585992368</v>
      </c>
      <c r="AG63" s="1141"/>
      <c r="AH63" s="1141"/>
      <c r="AI63" s="1141"/>
      <c r="AJ63" s="1141"/>
      <c r="AK63" s="1141"/>
      <c r="AL63" s="1141"/>
      <c r="AM63" s="1141"/>
      <c r="AN63" s="1141"/>
      <c r="AO63" s="1141"/>
    </row>
    <row r="64">
      <c r="B64" s="1136"/>
      <c r="C64" s="1136"/>
      <c r="D64" s="268"/>
      <c r="E64" s="268"/>
      <c r="F64" s="268"/>
      <c r="G64" s="268"/>
      <c r="H64" s="268"/>
      <c r="I64" s="268"/>
      <c r="J64" s="268"/>
      <c r="K64" s="268"/>
      <c r="L64" s="268"/>
      <c r="M64" s="268"/>
      <c r="N64" s="268"/>
      <c r="O64" s="268"/>
      <c r="P64" s="268"/>
      <c r="Q64" s="268"/>
      <c r="R64" s="268"/>
      <c r="S64" s="268"/>
      <c r="T64" s="268"/>
      <c r="U64" s="268"/>
      <c r="V64" s="268"/>
      <c r="W64" s="268"/>
      <c r="X64" s="268"/>
      <c r="Y64" s="268"/>
      <c r="Z64" s="63"/>
      <c r="AA64" s="63"/>
      <c r="AB64" s="63"/>
      <c r="AC64" s="63"/>
      <c r="AD64" s="63"/>
      <c r="AE64" s="63"/>
      <c r="AF64" s="63"/>
    </row>
    <row r="65">
      <c r="B65" s="1136"/>
      <c r="C65" s="1136"/>
      <c r="D65" s="268"/>
      <c r="E65" s="268"/>
      <c r="F65" s="268"/>
      <c r="G65" s="268"/>
      <c r="H65" s="268"/>
      <c r="I65" s="268"/>
      <c r="J65" s="268"/>
      <c r="K65" s="268"/>
      <c r="L65" s="268"/>
      <c r="M65" s="268"/>
      <c r="N65" s="268"/>
      <c r="O65" s="268"/>
      <c r="P65" s="268"/>
      <c r="Q65" s="268"/>
      <c r="R65" s="268"/>
      <c r="S65" s="268"/>
      <c r="T65" s="902"/>
      <c r="U65" s="902"/>
      <c r="V65" s="902"/>
      <c r="W65" s="902"/>
      <c r="X65" s="902"/>
      <c r="Y65" s="902"/>
      <c r="Z65" s="902"/>
      <c r="AA65" s="902"/>
      <c r="AB65" s="902"/>
      <c r="AC65" s="902"/>
      <c r="AD65" s="902"/>
      <c r="AE65" s="902"/>
      <c r="AF65" s="902"/>
    </row>
    <row r="66" ht="26.25" customHeight="1">
      <c r="B66" s="1135" t="s">
        <v>1804</v>
      </c>
      <c r="C66" s="64" t="s">
        <v>1810</v>
      </c>
      <c r="D66" s="210"/>
      <c r="E66" s="64"/>
      <c r="F66" s="64"/>
      <c r="G66" s="64"/>
      <c r="H66" s="64"/>
      <c r="I66" s="64"/>
      <c r="J66" s="64"/>
      <c r="K66" s="64"/>
      <c r="L66" s="64"/>
      <c r="M66" s="64"/>
      <c r="N66" s="64"/>
      <c r="O66" s="64"/>
      <c r="P66" s="64"/>
      <c r="Q66" s="64"/>
      <c r="R66" s="64"/>
      <c r="S66" s="1155" t="n">
        <v>2063.4</v>
      </c>
      <c r="T66" s="1121" t="n">
        <v>2072.6999999999998</v>
      </c>
      <c r="U66" s="1144" t="n">
        <v>2079.5</v>
      </c>
      <c r="V66" s="1144" t="n">
        <v>2084.6999999999998</v>
      </c>
      <c r="W66" s="1144" t="n">
        <v>2088.9</v>
      </c>
      <c r="X66" s="1144" t="n">
        <v>2092.8000000000002</v>
      </c>
      <c r="Y66" s="1144" t="n">
        <v>2096.3000000000002</v>
      </c>
      <c r="Z66" s="1145" t="n">
        <v>2099.9</v>
      </c>
      <c r="AA66" s="1145" t="n">
        <v>2103.8000000000002</v>
      </c>
      <c r="AB66" s="1145" t="n">
        <v>2108</v>
      </c>
      <c r="AC66" s="1145" t="n">
        <v>2113</v>
      </c>
      <c r="AD66" s="1145" t="n">
        <v>2118.1999999999998</v>
      </c>
      <c r="AE66" s="1145" t="n">
        <v>2123.6999999999998</v>
      </c>
      <c r="AF66" s="1146" t="n">
        <v>2129</v>
      </c>
      <c r="AG66" s="1141"/>
      <c r="AH66" s="1141"/>
      <c r="AI66" s="1141"/>
      <c r="AJ66" s="1141"/>
      <c r="AK66" s="1141"/>
      <c r="AL66" s="1141"/>
      <c r="AM66" s="1141"/>
      <c r="AN66" s="1141"/>
      <c r="AO66" s="1141"/>
    </row>
    <row r="68">
      <c r="C68" s="58"/>
      <c r="D68" s="1122"/>
      <c r="E68" s="1122"/>
      <c r="F68" s="1122"/>
      <c r="G68" s="1122"/>
    </row>
    <row r="72">
      <c r="C72" s="34"/>
      <c r="D72" s="99"/>
      <c r="E72" s="99"/>
      <c r="F72" s="99"/>
      <c r="G72" s="99"/>
      <c r="H72" s="99"/>
      <c r="I72" s="99"/>
      <c r="J72" s="99"/>
      <c r="K72" s="99"/>
      <c r="L72" s="99"/>
      <c r="M72" s="99"/>
    </row>
    <row r="73">
      <c r="C73" s="58"/>
      <c r="D73" s="1126"/>
      <c r="E73" s="1126"/>
      <c r="F73" s="1126"/>
      <c r="G73" s="1126"/>
      <c r="H73" s="1126"/>
      <c r="I73" s="1126"/>
      <c r="J73" s="1126"/>
      <c r="K73" s="1126"/>
      <c r="L73" s="1126"/>
      <c r="M73" s="1126"/>
    </row>
    <row r="74">
      <c r="C74" s="1122"/>
      <c r="D74" s="1126"/>
      <c r="E74" s="1126"/>
      <c r="F74" s="1126"/>
      <c r="G74" s="1126"/>
      <c r="H74" s="1126"/>
      <c r="I74" s="1126"/>
      <c r="J74" s="1126"/>
      <c r="K74" s="1126"/>
      <c r="L74" s="1126"/>
      <c r="M74" s="1126"/>
    </row>
    <row r="75">
      <c r="C75" s="1122"/>
      <c r="D75" s="1126"/>
      <c r="E75" s="1126"/>
      <c r="F75" s="1126"/>
      <c r="G75" s="1126"/>
      <c r="H75" s="1126"/>
      <c r="I75" s="1126"/>
      <c r="J75" s="1126"/>
      <c r="K75" s="1126"/>
      <c r="L75" s="1126"/>
      <c r="M75" s="1126"/>
    </row>
    <row r="76">
      <c r="C76" s="1122"/>
      <c r="D76" s="1126"/>
      <c r="E76" s="1126"/>
      <c r="F76" s="1126"/>
      <c r="G76" s="1126"/>
      <c r="H76" s="1126"/>
      <c r="I76" s="1126"/>
      <c r="J76" s="1126"/>
      <c r="K76" s="1126"/>
      <c r="L76" s="1126"/>
      <c r="M76" s="1126"/>
    </row>
    <row r="77">
      <c r="C77" s="1122"/>
      <c r="D77" s="1126"/>
      <c r="E77" s="1126"/>
      <c r="F77" s="1126"/>
      <c r="G77" s="1126"/>
      <c r="H77" s="1126"/>
      <c r="I77" s="1126"/>
      <c r="J77" s="1126"/>
      <c r="K77" s="1126"/>
      <c r="L77" s="1126"/>
      <c r="M77" s="1126"/>
    </row>
  </sheetData>
  <mergeCells count="34">
    <mergeCell ref="B44:E44"/>
    <mergeCell ref="Q45:R45"/>
    <mergeCell ref="M9:P9"/>
    <mergeCell ref="Q9:R9"/>
    <mergeCell ref="B34:C34"/>
    <mergeCell ref="E45:H45"/>
    <mergeCell ref="I45:L45"/>
    <mergeCell ref="M45:P45"/>
    <mergeCell ref="E9:H9"/>
    <mergeCell ref="I9:L9"/>
    <mergeCell ref="B22:AF22"/>
    <mergeCell ref="U45:X45"/>
    <mergeCell ref="AC45:AF45"/>
    <mergeCell ref="T8:AF8"/>
    <mergeCell ref="Y45:AB45"/>
    <mergeCell ref="AC36:AF36"/>
    <mergeCell ref="Y9:AB9"/>
    <mergeCell ref="Y36:AB36"/>
    <mergeCell ref="B1:AC1"/>
    <mergeCell ref="B2:AC4"/>
    <mergeCell ref="B35:C37"/>
    <mergeCell ref="E36:H36"/>
    <mergeCell ref="I36:L36"/>
    <mergeCell ref="M36:P36"/>
    <mergeCell ref="U36:X36"/>
    <mergeCell ref="B8:C10"/>
    <mergeCell ref="AC9:AF9"/>
    <mergeCell ref="D35:T35"/>
    <mergeCell ref="U35:AF35"/>
    <mergeCell ref="Q36:T36"/>
    <mergeCell ref="U9:X9"/>
    <mergeCell ref="B7:F7"/>
    <mergeCell ref="D8:R8"/>
    <mergeCell ref="B11:AF11"/>
  </mergeCells>
  <pageMargins left="0.7" right="0.7" top="0.75" bottom="0.75" header="0.3" footer="0.3"/>
  <pageSetup paperSize="9" orientation="portrait" horizontalDpi="300" verticalDpi="300"/>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51" sqref="A51:P53"/>
    </sheetView>
  </sheetViews>
  <sheetFormatPr defaultRowHeight="15.0" baseColWidth="10"/>
  <cols>
    <col min="3" max="3" width="33.85546875" hidden="0" customWidth="1"/>
  </cols>
  <sheetData>
    <row r="3">
      <c r="A3" s="971" t="s">
        <v>574</v>
      </c>
      <c r="B3" s="268"/>
    </row>
    <row r="4">
      <c r="A4" s="1180" t="s">
        <v>575</v>
      </c>
      <c r="B4" s="1181"/>
      <c r="C4" s="1181"/>
    </row>
    <row r="7">
      <c r="A7" s="1187" t="s">
        <v>576</v>
      </c>
      <c r="B7" s="1188"/>
      <c r="C7" s="1188"/>
      <c r="D7" s="1188"/>
      <c r="E7" s="1188"/>
      <c r="F7" s="1188"/>
      <c r="G7" s="1188"/>
      <c r="H7" s="1188"/>
      <c r="I7" s="1188"/>
      <c r="J7" s="1188"/>
      <c r="K7" s="1188"/>
      <c r="L7" s="1188"/>
      <c r="M7" s="1188"/>
      <c r="N7" s="1188"/>
      <c r="O7" s="1188"/>
      <c r="P7" s="1188"/>
    </row>
    <row r="8">
      <c r="A8" s="334" t="s">
        <v>577</v>
      </c>
      <c r="B8" s="334"/>
      <c r="C8" s="334"/>
      <c r="D8" s="1193"/>
      <c r="E8" s="334"/>
      <c r="F8" s="334"/>
      <c r="G8" s="334"/>
      <c r="H8" s="334"/>
      <c r="I8" s="334"/>
      <c r="J8" s="334"/>
      <c r="K8" s="334"/>
      <c r="L8" s="334"/>
      <c r="M8" s="334"/>
      <c r="N8" s="334"/>
      <c r="O8" s="334"/>
      <c r="P8" s="334"/>
    </row>
    <row r="9">
      <c r="A9" s="268"/>
      <c r="B9" s="268"/>
      <c r="C9" s="268"/>
      <c r="D9" s="1176"/>
      <c r="E9" s="268"/>
      <c r="F9" s="268"/>
      <c r="G9" s="268"/>
      <c r="H9" s="268"/>
      <c r="I9" s="268"/>
      <c r="J9" s="268"/>
      <c r="K9" s="268"/>
      <c r="L9" s="268"/>
      <c r="M9" s="268"/>
      <c r="N9" s="268"/>
      <c r="O9" s="268"/>
      <c r="P9" s="268"/>
    </row>
    <row r="10">
      <c r="A10" s="268"/>
      <c r="B10" s="268"/>
      <c r="C10" s="268"/>
      <c r="D10" s="1176"/>
      <c r="E10" s="268"/>
      <c r="F10" s="268"/>
      <c r="G10" s="268"/>
      <c r="H10" s="268"/>
      <c r="I10" s="268"/>
      <c r="J10" s="268"/>
      <c r="K10" s="268"/>
      <c r="L10" s="268"/>
      <c r="M10" s="268"/>
      <c r="N10" s="268"/>
      <c r="O10" s="642" t="s">
        <v>359</v>
      </c>
      <c r="P10" s="642"/>
    </row>
    <row r="11">
      <c r="A11" s="268"/>
      <c r="B11" s="268"/>
      <c r="C11" s="758"/>
      <c r="D11" s="298"/>
      <c r="E11" s="758"/>
      <c r="F11" s="758"/>
      <c r="G11" s="758"/>
      <c r="H11" s="758"/>
      <c r="I11" s="758"/>
      <c r="J11" s="758"/>
      <c r="K11" s="758"/>
      <c r="L11" s="758"/>
      <c r="M11" s="758"/>
      <c r="N11" s="758"/>
      <c r="O11" s="1192" t="s">
        <v>578</v>
      </c>
      <c r="P11" s="1192" t="s">
        <v>578</v>
      </c>
    </row>
    <row r="12">
      <c r="A12" s="334"/>
      <c r="B12" s="334"/>
      <c r="C12" s="334"/>
      <c r="D12" s="1193" t="n">
        <v>2020</v>
      </c>
      <c r="E12" s="1193" t="n">
        <v>2021</v>
      </c>
      <c r="F12" s="1193" t="n">
        <v>2022</v>
      </c>
      <c r="G12" s="1193" t="n">
        <v>2023</v>
      </c>
      <c r="H12" s="1193" t="n">
        <v>2024</v>
      </c>
      <c r="I12" s="1193" t="n">
        <v>2025</v>
      </c>
      <c r="J12" s="1193" t="n">
        <v>2026</v>
      </c>
      <c r="K12" s="1193" t="n">
        <v>2027</v>
      </c>
      <c r="L12" s="1193" t="n">
        <v>2028</v>
      </c>
      <c r="M12" s="1193" t="n">
        <v>2029</v>
      </c>
      <c r="N12" s="1193" t="n">
        <v>2030</v>
      </c>
      <c r="O12" s="807" t="n">
        <v>2025</v>
      </c>
      <c r="P12" s="807" t="n">
        <v>2030</v>
      </c>
    </row>
    <row r="13">
      <c r="A13" s="758" t="s">
        <v>579</v>
      </c>
      <c r="B13" s="758"/>
      <c r="C13" s="758"/>
      <c r="D13" s="1183" t="n">
        <v>540.56299999999999</v>
      </c>
      <c r="E13" s="1183" t="n">
        <v>0</v>
      </c>
      <c r="F13" s="1183" t="n">
        <v>0</v>
      </c>
      <c r="G13" s="1183" t="n">
        <v>0</v>
      </c>
      <c r="H13" s="1183" t="n">
        <v>0</v>
      </c>
      <c r="I13" s="1183" t="n">
        <v>0</v>
      </c>
      <c r="J13" s="1183" t="n">
        <v>0</v>
      </c>
      <c r="K13" s="1183" t="n">
        <v>0</v>
      </c>
      <c r="L13" s="1183" t="n">
        <v>0</v>
      </c>
      <c r="M13" s="1183" t="n">
        <v>0</v>
      </c>
      <c r="N13" s="1183" t="n">
        <v>0</v>
      </c>
      <c r="O13" s="1183" t="n">
        <v>0</v>
      </c>
      <c r="P13" s="1183" t="n">
        <v>0</v>
      </c>
      <c r="Q13" t="s">
        <v>50</v>
      </c>
    </row>
    <row r="14">
      <c r="A14" s="268" t="s">
        <v>580</v>
      </c>
      <c r="B14" s="268"/>
      <c r="C14" s="268"/>
      <c r="D14" s="298"/>
      <c r="E14" s="758"/>
      <c r="F14" s="758"/>
      <c r="G14" s="758"/>
      <c r="H14" s="758"/>
      <c r="I14" s="758"/>
      <c r="J14" s="758"/>
      <c r="K14" s="758"/>
      <c r="L14" s="758"/>
      <c r="M14" s="758"/>
      <c r="N14" s="758"/>
      <c r="O14" s="758"/>
      <c r="P14" s="758"/>
      <c r="Q14" t="s">
        <v>581</v>
      </c>
    </row>
    <row r="15">
      <c r="A15" s="268"/>
      <c r="B15" s="268" t="s">
        <v>582</v>
      </c>
      <c r="C15" s="268"/>
      <c r="D15" s="298" t="n">
        <v>285.56</v>
      </c>
      <c r="E15" s="298" t="n">
        <v>5</v>
      </c>
      <c r="F15" s="298" t="n">
        <v>0</v>
      </c>
      <c r="G15" s="298" t="n">
        <v>0</v>
      </c>
      <c r="H15" s="298" t="n">
        <v>0</v>
      </c>
      <c r="I15" s="298" t="n">
        <v>0</v>
      </c>
      <c r="J15" s="298" t="n">
        <v>0</v>
      </c>
      <c r="K15" s="298" t="n">
        <v>0</v>
      </c>
      <c r="L15" s="298" t="n">
        <v>0</v>
      </c>
      <c r="M15" s="298" t="n">
        <v>0</v>
      </c>
      <c r="N15" s="298" t="n">
        <v>0</v>
      </c>
      <c r="O15" s="298" t="n">
        <v>5</v>
      </c>
      <c r="P15" s="298" t="n">
        <v>5</v>
      </c>
    </row>
    <row r="16">
      <c r="A16" s="758"/>
      <c r="B16" s="268" t="s">
        <v>583</v>
      </c>
      <c r="C16" s="758"/>
      <c r="D16" s="298" t="n">
        <v>67.209999999999994</v>
      </c>
      <c r="E16" s="298" t="n">
        <v>13.68</v>
      </c>
      <c r="F16" s="298" t="n">
        <v>0</v>
      </c>
      <c r="G16" s="298" t="n">
        <v>0</v>
      </c>
      <c r="H16" s="298" t="n">
        <v>0</v>
      </c>
      <c r="I16" s="298" t="n">
        <v>0</v>
      </c>
      <c r="J16" s="298" t="n">
        <v>0</v>
      </c>
      <c r="K16" s="298" t="n">
        <v>0</v>
      </c>
      <c r="L16" s="298" t="n">
        <v>0</v>
      </c>
      <c r="M16" s="298" t="n">
        <v>0</v>
      </c>
      <c r="N16" s="298" t="n">
        <v>0</v>
      </c>
      <c r="O16" s="298" t="n">
        <v>13.68</v>
      </c>
      <c r="P16" s="298" t="n">
        <v>13.68</v>
      </c>
    </row>
    <row r="17">
      <c r="A17" s="758"/>
      <c r="B17" s="268" t="s">
        <v>584</v>
      </c>
      <c r="C17" s="758"/>
      <c r="D17" s="298" t="n">
        <v>11.12</v>
      </c>
      <c r="E17" s="298" t="n">
        <v>47.8</v>
      </c>
      <c r="F17" s="298" t="n">
        <v>0</v>
      </c>
      <c r="G17" s="298" t="n">
        <v>0</v>
      </c>
      <c r="H17" s="298" t="n">
        <v>0</v>
      </c>
      <c r="I17" s="298" t="n">
        <v>0</v>
      </c>
      <c r="J17" s="298" t="n">
        <v>0</v>
      </c>
      <c r="K17" s="298" t="n">
        <v>0</v>
      </c>
      <c r="L17" s="298" t="n">
        <v>0</v>
      </c>
      <c r="M17" s="298" t="n">
        <v>0</v>
      </c>
      <c r="N17" s="298" t="n">
        <v>0</v>
      </c>
      <c r="O17" s="298" t="n">
        <v>47.8</v>
      </c>
      <c r="P17" s="298" t="n">
        <v>47.8</v>
      </c>
    </row>
    <row r="18">
      <c r="A18" s="758"/>
      <c r="B18" s="268" t="s">
        <v>585</v>
      </c>
      <c r="C18" s="758"/>
      <c r="D18" s="298" t="n">
        <v>6.2149999999999999</v>
      </c>
      <c r="E18" s="298" t="n">
        <v>5.0049999999999999</v>
      </c>
      <c r="F18" s="298" t="n">
        <v>0</v>
      </c>
      <c r="G18" s="298" t="n">
        <v>0</v>
      </c>
      <c r="H18" s="298" t="n">
        <v>0</v>
      </c>
      <c r="I18" s="298" t="n">
        <v>0</v>
      </c>
      <c r="J18" s="298" t="n">
        <v>0</v>
      </c>
      <c r="K18" s="298" t="n">
        <v>0</v>
      </c>
      <c r="L18" s="298" t="n">
        <v>0</v>
      </c>
      <c r="M18" s="298" t="n">
        <v>0</v>
      </c>
      <c r="N18" s="298" t="n">
        <v>0</v>
      </c>
      <c r="O18" s="298" t="n">
        <v>5.0049999999999999</v>
      </c>
      <c r="P18" s="298" t="n">
        <v>5.0049999999999999</v>
      </c>
    </row>
    <row r="19">
      <c r="A19" s="758"/>
      <c r="B19" s="268"/>
      <c r="C19" s="758"/>
      <c r="D19" s="298" t="s">
        <v>586</v>
      </c>
      <c r="E19" s="298" t="s">
        <v>586</v>
      </c>
      <c r="F19" s="298" t="s">
        <v>586</v>
      </c>
      <c r="G19" s="298" t="s">
        <v>586</v>
      </c>
      <c r="H19" s="298" t="s">
        <v>586</v>
      </c>
      <c r="I19" s="298" t="s">
        <v>586</v>
      </c>
      <c r="J19" s="298" t="s">
        <v>586</v>
      </c>
      <c r="K19" s="298" t="s">
        <v>586</v>
      </c>
      <c r="L19" s="298" t="s">
        <v>586</v>
      </c>
      <c r="M19" s="298" t="s">
        <v>586</v>
      </c>
      <c r="N19" s="298" t="s">
        <v>586</v>
      </c>
      <c r="O19" s="298" t="s">
        <v>586</v>
      </c>
      <c r="P19" s="298" t="s">
        <v>586</v>
      </c>
    </row>
    <row r="20">
      <c r="A20" s="758"/>
      <c r="B20" s="268"/>
      <c r="C20" s="758" t="s">
        <v>587</v>
      </c>
      <c r="D20" s="298" t="n">
        <v>370.10500000000002</v>
      </c>
      <c r="E20" s="298" t="n">
        <v>71.484999999999999</v>
      </c>
      <c r="F20" s="298" t="n">
        <v>0</v>
      </c>
      <c r="G20" s="298" t="n">
        <v>0</v>
      </c>
      <c r="H20" s="298" t="n">
        <v>0</v>
      </c>
      <c r="I20" s="298" t="n">
        <v>0</v>
      </c>
      <c r="J20" s="298" t="n">
        <v>0</v>
      </c>
      <c r="K20" s="298" t="n">
        <v>0</v>
      </c>
      <c r="L20" s="298" t="n">
        <v>0</v>
      </c>
      <c r="M20" s="298" t="n">
        <v>0</v>
      </c>
      <c r="N20" s="298" t="n">
        <v>0</v>
      </c>
      <c r="O20" s="298" t="n">
        <v>71.484999999999999</v>
      </c>
      <c r="P20" s="298" t="n">
        <v>71.484999999999999</v>
      </c>
    </row>
    <row r="21">
      <c r="A21" s="758"/>
      <c r="B21" s="268"/>
      <c r="C21" s="758"/>
      <c r="D21" s="298"/>
      <c r="E21" s="298"/>
      <c r="F21" s="298"/>
      <c r="G21" s="298"/>
      <c r="H21" s="298"/>
      <c r="I21" s="298"/>
      <c r="J21" s="298"/>
      <c r="K21" s="298"/>
      <c r="L21" s="298"/>
      <c r="M21" s="298"/>
      <c r="N21" s="298"/>
      <c r="O21" s="298"/>
      <c r="P21" s="298"/>
    </row>
    <row r="22" ht="17.100000000000001" customHeight="1">
      <c r="A22" s="758" t="s">
        <v>588</v>
      </c>
      <c r="B22" s="268"/>
      <c r="C22" s="758"/>
      <c r="D22" s="298" t="n">
        <v>271.98399999999998</v>
      </c>
      <c r="E22" s="298" t="n">
        <v>9.327</v>
      </c>
      <c r="F22" s="298" t="n">
        <v>0</v>
      </c>
      <c r="G22" s="298" t="n">
        <v>0</v>
      </c>
      <c r="H22" s="298" t="n">
        <v>0</v>
      </c>
      <c r="I22" s="298" t="n">
        <v>0</v>
      </c>
      <c r="J22" s="298" t="n">
        <v>0</v>
      </c>
      <c r="K22" s="298" t="n">
        <v>0</v>
      </c>
      <c r="L22" s="298" t="n">
        <v>0</v>
      </c>
      <c r="M22" s="298" t="n">
        <v>0</v>
      </c>
      <c r="N22" s="298" t="n">
        <v>0</v>
      </c>
      <c r="O22" s="298" t="n">
        <v>9.327</v>
      </c>
      <c r="P22" s="298" t="n">
        <v>9.327</v>
      </c>
      <c r="Q22" t="s">
        <v>589</v>
      </c>
    </row>
    <row r="23">
      <c r="A23" s="758" t="s">
        <v>149</v>
      </c>
      <c r="B23" s="268"/>
      <c r="C23" s="268"/>
      <c r="D23" s="298" t="n">
        <v>149.97300000000001</v>
      </c>
      <c r="E23" s="298" t="n">
        <v>2.5999999999999999E-2</v>
      </c>
      <c r="F23" s="298" t="n">
        <v>0</v>
      </c>
      <c r="G23" s="298" t="n">
        <v>0</v>
      </c>
      <c r="H23" s="298" t="n">
        <v>0</v>
      </c>
      <c r="I23" s="298" t="n">
        <v>0</v>
      </c>
      <c r="J23" s="298" t="n">
        <v>0</v>
      </c>
      <c r="K23" s="298" t="n">
        <v>0</v>
      </c>
      <c r="L23" s="298" t="n">
        <v>0</v>
      </c>
      <c r="M23" s="298" t="n">
        <v>0</v>
      </c>
      <c r="N23" s="298" t="n">
        <v>0</v>
      </c>
      <c r="O23" s="298" t="n">
        <v>2.5999999999999999E-2</v>
      </c>
      <c r="P23" s="298" t="n">
        <v>2.5999999999999999E-2</v>
      </c>
      <c r="Q23" t="s">
        <v>51</v>
      </c>
    </row>
    <row r="24">
      <c r="A24" s="758" t="s">
        <v>590</v>
      </c>
      <c r="B24" s="268"/>
      <c r="C24" s="268"/>
      <c r="D24" s="298" t="n">
        <v>135.41999999999999</v>
      </c>
      <c r="E24" s="298" t="n">
        <v>72.537999999999997</v>
      </c>
      <c r="F24" s="298" t="n">
        <v>10.331</v>
      </c>
      <c r="G24" s="298" t="n">
        <v>4.2670000000000003</v>
      </c>
      <c r="H24" s="298" t="n">
        <v>1.347</v>
      </c>
      <c r="I24" s="298" t="n">
        <v>0.67400000000000004</v>
      </c>
      <c r="J24" s="298" t="n">
        <v>0</v>
      </c>
      <c r="K24" s="298" t="n">
        <v>0</v>
      </c>
      <c r="L24" s="298" t="n">
        <v>0</v>
      </c>
      <c r="M24" s="298" t="n">
        <v>0</v>
      </c>
      <c r="N24" s="298" t="n">
        <v>0</v>
      </c>
      <c r="O24" s="298" t="n">
        <v>89.156999999999996</v>
      </c>
      <c r="P24" s="298" t="n">
        <v>89.156999999999996</v>
      </c>
      <c r="Q24" t="s">
        <v>591</v>
      </c>
    </row>
    <row r="25">
      <c r="A25" s="758" t="s">
        <v>592</v>
      </c>
      <c r="B25" s="268"/>
      <c r="C25" s="268"/>
      <c r="D25" s="298"/>
      <c r="E25" s="298"/>
      <c r="F25" s="298"/>
      <c r="G25" s="298"/>
      <c r="H25" s="298"/>
      <c r="I25" s="298"/>
      <c r="J25" s="298"/>
      <c r="K25" s="298"/>
      <c r="L25" s="298"/>
      <c r="M25" s="298"/>
      <c r="N25" s="298"/>
      <c r="O25" s="298"/>
      <c r="P25" s="298"/>
    </row>
    <row r="26">
      <c r="A26" s="758" t="s">
        <v>593</v>
      </c>
      <c r="B26" s="268"/>
      <c r="C26" s="268"/>
      <c r="D26" s="298" t="n">
        <v>40.831000000000003</v>
      </c>
      <c r="E26" s="298" t="n">
        <v>79.391999999999996</v>
      </c>
      <c r="F26" s="298" t="n">
        <v>47.442999999999998</v>
      </c>
      <c r="G26" s="298" t="n">
        <v>4.7220000000000004</v>
      </c>
      <c r="H26" s="298" t="n">
        <v>0</v>
      </c>
      <c r="I26" s="298" t="n">
        <v>0</v>
      </c>
      <c r="J26" s="298" t="n">
        <v>0</v>
      </c>
      <c r="K26" s="298" t="n">
        <v>0</v>
      </c>
      <c r="L26" s="298" t="n">
        <v>0</v>
      </c>
      <c r="M26" s="298" t="n">
        <v>0</v>
      </c>
      <c r="N26" s="298" t="n">
        <v>0</v>
      </c>
      <c r="O26" s="298" t="n">
        <v>131.55699999999999</v>
      </c>
      <c r="P26" s="298" t="n">
        <v>131.55699999999999</v>
      </c>
      <c r="Q26" t="s">
        <v>133</v>
      </c>
    </row>
    <row r="27">
      <c r="A27" s="758" t="s">
        <v>594</v>
      </c>
      <c r="B27" s="268"/>
      <c r="C27" s="268"/>
      <c r="D27" s="298" t="n">
        <v>58.054000000000002</v>
      </c>
      <c r="E27" s="298" t="n">
        <v>14.755000000000001</v>
      </c>
      <c r="F27" s="298" t="n">
        <v>3.4750000000000001</v>
      </c>
      <c r="G27" s="298" t="n">
        <v>3.9249999999999998</v>
      </c>
      <c r="H27" s="298" t="n">
        <v>4.375</v>
      </c>
      <c r="I27" s="298" t="n">
        <v>4.375</v>
      </c>
      <c r="J27" s="298" t="n">
        <v>4.5</v>
      </c>
      <c r="K27" s="298" t="n">
        <v>4.5</v>
      </c>
      <c r="L27" s="298" t="n">
        <v>4.5</v>
      </c>
      <c r="M27" s="298" t="n">
        <v>4.5</v>
      </c>
      <c r="N27" s="298" t="n">
        <v>4.5</v>
      </c>
      <c r="O27" s="298" t="n">
        <v>30.905000000000001</v>
      </c>
      <c r="P27" s="298" t="n">
        <v>53.405000000000001</v>
      </c>
    </row>
    <row r="28">
      <c r="A28" s="758" t="s">
        <v>595</v>
      </c>
      <c r="B28" s="268"/>
      <c r="C28" s="268"/>
      <c r="D28" s="298" t="n">
        <v>47.372999999999998</v>
      </c>
      <c r="E28" s="298" t="n">
        <v>-46.081000000000003</v>
      </c>
      <c r="F28" s="298" t="n">
        <v>0</v>
      </c>
      <c r="G28" s="298" t="n">
        <v>0</v>
      </c>
      <c r="H28" s="298" t="n">
        <v>0</v>
      </c>
      <c r="I28" s="298" t="n">
        <v>0</v>
      </c>
      <c r="J28" s="298" t="n">
        <v>0</v>
      </c>
      <c r="K28" s="298" t="n">
        <v>0</v>
      </c>
      <c r="L28" s="298" t="n">
        <v>0</v>
      </c>
      <c r="M28" s="298" t="n">
        <v>0</v>
      </c>
      <c r="N28" s="298" t="n">
        <v>0</v>
      </c>
      <c r="O28" s="298" t="n">
        <v>-46.081000000000003</v>
      </c>
      <c r="P28" s="298" t="n">
        <v>-46.081000000000003</v>
      </c>
      <c r="Q28" t="s">
        <v>55</v>
      </c>
    </row>
    <row r="29">
      <c r="A29" s="758" t="s">
        <v>596</v>
      </c>
      <c r="B29" s="268"/>
      <c r="C29" s="268"/>
      <c r="D29" s="298" t="n">
        <v>24.475000000000001</v>
      </c>
      <c r="E29" s="298" t="n">
        <v>32.784999999999997</v>
      </c>
      <c r="F29" s="298" t="n">
        <v>8.4600000000000009</v>
      </c>
      <c r="G29" s="298" t="n">
        <v>0</v>
      </c>
      <c r="H29" s="298" t="n">
        <v>0</v>
      </c>
      <c r="I29" s="298" t="n">
        <v>0</v>
      </c>
      <c r="J29" s="298" t="n">
        <v>0</v>
      </c>
      <c r="K29" s="298" t="n">
        <v>0</v>
      </c>
      <c r="L29" s="298" t="n">
        <v>0</v>
      </c>
      <c r="M29" s="298" t="n">
        <v>0</v>
      </c>
      <c r="N29" s="298" t="n">
        <v>0</v>
      </c>
      <c r="O29" s="298" t="n">
        <v>41.244999999999997</v>
      </c>
      <c r="P29" s="298" t="n">
        <v>41.244999999999997</v>
      </c>
      <c r="Q29" t="s">
        <v>597</v>
      </c>
    </row>
    <row r="30">
      <c r="A30" s="758" t="s">
        <v>598</v>
      </c>
      <c r="B30" s="268"/>
      <c r="C30" s="268"/>
      <c r="D30" s="298" t="n">
        <v>27.5</v>
      </c>
      <c r="E30" s="298" t="n">
        <v>0.86</v>
      </c>
      <c r="F30" s="298" t="n">
        <v>-0.22</v>
      </c>
      <c r="G30" s="298" t="n">
        <v>-0.49</v>
      </c>
      <c r="H30" s="298" t="n">
        <v>-0.56000000000000005</v>
      </c>
      <c r="I30" s="298" t="n">
        <v>-0.98</v>
      </c>
      <c r="J30" s="298" t="n">
        <v>-0.76</v>
      </c>
      <c r="K30" s="298" t="n">
        <v>-0.74</v>
      </c>
      <c r="L30" s="298" t="n">
        <v>-0.72</v>
      </c>
      <c r="M30" s="298" t="n">
        <v>-0.7</v>
      </c>
      <c r="N30" s="298" t="n">
        <v>-0.69</v>
      </c>
      <c r="O30" s="298" t="n">
        <v>-1.39</v>
      </c>
      <c r="P30" s="298" t="n">
        <v>-5</v>
      </c>
      <c r="Q30" t="s">
        <v>52</v>
      </c>
    </row>
    <row r="31">
      <c r="A31" s="758" t="s">
        <v>150</v>
      </c>
      <c r="B31" s="268"/>
      <c r="C31" s="268"/>
      <c r="D31" s="298" t="n">
        <v>11.407999999999999</v>
      </c>
      <c r="E31" s="298" t="n">
        <v>10.763</v>
      </c>
      <c r="F31" s="298" t="n">
        <v>5.7809999999999997</v>
      </c>
      <c r="G31" s="298" t="n">
        <v>0.92300000000000004</v>
      </c>
      <c r="H31" s="298" t="n">
        <v>0.52300000000000002</v>
      </c>
      <c r="I31" s="298" t="n">
        <v>0.43099999999999999</v>
      </c>
      <c r="J31" s="298" t="n">
        <v>0.246</v>
      </c>
      <c r="K31" s="298" t="n">
        <v>0</v>
      </c>
      <c r="L31" s="298" t="n">
        <v>0</v>
      </c>
      <c r="M31" s="298" t="n">
        <v>0</v>
      </c>
      <c r="N31" s="298" t="n">
        <v>0</v>
      </c>
      <c r="O31" s="298" t="n">
        <v>18.420999999999999</v>
      </c>
      <c r="P31" s="298" t="n">
        <v>18.667000000000002</v>
      </c>
      <c r="Q31" t="s">
        <v>599</v>
      </c>
    </row>
    <row r="32">
      <c r="A32" s="758" t="s">
        <v>600</v>
      </c>
      <c r="B32" s="268"/>
      <c r="C32" s="268"/>
      <c r="D32" s="298" t="n">
        <v>99.444000000000003</v>
      </c>
      <c r="E32" s="298" t="n">
        <v>61.634</v>
      </c>
      <c r="F32" s="298" t="n">
        <v>23.815000000000001</v>
      </c>
      <c r="G32" s="298" t="n">
        <v>7.35</v>
      </c>
      <c r="H32" s="298" t="n">
        <v>4.4029999999999996</v>
      </c>
      <c r="I32" s="298" t="n">
        <v>1.663</v>
      </c>
      <c r="J32" s="298" t="n">
        <v>0.74399999999999999</v>
      </c>
      <c r="K32" s="298" t="n">
        <v>0.65500000000000003</v>
      </c>
      <c r="L32" s="298" t="n">
        <v>0.68799999999999994</v>
      </c>
      <c r="M32" s="298" t="n">
        <v>10.603</v>
      </c>
      <c r="N32" s="298" t="n">
        <v>-35.328000000000003</v>
      </c>
      <c r="O32" s="298" t="n">
        <v>98.864999999999995</v>
      </c>
      <c r="P32" s="298" t="n">
        <v>76.227000000000004</v>
      </c>
      <c r="Q32" t="s">
        <v>601</v>
      </c>
    </row>
    <row r="33">
      <c r="A33" s="758"/>
      <c r="B33" s="268"/>
      <c r="C33" s="268"/>
      <c r="D33" s="298"/>
      <c r="E33" s="298"/>
      <c r="F33" s="298"/>
      <c r="G33" s="298"/>
      <c r="H33" s="298"/>
      <c r="I33" s="298"/>
      <c r="J33" s="298"/>
      <c r="K33" s="298"/>
      <c r="L33" s="298"/>
      <c r="M33" s="298"/>
      <c r="N33" s="298"/>
      <c r="O33" s="298"/>
      <c r="P33" s="298"/>
    </row>
    <row r="34">
      <c r="A34" s="1184"/>
      <c r="B34" s="1184"/>
      <c r="C34" s="1184" t="s">
        <v>359</v>
      </c>
      <c r="D34" s="1185" t="n">
        <v>1777.13</v>
      </c>
      <c r="E34" s="1185" t="n">
        <v>307.48399999999998</v>
      </c>
      <c r="F34" s="1185" t="n">
        <v>99.084999999999994</v>
      </c>
      <c r="G34" s="1185" t="n">
        <v>20.696999999999999</v>
      </c>
      <c r="H34" s="1185" t="n">
        <v>10.087999999999999</v>
      </c>
      <c r="I34" s="1185" t="n">
        <v>6.1630000000000003</v>
      </c>
      <c r="J34" s="1185" t="n">
        <v>4.7300000000000004</v>
      </c>
      <c r="K34" s="1185" t="n">
        <v>4.415</v>
      </c>
      <c r="L34" s="1185" t="n">
        <v>4.468</v>
      </c>
      <c r="M34" s="1185" t="n">
        <v>14.403</v>
      </c>
      <c r="N34" s="1185" t="n">
        <v>-31.518000000000001</v>
      </c>
      <c r="O34" s="1185" t="n">
        <v>443.517</v>
      </c>
      <c r="P34" s="1185" t="n">
        <v>440.01499999999999</v>
      </c>
    </row>
    <row r="35">
      <c r="A35" s="268"/>
      <c r="B35" s="268"/>
      <c r="C35" s="268"/>
      <c r="D35" s="1182"/>
      <c r="E35" s="558"/>
      <c r="F35" s="758"/>
      <c r="G35" s="758"/>
      <c r="H35" s="758"/>
      <c r="I35" s="758"/>
      <c r="J35" s="758"/>
      <c r="K35" s="758"/>
      <c r="L35" s="758"/>
      <c r="M35" s="758"/>
      <c r="N35" s="758"/>
      <c r="O35" s="758"/>
      <c r="P35" s="758"/>
    </row>
    <row r="36">
      <c r="A36" s="1190" t="s">
        <v>602</v>
      </c>
      <c r="B36" s="1190"/>
      <c r="C36" s="1190"/>
      <c r="D36" s="1177"/>
      <c r="E36" s="1190"/>
      <c r="F36" s="1190"/>
      <c r="G36" s="1190"/>
      <c r="H36" s="1190"/>
      <c r="I36" s="1190"/>
      <c r="J36" s="1190"/>
      <c r="K36" s="1190"/>
      <c r="L36" s="1190"/>
      <c r="M36" s="1190"/>
      <c r="N36" s="1190"/>
      <c r="O36" s="1190"/>
      <c r="P36" s="1190"/>
    </row>
    <row r="37">
      <c r="A37" s="1190"/>
      <c r="B37" s="1190"/>
      <c r="C37" s="1190"/>
      <c r="D37" s="1177"/>
      <c r="E37" s="1190"/>
      <c r="F37" s="1190"/>
      <c r="G37" s="1190"/>
      <c r="H37" s="1190"/>
      <c r="I37" s="1190"/>
      <c r="J37" s="1190"/>
      <c r="K37" s="1190"/>
      <c r="L37" s="1190"/>
      <c r="M37" s="1190"/>
      <c r="N37" s="1190"/>
      <c r="O37" s="1190"/>
      <c r="P37" s="1190"/>
    </row>
    <row r="38">
      <c r="A38" s="1191" t="s">
        <v>603</v>
      </c>
      <c r="B38" s="1191"/>
      <c r="C38" s="1191"/>
      <c r="D38" s="1191"/>
      <c r="E38" s="1191"/>
      <c r="F38" s="1191"/>
      <c r="G38" s="1191"/>
      <c r="H38" s="1191"/>
      <c r="I38" s="1191"/>
      <c r="J38" s="1191"/>
      <c r="K38" s="1191"/>
      <c r="L38" s="1191"/>
      <c r="M38" s="1191"/>
      <c r="N38" s="1191"/>
      <c r="O38" s="1191"/>
      <c r="P38" s="1191"/>
    </row>
    <row r="39">
      <c r="A39" s="1191"/>
      <c r="B39" s="1191"/>
      <c r="C39" s="1191"/>
      <c r="D39" s="1191"/>
      <c r="E39" s="1191"/>
      <c r="F39" s="1191"/>
      <c r="G39" s="1191"/>
      <c r="H39" s="1191"/>
      <c r="I39" s="1191"/>
      <c r="J39" s="1191"/>
      <c r="K39" s="1191"/>
      <c r="L39" s="1191"/>
      <c r="M39" s="1191"/>
      <c r="N39" s="1191"/>
      <c r="O39" s="1191"/>
      <c r="P39" s="1191"/>
    </row>
    <row r="40">
      <c r="A40" s="1191"/>
      <c r="B40" s="1191"/>
      <c r="C40" s="1191"/>
      <c r="D40" s="1191"/>
      <c r="E40" s="1191"/>
      <c r="F40" s="1191"/>
      <c r="G40" s="1191"/>
      <c r="H40" s="1191"/>
      <c r="I40" s="1191"/>
      <c r="J40" s="1191"/>
      <c r="K40" s="1191"/>
      <c r="L40" s="1191"/>
      <c r="M40" s="1191"/>
      <c r="N40" s="1191"/>
      <c r="O40" s="1191"/>
      <c r="P40" s="1191"/>
    </row>
    <row r="41">
      <c r="A41" s="1191"/>
      <c r="B41" s="1191"/>
      <c r="C41" s="1191"/>
      <c r="D41" s="1191"/>
      <c r="E41" s="1191"/>
      <c r="F41" s="1191"/>
      <c r="G41" s="1191"/>
      <c r="H41" s="1191"/>
      <c r="I41" s="1191"/>
      <c r="J41" s="1191"/>
      <c r="K41" s="1191"/>
      <c r="L41" s="1191"/>
      <c r="M41" s="1191"/>
      <c r="N41" s="1191"/>
      <c r="O41" s="1191"/>
      <c r="P41" s="1191"/>
    </row>
    <row r="42">
      <c r="A42" s="1191"/>
      <c r="B42" s="1191"/>
      <c r="C42" s="1191"/>
      <c r="D42" s="1191"/>
      <c r="E42" s="1191"/>
      <c r="F42" s="1191"/>
      <c r="G42" s="1191"/>
      <c r="H42" s="1191"/>
      <c r="I42" s="1191"/>
      <c r="J42" s="1191"/>
      <c r="K42" s="1191"/>
      <c r="L42" s="1191"/>
      <c r="M42" s="1191"/>
      <c r="N42" s="1191"/>
      <c r="O42" s="1191"/>
      <c r="P42" s="1191"/>
    </row>
    <row r="43">
      <c r="A43" s="265"/>
      <c r="B43" s="265"/>
      <c r="C43" s="265"/>
      <c r="D43" s="265"/>
      <c r="E43" s="265"/>
      <c r="F43" s="265"/>
      <c r="G43" s="265"/>
      <c r="H43" s="265"/>
      <c r="I43" s="265"/>
      <c r="J43" s="265"/>
      <c r="K43" s="265"/>
      <c r="L43" s="265"/>
      <c r="M43" s="265"/>
      <c r="N43" s="265"/>
      <c r="O43" s="265"/>
      <c r="P43" s="265"/>
    </row>
    <row r="44">
      <c r="A44" s="265" t="s">
        <v>604</v>
      </c>
      <c r="B44" s="265"/>
      <c r="C44" s="265"/>
      <c r="D44" s="265"/>
      <c r="E44" s="265"/>
      <c r="F44" s="265"/>
      <c r="G44" s="265"/>
      <c r="H44" s="265"/>
      <c r="I44" s="265"/>
      <c r="J44" s="265"/>
      <c r="K44" s="265"/>
      <c r="L44" s="265"/>
      <c r="M44" s="265"/>
      <c r="N44" s="265"/>
      <c r="O44" s="265"/>
      <c r="P44" s="265"/>
    </row>
    <row r="45">
      <c r="A45" s="265"/>
      <c r="B45" s="265"/>
      <c r="C45" s="265"/>
      <c r="D45" s="265"/>
      <c r="E45" s="265"/>
      <c r="F45" s="265"/>
      <c r="G45" s="265"/>
      <c r="H45" s="265"/>
      <c r="I45" s="265"/>
      <c r="J45" s="265"/>
      <c r="K45" s="265"/>
      <c r="L45" s="265"/>
      <c r="M45" s="265"/>
      <c r="N45" s="265"/>
      <c r="O45" s="265"/>
      <c r="P45" s="265"/>
    </row>
    <row r="46">
      <c r="A46" s="265"/>
      <c r="B46" s="265"/>
      <c r="C46" s="265"/>
      <c r="D46" s="265"/>
      <c r="E46" s="265"/>
      <c r="F46" s="265"/>
      <c r="G46" s="265"/>
      <c r="H46" s="265"/>
      <c r="I46" s="265"/>
      <c r="J46" s="265"/>
      <c r="K46" s="265"/>
      <c r="L46" s="265"/>
      <c r="M46" s="265"/>
      <c r="N46" s="265"/>
      <c r="O46" s="265"/>
      <c r="P46" s="265"/>
    </row>
    <row r="47">
      <c r="A47" s="1190"/>
      <c r="B47" s="1190"/>
      <c r="C47" s="1190"/>
      <c r="D47" s="1177"/>
      <c r="E47" s="1190"/>
      <c r="F47" s="1190"/>
      <c r="G47" s="1190"/>
      <c r="H47" s="1190"/>
      <c r="I47" s="1190"/>
      <c r="J47" s="1190"/>
      <c r="K47" s="1190"/>
      <c r="L47" s="1190"/>
      <c r="M47" s="1190"/>
      <c r="N47" s="1190"/>
      <c r="O47" s="1190"/>
      <c r="P47" s="1190"/>
    </row>
    <row r="48">
      <c r="A48" s="1189" t="s">
        <v>605</v>
      </c>
      <c r="B48" s="1190"/>
      <c r="C48" s="1190"/>
      <c r="D48" s="1190"/>
      <c r="E48" s="1190"/>
      <c r="F48" s="1190"/>
      <c r="G48" s="1190"/>
      <c r="H48" s="1190"/>
      <c r="I48" s="1190"/>
      <c r="J48" s="1190"/>
      <c r="K48" s="1190"/>
      <c r="L48" s="1190"/>
      <c r="M48" s="1190"/>
      <c r="N48" s="1190"/>
      <c r="O48" s="1190"/>
      <c r="P48" s="1190"/>
    </row>
    <row r="49">
      <c r="A49" s="1190"/>
      <c r="B49" s="1190"/>
      <c r="C49" s="1190"/>
      <c r="D49" s="1190"/>
      <c r="E49" s="1190"/>
      <c r="F49" s="1190"/>
      <c r="G49" s="1190"/>
      <c r="H49" s="1190"/>
      <c r="I49" s="1190"/>
      <c r="J49" s="1190"/>
      <c r="K49" s="1190"/>
      <c r="L49" s="1190"/>
      <c r="M49" s="1190"/>
      <c r="N49" s="1190"/>
      <c r="O49" s="1190"/>
      <c r="P49" s="1190"/>
    </row>
    <row r="50">
      <c r="A50" s="1190"/>
      <c r="B50" s="1190"/>
      <c r="C50" s="1190"/>
      <c r="D50" s="1177"/>
      <c r="E50" s="1190"/>
      <c r="F50" s="1190"/>
      <c r="G50" s="1190"/>
      <c r="H50" s="1190"/>
      <c r="I50" s="1190"/>
      <c r="J50" s="1190"/>
      <c r="K50" s="1190"/>
      <c r="L50" s="1190"/>
      <c r="M50" s="1190"/>
      <c r="N50" s="1190"/>
      <c r="O50" s="1190"/>
      <c r="P50" s="1190"/>
    </row>
    <row r="51">
      <c r="A51" s="1186" t="s">
        <v>606</v>
      </c>
      <c r="B51" s="1186"/>
      <c r="C51" s="1186"/>
      <c r="D51" s="1186"/>
      <c r="E51" s="1186"/>
      <c r="F51" s="1186"/>
      <c r="G51" s="1186"/>
      <c r="H51" s="1186"/>
      <c r="I51" s="1186"/>
      <c r="J51" s="1186"/>
      <c r="K51" s="1186"/>
      <c r="L51" s="1186"/>
      <c r="M51" s="1186"/>
      <c r="N51" s="1186"/>
      <c r="O51" s="1186"/>
      <c r="P51" s="1186"/>
    </row>
    <row r="52">
      <c r="A52" s="1186"/>
      <c r="B52" s="1186"/>
      <c r="C52" s="1186"/>
      <c r="D52" s="1186"/>
      <c r="E52" s="1186"/>
      <c r="F52" s="1186"/>
      <c r="G52" s="1186"/>
      <c r="H52" s="1186"/>
      <c r="I52" s="1186"/>
      <c r="J52" s="1186"/>
      <c r="K52" s="1186"/>
      <c r="L52" s="1186"/>
      <c r="M52" s="1186"/>
      <c r="N52" s="1186"/>
      <c r="O52" s="1186"/>
      <c r="P52" s="1186"/>
    </row>
    <row r="53">
      <c r="A53" s="1186"/>
      <c r="B53" s="1186"/>
      <c r="C53" s="1186"/>
      <c r="D53" s="1186"/>
      <c r="E53" s="1186"/>
      <c r="F53" s="1186"/>
      <c r="G53" s="1186"/>
      <c r="H53" s="1186"/>
      <c r="I53" s="1186"/>
      <c r="J53" s="1186"/>
      <c r="K53" s="1186"/>
      <c r="L53" s="1186"/>
      <c r="M53" s="1186"/>
      <c r="N53" s="1186"/>
      <c r="O53" s="1186"/>
      <c r="P53" s="1186"/>
    </row>
    <row r="54">
      <c r="A54" s="1178"/>
      <c r="B54" s="1178"/>
      <c r="C54" s="1178"/>
      <c r="D54" s="1179"/>
      <c r="E54" s="1178"/>
      <c r="F54" s="1178"/>
      <c r="G54" s="1178"/>
      <c r="H54" s="1178"/>
      <c r="I54" s="1178"/>
      <c r="J54" s="1178"/>
      <c r="K54" s="1178"/>
      <c r="L54" s="1178"/>
      <c r="M54" s="1178"/>
      <c r="N54" s="1178"/>
      <c r="O54" s="1178"/>
      <c r="P54" s="1178"/>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9" workbookViewId="0">
      <selection activeCell="E26" sqref="E26"/>
    </sheetView>
  </sheetViews>
  <sheetFormatPr defaultRowHeight="15.0" baseColWidth="10"/>
  <cols>
    <col min="1" max="1" width="36" hidden="0" customWidth="1"/>
    <col min="2" max="2" width="15.5703125" hidden="0" customWidth="1"/>
    <col min="15" max="15" width="19.85546875" hidden="0" customWidth="1"/>
    <col min="16" max="16" width="125.85546875" hidden="0" customWidth="1"/>
  </cols>
  <sheetData>
    <row r="1">
      <c r="A1" s="175" t="s">
        <v>1467</v>
      </c>
      <c r="D1" s="1200" t="n">
        <v>2022</v>
      </c>
      <c r="E1" s="1200" t="n">
        <v>2023</v>
      </c>
      <c r="F1" s="1200" t="n">
        <v>2024</v>
      </c>
      <c r="G1" s="1200" t="n">
        <v>2025</v>
      </c>
      <c r="H1" s="1200" t="n">
        <v>2026</v>
      </c>
      <c r="I1" s="1200" t="n">
        <v>2027</v>
      </c>
      <c r="J1" s="1200" t="n">
        <v>2028</v>
      </c>
      <c r="K1" s="1200" t="n">
        <v>2029</v>
      </c>
      <c r="L1" s="1200" t="n">
        <v>2030</v>
      </c>
      <c r="M1" s="1201" t="n">
        <v>2031</v>
      </c>
      <c r="N1" s="1202" t="s">
        <v>1264</v>
      </c>
      <c r="O1" s="1202" t="s">
        <v>1265</v>
      </c>
    </row>
    <row r="2">
      <c r="C2" s="1294" t="s">
        <v>1468</v>
      </c>
      <c r="D2" s="1294"/>
      <c r="E2" s="1294"/>
      <c r="F2" s="1294"/>
      <c r="G2" s="1294"/>
      <c r="H2" s="1294"/>
      <c r="I2" s="1294"/>
      <c r="J2" s="1294"/>
      <c r="K2" s="1294"/>
      <c r="L2" s="1294"/>
      <c r="M2" s="1294"/>
      <c r="N2" s="1294"/>
      <c r="O2" s="1294"/>
    </row>
    <row r="3">
      <c r="A3" s="63" t="s">
        <v>1273</v>
      </c>
      <c r="B3" s="63" t="n">
        <v>13601</v>
      </c>
      <c r="C3" s="63" t="s">
        <v>1469</v>
      </c>
      <c r="D3" s="63" t="n">
        <v>0</v>
      </c>
      <c r="E3" s="63" t="n">
        <v>0</v>
      </c>
      <c r="F3" s="63" t="n">
        <v>601</v>
      </c>
      <c r="G3" s="63" t="n">
        <v>1038</v>
      </c>
      <c r="H3" s="63" t="n">
        <v>1251</v>
      </c>
      <c r="I3" s="63" t="n">
        <v>1431</v>
      </c>
      <c r="J3" s="63" t="n">
        <v>1492</v>
      </c>
      <c r="K3" s="63" t="n">
        <v>1530</v>
      </c>
      <c r="L3" s="63" t="n">
        <v>1567</v>
      </c>
      <c r="M3" s="63" t="n">
        <v>1606</v>
      </c>
      <c r="N3" s="63" t="n">
        <v>2890</v>
      </c>
      <c r="O3" s="63" t="n">
        <v>10516</v>
      </c>
    </row>
    <row r="4">
      <c r="A4" s="63" t="s">
        <v>1286</v>
      </c>
      <c r="B4" s="63" t="n">
        <v>10301</v>
      </c>
      <c r="C4" s="63" t="s">
        <v>1469</v>
      </c>
      <c r="D4" s="63" t="n">
        <v>0</v>
      </c>
      <c r="E4" s="63" t="n">
        <v>3823</v>
      </c>
      <c r="F4" s="63" t="n">
        <v>3380</v>
      </c>
      <c r="G4" s="63" t="n">
        <v>4970</v>
      </c>
      <c r="H4" s="63" t="n">
        <v>6248</v>
      </c>
      <c r="I4" s="63" t="n">
        <v>7996</v>
      </c>
      <c r="J4" s="63" t="n">
        <v>10106</v>
      </c>
      <c r="K4" s="63" t="n">
        <v>12617</v>
      </c>
      <c r="L4" s="63" t="n">
        <v>15072</v>
      </c>
      <c r="M4" s="63" t="n">
        <v>15388</v>
      </c>
      <c r="N4" s="63" t="n">
        <v>18421</v>
      </c>
      <c r="O4" s="63" t="n">
        <v>79600</v>
      </c>
    </row>
    <row r="5">
      <c r="A5" s="63" t="s">
        <v>1288</v>
      </c>
      <c r="B5" s="63" t="n">
        <v>13802</v>
      </c>
      <c r="C5" s="63" t="s">
        <v>1469</v>
      </c>
      <c r="D5" s="63" t="n">
        <v>0</v>
      </c>
      <c r="E5" s="63" t="n">
        <v>55</v>
      </c>
      <c r="F5" s="63" t="n">
        <v>55</v>
      </c>
      <c r="G5" s="63" t="n">
        <v>55</v>
      </c>
      <c r="H5" s="63" t="n">
        <v>55</v>
      </c>
      <c r="I5" s="63" t="n">
        <v>55</v>
      </c>
      <c r="J5" s="63" t="n">
        <v>55</v>
      </c>
      <c r="K5" s="63" t="n">
        <v>55</v>
      </c>
      <c r="L5" s="63" t="n">
        <v>55</v>
      </c>
      <c r="M5" s="63" t="n">
        <v>55</v>
      </c>
      <c r="N5" s="63" t="n">
        <v>220</v>
      </c>
      <c r="O5" s="63" t="n">
        <v>495</v>
      </c>
    </row>
    <row r="6">
      <c r="A6" s="63" t="s">
        <v>1290</v>
      </c>
      <c r="B6" s="63" t="n">
        <v>22005</v>
      </c>
      <c r="C6" s="63" t="s">
        <v>1469</v>
      </c>
      <c r="D6" s="63" t="n">
        <v>0</v>
      </c>
      <c r="E6" s="63" t="n">
        <v>19</v>
      </c>
      <c r="F6" s="63" t="n">
        <v>26</v>
      </c>
      <c r="G6" s="63" t="n">
        <v>27</v>
      </c>
      <c r="H6" s="63" t="n">
        <v>17</v>
      </c>
      <c r="I6" s="63" t="n">
        <v>7</v>
      </c>
      <c r="J6" s="63" t="n">
        <v>3</v>
      </c>
      <c r="K6" s="63" t="n">
        <v>1</v>
      </c>
      <c r="L6" s="63" t="n">
        <v>0</v>
      </c>
      <c r="M6" s="63" t="n">
        <v>0</v>
      </c>
      <c r="N6" s="63" t="n">
        <v>89</v>
      </c>
      <c r="O6" s="63" t="n">
        <v>100</v>
      </c>
    </row>
    <row r="7">
      <c r="A7" s="63" t="s">
        <v>1276</v>
      </c>
      <c r="B7" s="63" t="n">
        <v>23001</v>
      </c>
      <c r="C7" s="63" t="s">
        <v>1469</v>
      </c>
      <c r="D7" s="63" t="n">
        <v>0</v>
      </c>
      <c r="E7" s="63" t="n">
        <v>35</v>
      </c>
      <c r="F7" s="63" t="n">
        <v>125</v>
      </c>
      <c r="G7" s="63" t="n">
        <v>170</v>
      </c>
      <c r="H7" s="63" t="n">
        <v>375</v>
      </c>
      <c r="I7" s="63" t="n">
        <v>470</v>
      </c>
      <c r="J7" s="63" t="n">
        <v>415</v>
      </c>
      <c r="K7" s="63" t="n">
        <v>280</v>
      </c>
      <c r="L7" s="63" t="n">
        <v>217</v>
      </c>
      <c r="M7" s="63" t="n">
        <v>58</v>
      </c>
      <c r="N7" s="63" t="n">
        <v>705</v>
      </c>
      <c r="O7" s="63" t="n">
        <v>2145</v>
      </c>
    </row>
    <row r="8">
      <c r="A8" s="63" t="s">
        <v>1292</v>
      </c>
      <c r="B8" s="63" t="n">
        <v>23005</v>
      </c>
      <c r="C8" s="63" t="s">
        <v>1469</v>
      </c>
      <c r="D8" s="63" t="n">
        <v>0</v>
      </c>
      <c r="E8" s="63" t="n">
        <v>15</v>
      </c>
      <c r="F8" s="63" t="n">
        <v>15</v>
      </c>
      <c r="G8" s="63" t="n">
        <v>15</v>
      </c>
      <c r="H8" s="63" t="n">
        <v>10</v>
      </c>
      <c r="I8" s="63" t="n">
        <v>10</v>
      </c>
      <c r="J8" s="63" t="n">
        <v>10</v>
      </c>
      <c r="K8" s="63" t="n">
        <v>10</v>
      </c>
      <c r="L8" s="63" t="n">
        <v>10</v>
      </c>
      <c r="M8" s="63" t="n">
        <v>5</v>
      </c>
      <c r="N8" s="63" t="n">
        <v>55</v>
      </c>
      <c r="O8" s="63" t="n">
        <v>100</v>
      </c>
    </row>
    <row r="9">
      <c r="A9" s="63" t="s">
        <v>1345</v>
      </c>
      <c r="B9" s="63" t="n">
        <v>23003</v>
      </c>
      <c r="C9" s="63" t="s">
        <v>1332</v>
      </c>
      <c r="D9" s="63" t="n">
        <v>0</v>
      </c>
      <c r="E9" s="63" t="n">
        <v>65</v>
      </c>
      <c r="F9" s="63" t="n">
        <v>150</v>
      </c>
      <c r="G9" s="63" t="n">
        <v>290</v>
      </c>
      <c r="H9" s="63" t="n">
        <v>290</v>
      </c>
      <c r="I9" s="63" t="n">
        <v>290</v>
      </c>
      <c r="J9" s="63" t="n">
        <v>285</v>
      </c>
      <c r="K9" s="63" t="n">
        <v>250</v>
      </c>
      <c r="L9" s="63" t="n">
        <v>220</v>
      </c>
      <c r="M9" s="63" t="n">
        <v>160</v>
      </c>
      <c r="N9" s="63" t="n">
        <v>795</v>
      </c>
      <c r="O9" s="63" t="n">
        <v>2000</v>
      </c>
    </row>
    <row r="10">
      <c r="A10" s="63" t="s">
        <v>1373</v>
      </c>
      <c r="B10" s="63" t="n">
        <v>11102</v>
      </c>
      <c r="C10" s="63" t="s">
        <v>210</v>
      </c>
      <c r="D10" s="63" t="n">
        <v>0</v>
      </c>
      <c r="E10" s="63" t="n">
        <v>110</v>
      </c>
      <c r="F10" s="63" t="n">
        <v>504</v>
      </c>
      <c r="G10" s="63" t="n">
        <v>878</v>
      </c>
      <c r="H10" s="63" t="n">
        <v>1193</v>
      </c>
      <c r="I10" s="63" t="n">
        <v>1596</v>
      </c>
      <c r="J10" s="63" t="n">
        <v>2081</v>
      </c>
      <c r="K10" s="63" t="n">
        <v>2587</v>
      </c>
      <c r="L10" s="63" t="n">
        <v>3117</v>
      </c>
      <c r="M10" s="63" t="n">
        <v>3648</v>
      </c>
      <c r="N10" s="63" t="n">
        <v>2685</v>
      </c>
      <c r="O10" s="63" t="n">
        <v>15714</v>
      </c>
    </row>
    <row r="11">
      <c r="A11" s="63" t="s">
        <v>1375</v>
      </c>
      <c r="B11" s="63" t="n">
        <v>11405</v>
      </c>
      <c r="C11" s="63" t="s">
        <v>210</v>
      </c>
      <c r="D11" s="63" t="n">
        <v>0</v>
      </c>
      <c r="E11" s="63" t="n">
        <v>0</v>
      </c>
      <c r="F11" s="63" t="n">
        <v>235</v>
      </c>
      <c r="G11" s="63" t="n">
        <v>317</v>
      </c>
      <c r="H11" s="63" t="n">
        <v>304</v>
      </c>
      <c r="I11" s="63" t="n">
        <v>314</v>
      </c>
      <c r="J11" s="63" t="n">
        <v>324</v>
      </c>
      <c r="K11" s="63" t="n">
        <v>335</v>
      </c>
      <c r="L11" s="63" t="n">
        <v>346</v>
      </c>
      <c r="M11" s="63" t="n">
        <v>359</v>
      </c>
      <c r="N11" s="63" t="n">
        <v>856</v>
      </c>
      <c r="O11" s="63" t="n">
        <v>2534</v>
      </c>
    </row>
    <row r="12">
      <c r="A12" s="63" t="s">
        <v>1377</v>
      </c>
      <c r="B12" s="63" t="n">
        <v>11001</v>
      </c>
      <c r="C12" s="63" t="s">
        <v>211</v>
      </c>
      <c r="D12" s="63" t="n">
        <v>0</v>
      </c>
      <c r="E12" s="63" t="n">
        <v>0</v>
      </c>
      <c r="F12" s="63" t="n">
        <v>0</v>
      </c>
      <c r="G12" s="63" t="n">
        <v>0</v>
      </c>
      <c r="H12" s="63" t="n">
        <v>-3728</v>
      </c>
      <c r="I12" s="63" t="n">
        <v>-8317</v>
      </c>
      <c r="J12" s="63" t="n">
        <v>-17535</v>
      </c>
      <c r="K12" s="63" t="n">
        <v>-21009</v>
      </c>
      <c r="L12" s="63" t="n">
        <v>-23416</v>
      </c>
      <c r="M12" s="63" t="n">
        <v>-24516</v>
      </c>
      <c r="N12" s="63" t="n">
        <v>-3728</v>
      </c>
      <c r="O12" s="63" t="n">
        <v>-98521</v>
      </c>
    </row>
    <row r="13">
      <c r="A13" s="63" t="n">
        <v>0</v>
      </c>
      <c r="B13" s="63" t="n">
        <v>11004</v>
      </c>
      <c r="C13" s="63" t="s">
        <v>211</v>
      </c>
      <c r="D13" s="63" t="n">
        <v>0</v>
      </c>
      <c r="E13" s="63" t="n">
        <v>333</v>
      </c>
      <c r="F13" s="63" t="n">
        <v>314</v>
      </c>
      <c r="G13" s="63" t="n">
        <v>314</v>
      </c>
      <c r="H13" s="63" t="n">
        <v>314</v>
      </c>
      <c r="I13" s="63" t="n">
        <v>314</v>
      </c>
      <c r="J13" s="63" t="n">
        <v>314</v>
      </c>
      <c r="K13" s="63" t="n">
        <v>314</v>
      </c>
      <c r="L13" s="63" t="n">
        <v>314</v>
      </c>
      <c r="M13" s="63" t="n">
        <v>314</v>
      </c>
      <c r="N13" s="63" t="n">
        <v>1275</v>
      </c>
      <c r="O13" s="63" t="n">
        <v>2845</v>
      </c>
    </row>
    <row r="14">
      <c r="A14" s="63" t="s">
        <v>1373</v>
      </c>
      <c r="B14" s="63" t="n">
        <v>11102</v>
      </c>
      <c r="C14" s="63" t="s">
        <v>211</v>
      </c>
      <c r="D14" s="63" t="n">
        <v>0</v>
      </c>
      <c r="E14" s="63" t="n">
        <v>-719</v>
      </c>
      <c r="F14" s="63" t="n">
        <v>-1051</v>
      </c>
      <c r="G14" s="63" t="n">
        <v>-18680</v>
      </c>
      <c r="H14" s="63" t="n">
        <v>-7174</v>
      </c>
      <c r="I14" s="63" t="n">
        <v>-7523</v>
      </c>
      <c r="J14" s="63" t="n">
        <v>-7820</v>
      </c>
      <c r="K14" s="63" t="n">
        <v>-8529</v>
      </c>
      <c r="L14" s="63" t="n">
        <v>-9564</v>
      </c>
      <c r="M14" s="63" t="n">
        <v>-10720</v>
      </c>
      <c r="N14" s="63" t="n">
        <v>-27624</v>
      </c>
      <c r="O14" s="63" t="n">
        <v>-71780</v>
      </c>
    </row>
    <row r="15">
      <c r="A15" s="63" t="n">
        <v>0</v>
      </c>
      <c r="B15" s="63" t="n">
        <v>11102</v>
      </c>
      <c r="C15" s="63" t="s">
        <v>211</v>
      </c>
      <c r="D15" s="63" t="n">
        <v>0</v>
      </c>
      <c r="E15" s="63" t="n">
        <v>-23</v>
      </c>
      <c r="F15" s="63" t="n">
        <v>-60</v>
      </c>
      <c r="G15" s="63" t="n">
        <v>-61</v>
      </c>
      <c r="H15" s="63" t="n">
        <v>-43</v>
      </c>
      <c r="I15" s="63" t="n">
        <v>-30</v>
      </c>
      <c r="J15" s="63" t="n">
        <v>-34</v>
      </c>
      <c r="K15" s="63" t="n">
        <v>-26</v>
      </c>
      <c r="L15" s="63" t="n">
        <v>-3</v>
      </c>
      <c r="M15" s="63" t="n">
        <v>7</v>
      </c>
      <c r="N15" s="63" t="n">
        <v>-187</v>
      </c>
      <c r="O15" s="63" t="n">
        <v>-273</v>
      </c>
    </row>
    <row r="16">
      <c r="A16" s="63" t="s">
        <v>1380</v>
      </c>
      <c r="B16" s="63" t="n">
        <v>11201</v>
      </c>
      <c r="C16" s="63" t="s">
        <v>211</v>
      </c>
      <c r="D16" s="63" t="n">
        <v>0</v>
      </c>
      <c r="E16" s="63" t="n">
        <v>48</v>
      </c>
      <c r="F16" s="63" t="n">
        <v>2541</v>
      </c>
      <c r="G16" s="63" t="n">
        <v>4311</v>
      </c>
      <c r="H16" s="63" t="n">
        <v>3827</v>
      </c>
      <c r="I16" s="63" t="n">
        <v>4927</v>
      </c>
      <c r="J16" s="63" t="n">
        <v>5162</v>
      </c>
      <c r="K16" s="63" t="n">
        <v>4780</v>
      </c>
      <c r="L16" s="63" t="n">
        <v>2375</v>
      </c>
      <c r="M16" s="63" t="n">
        <v>1866</v>
      </c>
      <c r="N16" s="63" t="n">
        <v>10727</v>
      </c>
      <c r="O16" s="63" t="n">
        <v>29837</v>
      </c>
    </row>
    <row r="17">
      <c r="A17" s="63" t="s">
        <v>1470</v>
      </c>
      <c r="B17" s="63" t="n">
        <v>11202</v>
      </c>
      <c r="C17" s="63" t="s">
        <v>211</v>
      </c>
      <c r="D17" s="63" t="n">
        <v>0</v>
      </c>
      <c r="E17" s="63" t="n">
        <v>5</v>
      </c>
      <c r="F17" s="63" t="n">
        <v>3</v>
      </c>
      <c r="G17" s="63" t="n">
        <v>17</v>
      </c>
      <c r="H17" s="63" t="n">
        <v>15</v>
      </c>
      <c r="I17" s="63" t="n">
        <v>15</v>
      </c>
      <c r="J17" s="63" t="n">
        <v>20</v>
      </c>
      <c r="K17" s="63" t="n">
        <v>15</v>
      </c>
      <c r="L17" s="63" t="n">
        <v>15</v>
      </c>
      <c r="M17" s="63" t="n">
        <v>20</v>
      </c>
      <c r="N17" s="63" t="n">
        <v>40</v>
      </c>
      <c r="O17" s="63" t="n">
        <v>125</v>
      </c>
    </row>
    <row r="18">
      <c r="A18" s="63" t="s">
        <v>1382</v>
      </c>
      <c r="B18" s="63" t="n">
        <v>11301</v>
      </c>
      <c r="C18" s="63" t="s">
        <v>211</v>
      </c>
      <c r="D18" s="63" t="n">
        <v>0</v>
      </c>
      <c r="E18" s="63" t="n">
        <v>0</v>
      </c>
      <c r="F18" s="63" t="n">
        <v>0</v>
      </c>
      <c r="G18" s="63" t="n">
        <v>0</v>
      </c>
      <c r="H18" s="63" t="n">
        <v>0</v>
      </c>
      <c r="I18" s="63" t="n">
        <v>-16290</v>
      </c>
      <c r="J18" s="63" t="n">
        <v>-25656</v>
      </c>
      <c r="K18" s="63" t="n">
        <v>-23394</v>
      </c>
      <c r="L18" s="63" t="n">
        <v>-27561</v>
      </c>
      <c r="M18" s="63" t="n">
        <v>-29250</v>
      </c>
      <c r="N18" s="63" t="n">
        <v>0</v>
      </c>
      <c r="O18" s="63" t="n">
        <v>-122151</v>
      </c>
    </row>
    <row r="19">
      <c r="A19" s="63" t="s">
        <v>1384</v>
      </c>
      <c r="B19" s="63" t="n">
        <v>11401</v>
      </c>
      <c r="C19" s="63" t="s">
        <v>211</v>
      </c>
      <c r="D19" s="63" t="n">
        <v>0</v>
      </c>
      <c r="E19" s="63" t="n">
        <v>-69</v>
      </c>
      <c r="F19" s="63" t="n">
        <v>301</v>
      </c>
      <c r="G19" s="63" t="n">
        <v>863</v>
      </c>
      <c r="H19" s="63" t="n">
        <v>579</v>
      </c>
      <c r="I19" s="63" t="n">
        <v>466</v>
      </c>
      <c r="J19" s="63" t="n">
        <v>551</v>
      </c>
      <c r="K19" s="63" t="n">
        <v>503</v>
      </c>
      <c r="L19" s="63" t="n">
        <v>593</v>
      </c>
      <c r="M19" s="63" t="n">
        <v>632</v>
      </c>
      <c r="N19" s="63" t="n">
        <v>1674</v>
      </c>
      <c r="O19" s="63" t="n">
        <v>4419</v>
      </c>
    </row>
    <row r="20">
      <c r="A20" s="63" t="n">
        <v>0</v>
      </c>
      <c r="B20" s="63" t="n">
        <v>11402</v>
      </c>
      <c r="C20" s="63" t="s">
        <v>211</v>
      </c>
      <c r="D20" s="63" t="n">
        <v>0</v>
      </c>
      <c r="E20" s="63" t="n">
        <v>-1</v>
      </c>
      <c r="F20" s="63" t="n">
        <v>-1</v>
      </c>
      <c r="G20" s="63" t="n">
        <v>-1</v>
      </c>
      <c r="H20" s="63" t="n">
        <v>-2</v>
      </c>
      <c r="I20" s="63" t="n">
        <v>-2</v>
      </c>
      <c r="J20" s="63" t="n">
        <v>-2</v>
      </c>
      <c r="K20" s="63" t="n">
        <v>-2</v>
      </c>
      <c r="L20" s="63" t="n">
        <v>-2</v>
      </c>
      <c r="M20" s="63" t="n">
        <v>-2</v>
      </c>
      <c r="N20" s="63" t="n">
        <v>-5</v>
      </c>
      <c r="O20" s="63" t="n">
        <v>-15</v>
      </c>
    </row>
    <row r="21">
      <c r="A21" s="63" t="n">
        <v>0</v>
      </c>
      <c r="B21" s="63" t="n">
        <v>11403</v>
      </c>
      <c r="C21" s="63" t="s">
        <v>211</v>
      </c>
      <c r="D21" s="63" t="n">
        <v>0</v>
      </c>
      <c r="E21" s="63" t="n">
        <v>0</v>
      </c>
      <c r="F21" s="63" t="n">
        <v>0</v>
      </c>
      <c r="G21" s="63" t="n">
        <v>0</v>
      </c>
      <c r="H21" s="63" t="n">
        <v>0</v>
      </c>
      <c r="I21" s="63" t="n">
        <v>0</v>
      </c>
      <c r="J21" s="63" t="n">
        <v>0</v>
      </c>
      <c r="K21" s="63" t="n">
        <v>0</v>
      </c>
      <c r="L21" s="63" t="n">
        <v>0</v>
      </c>
      <c r="M21" s="63" t="n">
        <v>0</v>
      </c>
      <c r="N21" s="63" t="n">
        <v>0</v>
      </c>
      <c r="O21" s="63" t="n">
        <v>0</v>
      </c>
    </row>
    <row r="22">
      <c r="A22" s="63" t="n">
        <v>0</v>
      </c>
      <c r="B22" s="63" t="n">
        <v>11406</v>
      </c>
      <c r="C22" s="63" t="s">
        <v>211</v>
      </c>
      <c r="D22" s="63" t="n">
        <v>0</v>
      </c>
      <c r="E22" s="63" t="n">
        <v>1</v>
      </c>
      <c r="F22" s="63" t="n">
        <v>501</v>
      </c>
      <c r="G22" s="63" t="n">
        <v>506</v>
      </c>
      <c r="H22" s="63" t="n">
        <v>561</v>
      </c>
      <c r="I22" s="63" t="n">
        <v>628</v>
      </c>
      <c r="J22" s="63" t="n">
        <v>681</v>
      </c>
      <c r="K22" s="63" t="n">
        <v>608</v>
      </c>
      <c r="L22" s="63" t="n">
        <v>659</v>
      </c>
      <c r="M22" s="63" t="n">
        <v>684</v>
      </c>
      <c r="N22" s="63" t="n">
        <v>1569</v>
      </c>
      <c r="O22" s="63" t="n">
        <v>4829</v>
      </c>
    </row>
    <row r="23">
      <c r="A23" s="63" t="n">
        <v>0</v>
      </c>
      <c r="B23" s="63" t="n">
        <v>11407</v>
      </c>
      <c r="C23" s="63" t="s">
        <v>211</v>
      </c>
      <c r="D23" s="63" t="n">
        <v>0</v>
      </c>
      <c r="E23" s="63" t="n">
        <v>10</v>
      </c>
      <c r="F23" s="63" t="n">
        <v>25</v>
      </c>
      <c r="G23" s="63" t="n">
        <v>28</v>
      </c>
      <c r="H23" s="63" t="n">
        <v>29</v>
      </c>
      <c r="I23" s="63" t="n">
        <v>31</v>
      </c>
      <c r="J23" s="63" t="n">
        <v>33</v>
      </c>
      <c r="K23" s="63" t="n">
        <v>33</v>
      </c>
      <c r="L23" s="63" t="n">
        <v>35</v>
      </c>
      <c r="M23" s="63" t="n">
        <v>37</v>
      </c>
      <c r="N23" s="63" t="n">
        <v>92</v>
      </c>
      <c r="O23" s="63" t="n">
        <v>261</v>
      </c>
    </row>
    <row r="24">
      <c r="A24" s="63" t="n">
        <v>0</v>
      </c>
      <c r="B24" s="63" t="n">
        <v>11408</v>
      </c>
      <c r="C24" s="63" t="s">
        <v>211</v>
      </c>
      <c r="D24" s="63" t="n">
        <v>0</v>
      </c>
      <c r="E24" s="63" t="n">
        <v>0</v>
      </c>
      <c r="F24" s="63" t="n">
        <v>0</v>
      </c>
      <c r="G24" s="63" t="n">
        <v>0</v>
      </c>
      <c r="H24" s="63" t="n">
        <v>0</v>
      </c>
      <c r="I24" s="63" t="n">
        <v>0</v>
      </c>
      <c r="J24" s="63" t="n">
        <v>0</v>
      </c>
      <c r="K24" s="63" t="n">
        <v>0</v>
      </c>
      <c r="L24" s="63" t="n">
        <v>0</v>
      </c>
      <c r="M24" s="63" t="n">
        <v>0</v>
      </c>
      <c r="N24" s="63" t="n">
        <v>0</v>
      </c>
      <c r="O24" s="63" t="n">
        <v>0</v>
      </c>
    </row>
    <row r="25">
      <c r="A25" s="63" t="s">
        <v>1386</v>
      </c>
      <c r="B25" s="63" t="n">
        <v>11404</v>
      </c>
      <c r="C25" s="63" t="s">
        <v>211</v>
      </c>
      <c r="D25" s="63" t="n">
        <v>0</v>
      </c>
      <c r="E25" s="63" t="n">
        <v>0</v>
      </c>
      <c r="F25" s="63" t="n">
        <v>195</v>
      </c>
      <c r="G25" s="63" t="n">
        <v>230</v>
      </c>
      <c r="H25" s="63" t="n">
        <v>248</v>
      </c>
      <c r="I25" s="63" t="n">
        <v>266</v>
      </c>
      <c r="J25" s="63" t="n">
        <v>311</v>
      </c>
      <c r="K25" s="63" t="n">
        <v>281</v>
      </c>
      <c r="L25" s="63" t="n">
        <v>327</v>
      </c>
      <c r="M25" s="63" t="n">
        <v>347</v>
      </c>
      <c r="N25" s="63" t="n">
        <v>673</v>
      </c>
      <c r="O25" s="63" t="n">
        <v>2205</v>
      </c>
    </row>
    <row r="26">
      <c r="A26" s="63" t="s">
        <v>1398</v>
      </c>
      <c r="B26" s="63" t="n">
        <v>12001</v>
      </c>
      <c r="C26" s="63" t="s">
        <v>1471</v>
      </c>
      <c r="D26" s="63" t="n">
        <v>0</v>
      </c>
      <c r="E26" s="63" t="n">
        <v>20892</v>
      </c>
      <c r="F26" s="63" t="n">
        <v>11288</v>
      </c>
      <c r="G26" s="63" t="n">
        <v>9651</v>
      </c>
      <c r="H26" s="63" t="n">
        <v>-8548</v>
      </c>
      <c r="I26" s="63" t="n">
        <v>-463</v>
      </c>
      <c r="J26" s="63" t="n">
        <v>0</v>
      </c>
      <c r="K26" s="63" t="n">
        <v>0</v>
      </c>
      <c r="L26" s="63" t="n">
        <v>0</v>
      </c>
      <c r="M26" s="63" t="n">
        <v>0</v>
      </c>
      <c r="N26" s="63" t="n">
        <v>33283</v>
      </c>
      <c r="O26" s="63" t="n">
        <v>32820</v>
      </c>
    </row>
    <row r="27">
      <c r="A27" s="63" t="s">
        <v>1400</v>
      </c>
      <c r="B27" s="63" t="n">
        <v>22003</v>
      </c>
      <c r="C27" s="63" t="s">
        <v>1471</v>
      </c>
      <c r="D27" s="63" t="n">
        <v>0</v>
      </c>
      <c r="E27" s="63" t="n">
        <v>24</v>
      </c>
      <c r="F27" s="63" t="n">
        <v>65</v>
      </c>
      <c r="G27" s="63" t="n">
        <v>112</v>
      </c>
      <c r="H27" s="63" t="n">
        <v>130</v>
      </c>
      <c r="I27" s="63" t="n">
        <v>98</v>
      </c>
      <c r="J27" s="63" t="n">
        <v>56</v>
      </c>
      <c r="K27" s="63" t="n">
        <v>15</v>
      </c>
      <c r="L27" s="63" t="n">
        <v>0</v>
      </c>
      <c r="M27" s="63" t="n">
        <v>0</v>
      </c>
      <c r="N27" s="63" t="n">
        <v>331</v>
      </c>
      <c r="O27" s="63" t="n">
        <v>500</v>
      </c>
    </row>
    <row r="28">
      <c r="A28" s="63" t="s">
        <v>1402</v>
      </c>
      <c r="B28" s="63" t="n">
        <v>22004</v>
      </c>
      <c r="C28" s="63" t="s">
        <v>1471</v>
      </c>
      <c r="D28" s="63" t="n">
        <v>0</v>
      </c>
      <c r="E28" s="63" t="n">
        <v>50</v>
      </c>
      <c r="F28" s="63" t="n">
        <v>500</v>
      </c>
      <c r="G28" s="63" t="n">
        <v>920</v>
      </c>
      <c r="H28" s="63" t="n">
        <v>1310</v>
      </c>
      <c r="I28" s="63" t="n">
        <v>1680</v>
      </c>
      <c r="J28" s="63" t="n">
        <v>1780</v>
      </c>
      <c r="K28" s="63" t="n">
        <v>1640</v>
      </c>
      <c r="L28" s="63" t="n">
        <v>1090</v>
      </c>
      <c r="M28" s="63" t="n">
        <v>630</v>
      </c>
      <c r="N28" s="63" t="n">
        <v>2780</v>
      </c>
      <c r="O28" s="63" t="n">
        <v>9600</v>
      </c>
    </row>
    <row r="29" ht="45" customHeight="1">
      <c r="A29" s="34" t="s">
        <v>1472</v>
      </c>
      <c r="B29" s="63" t="n">
        <v>22007</v>
      </c>
      <c r="C29" s="63" t="s">
        <v>1471</v>
      </c>
      <c r="D29" s="63" t="n">
        <v>-622</v>
      </c>
      <c r="E29" s="63" t="n">
        <v>80</v>
      </c>
      <c r="F29" s="63" t="n">
        <v>248</v>
      </c>
      <c r="G29" s="63" t="n">
        <v>266</v>
      </c>
      <c r="H29" s="63" t="n">
        <v>363</v>
      </c>
      <c r="I29" s="63" t="n">
        <v>464</v>
      </c>
      <c r="J29" s="63" t="n">
        <v>451</v>
      </c>
      <c r="K29" s="63" t="n">
        <v>336</v>
      </c>
      <c r="L29" s="63" t="n">
        <v>226</v>
      </c>
      <c r="M29" s="63" t="n">
        <v>117</v>
      </c>
      <c r="N29" s="63" t="n">
        <v>335</v>
      </c>
      <c r="O29" s="63" t="n">
        <v>1929</v>
      </c>
    </row>
    <row r="30">
      <c r="A30" s="63" t="s">
        <v>1404</v>
      </c>
      <c r="B30" s="63" t="n">
        <v>23002</v>
      </c>
      <c r="C30" s="63" t="s">
        <v>1471</v>
      </c>
      <c r="D30" s="63" t="n">
        <v>0</v>
      </c>
      <c r="E30" s="63" t="n">
        <v>30</v>
      </c>
      <c r="F30" s="63" t="n">
        <v>90</v>
      </c>
      <c r="G30" s="63" t="n">
        <v>90</v>
      </c>
      <c r="H30" s="63" t="n">
        <v>85</v>
      </c>
      <c r="I30" s="63" t="n">
        <v>70</v>
      </c>
      <c r="J30" s="63" t="n">
        <v>65</v>
      </c>
      <c r="K30" s="63" t="n">
        <v>65</v>
      </c>
      <c r="L30" s="63" t="n">
        <v>35</v>
      </c>
      <c r="M30" s="63" t="n">
        <v>15</v>
      </c>
      <c r="N30" s="63" t="n">
        <v>295</v>
      </c>
      <c r="O30" s="63" t="n">
        <v>545</v>
      </c>
    </row>
    <row r="31">
      <c r="A31" s="63" t="s">
        <v>1395</v>
      </c>
      <c r="B31" s="63" t="n">
        <v>30002</v>
      </c>
      <c r="C31" s="63" t="s">
        <v>1471</v>
      </c>
      <c r="D31" s="63" t="n">
        <v>0</v>
      </c>
      <c r="E31" s="63" t="n">
        <v>20</v>
      </c>
      <c r="F31" s="63" t="n">
        <v>65</v>
      </c>
      <c r="G31" s="63" t="n">
        <v>110</v>
      </c>
      <c r="H31" s="63" t="n">
        <v>135</v>
      </c>
      <c r="I31" s="63" t="n">
        <v>180</v>
      </c>
      <c r="J31" s="63" t="n">
        <v>230</v>
      </c>
      <c r="K31" s="63" t="n">
        <v>180</v>
      </c>
      <c r="L31" s="63" t="n">
        <v>60</v>
      </c>
      <c r="M31" s="63" t="n">
        <v>10</v>
      </c>
      <c r="N31" s="63" t="n">
        <v>330</v>
      </c>
      <c r="O31" s="63" t="n">
        <v>990</v>
      </c>
    </row>
    <row r="32">
      <c r="A32" s="63" t="s">
        <v>1473</v>
      </c>
      <c r="B32" s="63" t="n">
        <v>13104</v>
      </c>
      <c r="C32" s="63" t="s">
        <v>1474</v>
      </c>
      <c r="D32" s="63" t="n">
        <v>0</v>
      </c>
      <c r="E32" s="63" t="n">
        <v>20</v>
      </c>
      <c r="F32" s="63" t="n">
        <v>145</v>
      </c>
      <c r="G32" s="63" t="n">
        <v>225</v>
      </c>
      <c r="H32" s="63" t="n">
        <v>238</v>
      </c>
      <c r="I32" s="63" t="n">
        <v>222</v>
      </c>
      <c r="J32" s="63" t="n">
        <v>206</v>
      </c>
      <c r="K32" s="63" t="n">
        <v>186</v>
      </c>
      <c r="L32" s="63" t="n">
        <v>165</v>
      </c>
      <c r="M32" s="63" t="n">
        <v>142</v>
      </c>
      <c r="N32" s="63" t="n">
        <v>628</v>
      </c>
      <c r="O32" s="63" t="n">
        <v>1550</v>
      </c>
    </row>
    <row r="33">
      <c r="A33" s="63" t="s">
        <v>1475</v>
      </c>
      <c r="B33" s="63" t="n">
        <v>13105</v>
      </c>
      <c r="C33" s="63" t="s">
        <v>1474</v>
      </c>
      <c r="D33" s="63" t="n">
        <v>0</v>
      </c>
      <c r="E33" s="63" t="n">
        <v>0</v>
      </c>
      <c r="F33" s="63" t="n">
        <v>1050</v>
      </c>
      <c r="G33" s="63" t="n">
        <v>1692</v>
      </c>
      <c r="H33" s="63" t="n">
        <v>1781</v>
      </c>
      <c r="I33" s="63" t="n">
        <v>1842</v>
      </c>
      <c r="J33" s="63" t="n">
        <v>1901</v>
      </c>
      <c r="K33" s="63" t="n">
        <v>1944</v>
      </c>
      <c r="L33" s="63" t="n">
        <v>2054</v>
      </c>
      <c r="M33" s="63" t="n">
        <v>2137</v>
      </c>
      <c r="N33" s="63" t="n">
        <v>4522</v>
      </c>
      <c r="O33" s="63" t="n">
        <v>14401</v>
      </c>
    </row>
    <row r="34">
      <c r="A34" s="63" t="s">
        <v>1432</v>
      </c>
      <c r="B34" s="63" t="n">
        <v>13204</v>
      </c>
      <c r="C34" s="63" t="s">
        <v>1474</v>
      </c>
      <c r="D34" s="63" t="n">
        <v>0</v>
      </c>
      <c r="E34" s="63" t="n">
        <v>59</v>
      </c>
      <c r="F34" s="63" t="n">
        <v>149</v>
      </c>
      <c r="G34" s="63" t="n">
        <v>244</v>
      </c>
      <c r="H34" s="63" t="n">
        <v>364</v>
      </c>
      <c r="I34" s="63" t="n">
        <v>498</v>
      </c>
      <c r="J34" s="63" t="n">
        <v>657</v>
      </c>
      <c r="K34" s="63" t="n">
        <v>851</v>
      </c>
      <c r="L34" s="63" t="n">
        <v>1086</v>
      </c>
      <c r="M34" s="63" t="n">
        <v>1410</v>
      </c>
      <c r="N34" s="63" t="n">
        <v>815</v>
      </c>
      <c r="O34" s="63" t="n">
        <v>5317</v>
      </c>
    </row>
    <row r="35">
      <c r="A35" s="63" t="s">
        <v>1476</v>
      </c>
      <c r="B35" s="63" t="n">
        <v>13502</v>
      </c>
      <c r="C35" s="63" t="s">
        <v>1474</v>
      </c>
      <c r="D35" s="63" t="n">
        <v>0</v>
      </c>
      <c r="E35" s="63" t="n">
        <v>842</v>
      </c>
      <c r="F35" s="63" t="n">
        <v>1201</v>
      </c>
      <c r="G35" s="63" t="n">
        <v>1291</v>
      </c>
      <c r="H35" s="63" t="n">
        <v>1519</v>
      </c>
      <c r="I35" s="63" t="n">
        <v>1710</v>
      </c>
      <c r="J35" s="63" t="n">
        <v>1890</v>
      </c>
      <c r="K35" s="63" t="n">
        <v>2176</v>
      </c>
      <c r="L35" s="63" t="n">
        <v>2189</v>
      </c>
      <c r="M35" s="63" t="n">
        <v>1882</v>
      </c>
      <c r="N35" s="63" t="n">
        <v>4853</v>
      </c>
      <c r="O35" s="63" t="n">
        <v>14699</v>
      </c>
    </row>
    <row r="36">
      <c r="A36" s="63" t="s">
        <v>1477</v>
      </c>
      <c r="B36" s="63" t="n">
        <v>13701</v>
      </c>
      <c r="C36" s="63" t="s">
        <v>1474</v>
      </c>
      <c r="D36" s="63" t="n">
        <v>0</v>
      </c>
      <c r="E36" s="63" t="n">
        <v>1</v>
      </c>
      <c r="F36" s="63" t="n">
        <v>1</v>
      </c>
      <c r="G36" s="63" t="n">
        <v>2</v>
      </c>
      <c r="H36" s="63" t="n">
        <v>2</v>
      </c>
      <c r="I36" s="63" t="n">
        <v>3</v>
      </c>
      <c r="J36" s="63" t="n">
        <v>3</v>
      </c>
      <c r="K36" s="63" t="n">
        <v>4</v>
      </c>
      <c r="L36" s="63" t="n">
        <v>5</v>
      </c>
      <c r="M36" s="63" t="n">
        <v>6</v>
      </c>
      <c r="N36" s="63" t="n">
        <v>6</v>
      </c>
      <c r="O36" s="63" t="n">
        <v>26</v>
      </c>
    </row>
    <row r="37">
      <c r="A37" s="63" t="s">
        <v>1414</v>
      </c>
      <c r="B37" s="63" t="n">
        <v>21001</v>
      </c>
      <c r="C37" s="63" t="s">
        <v>1474</v>
      </c>
      <c r="D37" s="63" t="n">
        <v>0</v>
      </c>
      <c r="E37" s="63" t="n">
        <v>178</v>
      </c>
      <c r="F37" s="63" t="n">
        <v>716</v>
      </c>
      <c r="G37" s="63" t="n">
        <v>1268</v>
      </c>
      <c r="H37" s="63" t="n">
        <v>2150</v>
      </c>
      <c r="I37" s="63" t="n">
        <v>3000</v>
      </c>
      <c r="J37" s="63" t="n">
        <v>2906</v>
      </c>
      <c r="K37" s="63" t="n">
        <v>2533</v>
      </c>
      <c r="L37" s="63" t="n">
        <v>1750</v>
      </c>
      <c r="M37" s="63" t="n">
        <v>807</v>
      </c>
      <c r="N37" s="63" t="n">
        <v>4312</v>
      </c>
      <c r="O37" s="63" t="n">
        <v>15308</v>
      </c>
    </row>
    <row r="38">
      <c r="A38" s="63" t="n">
        <v>0</v>
      </c>
      <c r="B38" s="63" t="n">
        <v>21002</v>
      </c>
      <c r="C38" s="63" t="s">
        <v>1474</v>
      </c>
      <c r="D38" s="63" t="n">
        <v>0</v>
      </c>
      <c r="E38" s="63" t="n">
        <v>86</v>
      </c>
      <c r="F38" s="63" t="n">
        <v>95</v>
      </c>
      <c r="G38" s="63" t="n">
        <v>125</v>
      </c>
      <c r="H38" s="63" t="n">
        <v>225</v>
      </c>
      <c r="I38" s="63" t="n">
        <v>225</v>
      </c>
      <c r="J38" s="63" t="n">
        <v>245</v>
      </c>
      <c r="K38" s="63" t="n">
        <v>240</v>
      </c>
      <c r="L38" s="63" t="n">
        <v>109</v>
      </c>
      <c r="M38" s="63" t="n">
        <v>50</v>
      </c>
      <c r="N38" s="63" t="n">
        <v>531</v>
      </c>
      <c r="O38" s="63" t="n">
        <v>1400</v>
      </c>
    </row>
    <row r="39">
      <c r="A39" s="63" t="s">
        <v>1426</v>
      </c>
      <c r="B39" s="63" t="n">
        <v>22002</v>
      </c>
      <c r="C39" s="63" t="s">
        <v>1474</v>
      </c>
      <c r="D39" s="63" t="n">
        <v>0</v>
      </c>
      <c r="E39" s="63" t="n">
        <v>5</v>
      </c>
      <c r="F39" s="63" t="n">
        <v>41</v>
      </c>
      <c r="G39" s="63" t="n">
        <v>116</v>
      </c>
      <c r="H39" s="63" t="n">
        <v>284</v>
      </c>
      <c r="I39" s="63" t="n">
        <v>417</v>
      </c>
      <c r="J39" s="63" t="n">
        <v>459</v>
      </c>
      <c r="K39" s="63" t="n">
        <v>355</v>
      </c>
      <c r="L39" s="63" t="n">
        <v>210</v>
      </c>
      <c r="M39" s="63" t="n">
        <v>90</v>
      </c>
      <c r="N39" s="63" t="n">
        <v>446</v>
      </c>
      <c r="O39" s="63" t="n">
        <v>1977</v>
      </c>
    </row>
    <row r="40">
      <c r="A40" s="63" t="s">
        <v>1442</v>
      </c>
      <c r="B40" s="63" t="n">
        <v>30001</v>
      </c>
      <c r="C40" s="63" t="s">
        <v>1474</v>
      </c>
      <c r="D40" s="63" t="n">
        <v>0</v>
      </c>
      <c r="E40" s="63" t="n">
        <v>25</v>
      </c>
      <c r="F40" s="63" t="n">
        <v>100</v>
      </c>
      <c r="G40" s="63" t="n">
        <v>125</v>
      </c>
      <c r="H40" s="63" t="n">
        <v>100</v>
      </c>
      <c r="I40" s="63" t="n">
        <v>75</v>
      </c>
      <c r="J40" s="63" t="n">
        <v>30</v>
      </c>
      <c r="K40" s="63" t="n">
        <v>20</v>
      </c>
      <c r="L40" s="63" t="n">
        <v>0</v>
      </c>
      <c r="M40" s="63" t="n">
        <v>0</v>
      </c>
      <c r="N40" s="63" t="n">
        <v>350</v>
      </c>
      <c r="O40" s="63" t="n">
        <v>475</v>
      </c>
    </row>
    <row r="42">
      <c r="C42" s="1295" t="s">
        <v>1478</v>
      </c>
      <c r="D42" s="1295"/>
      <c r="E42" s="1295"/>
      <c r="F42" s="1295"/>
      <c r="G42" s="1295"/>
      <c r="H42" s="1295"/>
      <c r="I42" s="1295"/>
      <c r="J42" s="1295"/>
      <c r="K42" s="1295"/>
      <c r="L42" s="1295"/>
      <c r="M42" s="1295"/>
      <c r="N42" s="1295"/>
      <c r="O42" s="1295"/>
    </row>
    <row r="43">
      <c r="A43" s="63" t="s">
        <v>1479</v>
      </c>
      <c r="B43" s="63" t="n">
        <v>10101</v>
      </c>
      <c r="C43" s="63" t="s">
        <v>1480</v>
      </c>
      <c r="D43" s="63" t="n">
        <v>0</v>
      </c>
      <c r="E43" s="63" t="n">
        <v>34679</v>
      </c>
      <c r="F43" s="63" t="n">
        <v>34258</v>
      </c>
      <c r="G43" s="63" t="n">
        <v>22039</v>
      </c>
      <c r="H43" s="63" t="n">
        <v>17702</v>
      </c>
      <c r="I43" s="63" t="n">
        <v>18699</v>
      </c>
      <c r="J43" s="63" t="n">
        <v>20798</v>
      </c>
      <c r="K43" s="63" t="n">
        <v>22756</v>
      </c>
      <c r="L43" s="63" t="n">
        <v>24658</v>
      </c>
      <c r="M43" s="63" t="n">
        <v>26659</v>
      </c>
      <c r="N43" s="63" t="n">
        <v>108678</v>
      </c>
      <c r="O43" s="63" t="n">
        <v>222248</v>
      </c>
    </row>
    <row r="44">
      <c r="A44" s="63" t="s">
        <v>1481</v>
      </c>
      <c r="B44" s="63" t="s">
        <v>1482</v>
      </c>
      <c r="C44" s="63" t="s">
        <v>1480</v>
      </c>
      <c r="D44" s="63" t="n">
        <v>0</v>
      </c>
      <c r="E44" s="63" t="n">
        <v>113</v>
      </c>
      <c r="F44" s="63" t="n">
        <v>314</v>
      </c>
      <c r="G44" s="63" t="n">
        <v>470</v>
      </c>
      <c r="H44" s="63" t="n">
        <v>642</v>
      </c>
      <c r="I44" s="63" t="n">
        <v>812</v>
      </c>
      <c r="J44" s="63" t="n">
        <v>973</v>
      </c>
      <c r="K44" s="63" t="n">
        <v>1100</v>
      </c>
      <c r="L44" s="63" t="n">
        <v>1181</v>
      </c>
      <c r="M44" s="63" t="n">
        <v>1245</v>
      </c>
      <c r="N44" s="63" t="n">
        <v>1539</v>
      </c>
      <c r="O44" s="63" t="n">
        <v>6850</v>
      </c>
    </row>
    <row r="45">
      <c r="A45" s="63" t="s">
        <v>1483</v>
      </c>
      <c r="B45" s="63" t="n">
        <v>13101</v>
      </c>
      <c r="C45" s="63" t="s">
        <v>1480</v>
      </c>
      <c r="D45" s="63" t="n">
        <v>0</v>
      </c>
      <c r="E45" s="63" t="n">
        <v>-1562</v>
      </c>
      <c r="F45" s="63" t="n">
        <v>-2183</v>
      </c>
      <c r="G45" s="63" t="n">
        <v>-3317</v>
      </c>
      <c r="H45" s="63" t="n">
        <v>-4822</v>
      </c>
      <c r="I45" s="63" t="n">
        <v>-6428</v>
      </c>
      <c r="J45" s="63" t="n">
        <v>-7677</v>
      </c>
      <c r="K45" s="63" t="n">
        <v>-8232</v>
      </c>
      <c r="L45" s="63" t="n">
        <v>-8329</v>
      </c>
      <c r="M45" s="63" t="n">
        <v>-8511</v>
      </c>
      <c r="N45" s="63" t="n">
        <v>-11885</v>
      </c>
      <c r="O45" s="63" t="n">
        <v>-51062</v>
      </c>
    </row>
    <row r="46">
      <c r="A46" s="63" t="s">
        <v>1484</v>
      </c>
      <c r="B46" s="63" t="n">
        <v>13102</v>
      </c>
      <c r="C46" s="63" t="s">
        <v>1480</v>
      </c>
      <c r="D46" s="63" t="n">
        <v>0</v>
      </c>
      <c r="E46" s="63" t="n">
        <v>-2140</v>
      </c>
      <c r="F46" s="63" t="n">
        <v>-1559</v>
      </c>
      <c r="G46" s="63" t="n">
        <v>-2458</v>
      </c>
      <c r="H46" s="63" t="n">
        <v>-5367</v>
      </c>
      <c r="I46" s="63" t="n">
        <v>-2359</v>
      </c>
      <c r="J46" s="63" t="n">
        <v>-48</v>
      </c>
      <c r="K46" s="63" t="n">
        <v>-38</v>
      </c>
      <c r="L46" s="63" t="n">
        <v>-9</v>
      </c>
      <c r="M46" s="63" t="n">
        <v>15</v>
      </c>
      <c r="N46" s="63" t="n">
        <v>-11523</v>
      </c>
      <c r="O46" s="63" t="n">
        <v>-13962</v>
      </c>
    </row>
    <row r="47">
      <c r="A47" s="63" t="s">
        <v>1485</v>
      </c>
      <c r="B47" s="63" t="n">
        <v>13104</v>
      </c>
      <c r="C47" s="63" t="s">
        <v>1480</v>
      </c>
      <c r="D47" s="63" t="n">
        <v>0</v>
      </c>
      <c r="E47" s="63" t="n">
        <v>-22</v>
      </c>
      <c r="F47" s="63" t="n">
        <v>-158</v>
      </c>
      <c r="G47" s="63" t="n">
        <v>-244</v>
      </c>
      <c r="H47" s="63" t="n">
        <v>-257</v>
      </c>
      <c r="I47" s="63" t="n">
        <v>-241</v>
      </c>
      <c r="J47" s="63" t="n">
        <v>-223</v>
      </c>
      <c r="K47" s="63" t="n">
        <v>-202</v>
      </c>
      <c r="L47" s="63" t="n">
        <v>-178</v>
      </c>
      <c r="M47" s="63" t="n">
        <v>-154</v>
      </c>
      <c r="N47" s="63" t="n">
        <v>-681</v>
      </c>
      <c r="O47" s="63" t="n">
        <v>-1679</v>
      </c>
    </row>
    <row r="48">
      <c r="A48" s="63" t="s">
        <v>1486</v>
      </c>
      <c r="B48" s="63" t="n">
        <v>13105</v>
      </c>
      <c r="C48" s="63" t="s">
        <v>1480</v>
      </c>
      <c r="D48" s="63" t="n">
        <v>0</v>
      </c>
      <c r="E48" s="63" t="n">
        <v>0</v>
      </c>
      <c r="F48" s="63" t="n">
        <v>-1138</v>
      </c>
      <c r="G48" s="63" t="n">
        <v>-1832</v>
      </c>
      <c r="H48" s="63" t="n">
        <v>-1929</v>
      </c>
      <c r="I48" s="63" t="n">
        <v>-1996</v>
      </c>
      <c r="J48" s="63" t="n">
        <v>-2059</v>
      </c>
      <c r="K48" s="63" t="n">
        <v>-2106</v>
      </c>
      <c r="L48" s="63" t="n">
        <v>-2225</v>
      </c>
      <c r="M48" s="63" t="n">
        <v>-2315</v>
      </c>
      <c r="N48" s="63" t="n">
        <v>-4899</v>
      </c>
      <c r="O48" s="63" t="n">
        <v>-15600</v>
      </c>
    </row>
    <row r="49">
      <c r="A49" s="63" t="s">
        <v>1487</v>
      </c>
      <c r="B49" s="63" t="n">
        <v>13303</v>
      </c>
      <c r="C49" s="63" t="s">
        <v>1480</v>
      </c>
      <c r="D49" s="63" t="n">
        <v>0</v>
      </c>
      <c r="E49" s="63" t="n">
        <v>-62</v>
      </c>
      <c r="F49" s="63" t="n">
        <v>-50</v>
      </c>
      <c r="G49" s="63" t="n">
        <v>-46</v>
      </c>
      <c r="H49" s="63" t="n">
        <v>-42</v>
      </c>
      <c r="I49" s="63" t="n">
        <v>-38</v>
      </c>
      <c r="J49" s="63" t="n">
        <v>-35</v>
      </c>
      <c r="K49" s="63" t="n">
        <v>-32</v>
      </c>
      <c r="L49" s="63" t="n">
        <v>-30</v>
      </c>
      <c r="M49" s="63" t="n">
        <v>-28</v>
      </c>
      <c r="N49" s="63" t="n">
        <v>-200</v>
      </c>
      <c r="O49" s="63" t="n">
        <v>-362</v>
      </c>
    </row>
    <row r="50">
      <c r="A50" s="63" t="s">
        <v>1488</v>
      </c>
      <c r="B50" s="63" t="s">
        <v>1489</v>
      </c>
      <c r="C50" s="63" t="s">
        <v>1480</v>
      </c>
      <c r="D50" s="63" t="n">
        <v>0</v>
      </c>
      <c r="E50" s="63" t="n">
        <v>-2376</v>
      </c>
      <c r="F50" s="63" t="n">
        <v>-2679</v>
      </c>
      <c r="G50" s="63" t="n">
        <v>-2315</v>
      </c>
      <c r="H50" s="63" t="n">
        <v>-2572</v>
      </c>
      <c r="I50" s="63" t="n">
        <v>-2467</v>
      </c>
      <c r="J50" s="63" t="n">
        <v>-2490</v>
      </c>
      <c r="K50" s="63" t="n">
        <v>-2638</v>
      </c>
      <c r="L50" s="63" t="n">
        <v>-2569</v>
      </c>
      <c r="M50" s="63" t="n">
        <v>-2081</v>
      </c>
      <c r="N50" s="63" t="n">
        <v>-9943</v>
      </c>
      <c r="O50" s="63" t="n">
        <v>-22188</v>
      </c>
    </row>
    <row r="51">
      <c r="A51" s="63" t="s">
        <v>1490</v>
      </c>
      <c r="B51" s="63" t="n">
        <v>13601</v>
      </c>
      <c r="C51" s="63" t="s">
        <v>1480</v>
      </c>
      <c r="D51" s="63" t="n">
        <v>0</v>
      </c>
      <c r="E51" s="63" t="n">
        <v>902</v>
      </c>
      <c r="F51" s="63" t="n">
        <v>1230</v>
      </c>
      <c r="G51" s="63" t="n">
        <v>1271</v>
      </c>
      <c r="H51" s="63" t="n">
        <v>1304</v>
      </c>
      <c r="I51" s="63" t="n">
        <v>1336</v>
      </c>
      <c r="J51" s="63" t="n">
        <v>1368</v>
      </c>
      <c r="K51" s="63" t="n">
        <v>1402</v>
      </c>
      <c r="L51" s="63" t="n">
        <v>1436</v>
      </c>
      <c r="M51" s="63" t="n">
        <v>1470</v>
      </c>
      <c r="N51" s="63" t="n">
        <v>4707</v>
      </c>
      <c r="O51" s="63" t="n">
        <v>11719</v>
      </c>
    </row>
    <row r="52">
      <c r="A52" s="63" t="s">
        <v>1491</v>
      </c>
      <c r="B52" s="63" t="s">
        <v>1492</v>
      </c>
      <c r="C52" s="63" t="s">
        <v>1480</v>
      </c>
      <c r="D52" s="63" t="n">
        <v>0</v>
      </c>
      <c r="E52" s="63" t="n">
        <v>1</v>
      </c>
      <c r="F52" s="63" t="n">
        <v>1</v>
      </c>
      <c r="G52" s="63" t="n">
        <v>-678</v>
      </c>
      <c r="H52" s="63" t="n">
        <v>-858</v>
      </c>
      <c r="I52" s="63" t="n">
        <v>-7820</v>
      </c>
      <c r="J52" s="63" t="n">
        <v>-11303</v>
      </c>
      <c r="K52" s="63" t="n">
        <v>-12736</v>
      </c>
      <c r="L52" s="63" t="n">
        <v>-14927</v>
      </c>
      <c r="M52" s="63" t="n">
        <v>-17285</v>
      </c>
      <c r="N52" s="63" t="n">
        <v>-1535</v>
      </c>
      <c r="O52" s="63" t="n">
        <v>-65606</v>
      </c>
    </row>
    <row r="53">
      <c r="A53" s="63" t="s">
        <v>1493</v>
      </c>
      <c r="B53" s="63" t="n">
        <v>13901</v>
      </c>
      <c r="C53" s="63" t="s">
        <v>1480</v>
      </c>
      <c r="D53" s="63" t="n">
        <v>0</v>
      </c>
      <c r="E53" s="63" t="n">
        <v>103</v>
      </c>
      <c r="F53" s="63" t="n">
        <v>135</v>
      </c>
      <c r="G53" s="63" t="n">
        <v>131</v>
      </c>
      <c r="H53" s="63" t="n">
        <v>130</v>
      </c>
      <c r="I53" s="63" t="n">
        <v>130</v>
      </c>
      <c r="J53" s="63" t="n">
        <v>131</v>
      </c>
      <c r="K53" s="63" t="n">
        <v>132</v>
      </c>
      <c r="L53" s="63" t="n">
        <v>133</v>
      </c>
      <c r="M53" s="63" t="n">
        <v>134</v>
      </c>
      <c r="N53" s="63" t="n">
        <v>498</v>
      </c>
      <c r="O53" s="63" t="n">
        <v>1159</v>
      </c>
    </row>
    <row r="54">
      <c r="A54" s="63" t="s">
        <v>1494</v>
      </c>
      <c r="B54" s="63" t="n">
        <v>13902</v>
      </c>
      <c r="C54" s="63" t="s">
        <v>1480</v>
      </c>
      <c r="D54" s="63" t="n">
        <v>0</v>
      </c>
      <c r="E54" s="63" t="n">
        <v>-16</v>
      </c>
      <c r="F54" s="63" t="n">
        <v>-13</v>
      </c>
      <c r="G54" s="63" t="n">
        <v>-15</v>
      </c>
      <c r="H54" s="63" t="n">
        <v>-16</v>
      </c>
      <c r="I54" s="63" t="n">
        <v>-18</v>
      </c>
      <c r="J54" s="63" t="n">
        <v>-21</v>
      </c>
      <c r="K54" s="63" t="n">
        <v>-22</v>
      </c>
      <c r="L54" s="63" t="n">
        <v>-23</v>
      </c>
      <c r="M54" s="63" t="n">
        <v>-24</v>
      </c>
      <c r="N54" s="63" t="n">
        <v>-60</v>
      </c>
      <c r="O54" s="63" t="n">
        <v>-168</v>
      </c>
    </row>
    <row r="55">
      <c r="A55" s="63" t="s">
        <v>1495</v>
      </c>
      <c r="B55" s="63" t="s">
        <v>1496</v>
      </c>
      <c r="C55" s="63" t="s">
        <v>1480</v>
      </c>
      <c r="D55" s="63" t="n">
        <v>0</v>
      </c>
      <c r="E55" s="63" t="n">
        <v>0</v>
      </c>
      <c r="F55" s="63" t="n">
        <v>0</v>
      </c>
      <c r="G55" s="63" t="n">
        <v>0</v>
      </c>
      <c r="H55" s="63" t="n">
        <v>0</v>
      </c>
      <c r="I55" s="63" t="n">
        <v>17666</v>
      </c>
      <c r="J55" s="63" t="n">
        <v>26198</v>
      </c>
      <c r="K55" s="63" t="n">
        <v>9453</v>
      </c>
      <c r="L55" s="63" t="n">
        <v>-274</v>
      </c>
      <c r="M55" s="63" t="n">
        <v>-284</v>
      </c>
      <c r="N55" s="63" t="n">
        <v>0</v>
      </c>
      <c r="O55" s="63" t="n">
        <v>52759</v>
      </c>
    </row>
    <row r="56">
      <c r="A56" s="63" t="s">
        <v>1497</v>
      </c>
      <c r="B56" s="63" t="n">
        <v>60113</v>
      </c>
      <c r="C56" s="63" t="s">
        <v>1480</v>
      </c>
      <c r="D56" s="63" t="n">
        <v>0</v>
      </c>
      <c r="E56" s="63" t="n">
        <v>0</v>
      </c>
      <c r="F56" s="63" t="n">
        <v>0</v>
      </c>
      <c r="G56" s="63" t="n">
        <v>0</v>
      </c>
      <c r="H56" s="63" t="n">
        <v>850</v>
      </c>
      <c r="I56" s="222" t="n">
        <v>1350</v>
      </c>
      <c r="J56" s="222" t="n">
        <v>1400</v>
      </c>
      <c r="K56" s="222" t="n">
        <v>1200</v>
      </c>
      <c r="L56" s="222" t="n">
        <v>1050</v>
      </c>
      <c r="M56" s="63" t="n">
        <v>500</v>
      </c>
      <c r="N56" s="63" t="n">
        <v>850</v>
      </c>
      <c r="O56" s="222" t="n">
        <v>6350</v>
      </c>
    </row>
    <row r="57">
      <c r="A57" s="63" t="s">
        <v>1498</v>
      </c>
      <c r="B57" s="63" t="n">
        <v>10201</v>
      </c>
      <c r="C57" s="63" t="s">
        <v>1480</v>
      </c>
      <c r="D57" s="63" t="n">
        <v>0</v>
      </c>
      <c r="E57" s="63" t="n">
        <v>5697</v>
      </c>
      <c r="F57" s="63" t="n">
        <v>7875</v>
      </c>
      <c r="G57" s="63" t="n">
        <v>8070</v>
      </c>
      <c r="H57" s="63" t="n">
        <v>8581</v>
      </c>
      <c r="I57" s="63" t="n">
        <v>8882</v>
      </c>
      <c r="J57" s="63" t="n">
        <v>8838</v>
      </c>
      <c r="K57" s="63" t="n">
        <v>8603</v>
      </c>
      <c r="L57" s="63" t="n">
        <v>8500</v>
      </c>
      <c r="M57" s="63" t="n">
        <v>8641</v>
      </c>
      <c r="N57" s="63" t="n">
        <v>30223</v>
      </c>
      <c r="O57" s="63" t="n">
        <v>73686</v>
      </c>
    </row>
    <row r="58">
      <c r="A58" s="63" t="s">
        <v>1505</v>
      </c>
      <c r="B58" s="63" t="n">
        <v>13304</v>
      </c>
      <c r="C58" s="63" t="s">
        <v>1510</v>
      </c>
      <c r="D58" s="63" t="n">
        <v>0</v>
      </c>
      <c r="E58" s="63" t="n">
        <v>-273</v>
      </c>
      <c r="F58" s="63" t="n">
        <v>-193</v>
      </c>
      <c r="G58" s="63" t="n">
        <v>-203</v>
      </c>
      <c r="H58" s="63" t="n">
        <v>-216</v>
      </c>
      <c r="I58" s="63" t="n">
        <v>-230</v>
      </c>
      <c r="J58" s="63" t="n">
        <v>-241</v>
      </c>
      <c r="K58" s="63" t="n">
        <v>-240</v>
      </c>
      <c r="L58" s="63" t="n">
        <v>-229</v>
      </c>
      <c r="M58" s="63" t="n">
        <v>-217</v>
      </c>
      <c r="N58" s="63" t="n">
        <v>-887</v>
      </c>
      <c r="O58" s="63" t="n">
        <v>-2043</v>
      </c>
    </row>
    <row r="59">
      <c r="A59" s="63" t="s">
        <v>1501</v>
      </c>
      <c r="B59" s="63" t="s">
        <v>1502</v>
      </c>
      <c r="C59" s="63" t="s">
        <v>1510</v>
      </c>
      <c r="D59" s="63" t="n">
        <v>0</v>
      </c>
      <c r="E59" s="63" t="n">
        <v>-2882</v>
      </c>
      <c r="F59" s="63" t="n">
        <v>-2038</v>
      </c>
      <c r="G59" s="63" t="n">
        <v>-1405</v>
      </c>
      <c r="H59" s="63" t="n">
        <v>-554</v>
      </c>
      <c r="I59" s="63" t="n">
        <v>-753</v>
      </c>
      <c r="J59" s="63" t="n">
        <v>-970</v>
      </c>
      <c r="K59" s="63" t="n">
        <v>-1231</v>
      </c>
      <c r="L59" s="63" t="n">
        <v>-1581</v>
      </c>
      <c r="M59" s="63" t="n">
        <v>-2108</v>
      </c>
      <c r="N59" s="63" t="n">
        <v>-6880</v>
      </c>
      <c r="O59" s="63" t="n">
        <v>-13523</v>
      </c>
    </row>
    <row r="60">
      <c r="A60" s="1203" t="s">
        <v>1499</v>
      </c>
      <c r="B60" s="1204" t="n">
        <v>10301</v>
      </c>
      <c r="C60" s="1204" t="s">
        <v>239</v>
      </c>
      <c r="D60" s="1204" t="n">
        <v>0</v>
      </c>
      <c r="E60" s="1205" t="n">
        <v>2012</v>
      </c>
      <c r="F60" s="1205" t="n">
        <v>5106</v>
      </c>
      <c r="G60" s="1205" t="n">
        <v>11125</v>
      </c>
      <c r="H60" s="1205" t="n">
        <v>16116</v>
      </c>
      <c r="I60" s="1205" t="n">
        <v>21716</v>
      </c>
      <c r="J60" s="1205" t="n">
        <v>26314</v>
      </c>
      <c r="K60" s="1205" t="n">
        <v>31218</v>
      </c>
      <c r="L60" s="1205" t="n">
        <v>34877</v>
      </c>
      <c r="M60" s="1205" t="n">
        <v>31904</v>
      </c>
      <c r="N60" s="1205" t="n">
        <v>34359</v>
      </c>
      <c r="O60" s="1206" t="n">
        <v>180388</v>
      </c>
    </row>
    <row r="61">
      <c r="A61" s="63" t="s">
        <v>1500</v>
      </c>
      <c r="B61" s="63" t="n">
        <v>12001</v>
      </c>
      <c r="C61" s="63" t="s">
        <v>239</v>
      </c>
      <c r="D61" s="63" t="n">
        <v>0</v>
      </c>
      <c r="E61" s="63" t="n">
        <v>1297</v>
      </c>
      <c r="F61" s="63" t="n">
        <v>-10555</v>
      </c>
      <c r="G61" s="63" t="n">
        <v>-10586</v>
      </c>
      <c r="H61" s="63" t="n">
        <v>-11431</v>
      </c>
      <c r="I61" s="63" t="n">
        <v>-154</v>
      </c>
      <c r="J61" s="63" t="n">
        <v>132</v>
      </c>
      <c r="K61" s="63" t="n">
        <v>53</v>
      </c>
      <c r="L61" s="63" t="n">
        <v>6</v>
      </c>
      <c r="M61" s="63" t="n">
        <v>0</v>
      </c>
      <c r="N61" s="63" t="n">
        <v>-31275</v>
      </c>
      <c r="O61" s="63" t="n">
        <v>-31238</v>
      </c>
    </row>
    <row r="62">
      <c r="A62" s="63" t="s">
        <v>1503</v>
      </c>
      <c r="B62" s="63" t="n">
        <v>13301</v>
      </c>
      <c r="C62" s="63" t="s">
        <v>239</v>
      </c>
      <c r="D62" s="63" t="n">
        <v>0</v>
      </c>
      <c r="E62" s="63" t="n">
        <v>-1887</v>
      </c>
      <c r="F62" s="63" t="n">
        <v>-1348</v>
      </c>
      <c r="G62" s="63" t="n">
        <v>-1324</v>
      </c>
      <c r="H62" s="63" t="n">
        <v>-1345</v>
      </c>
      <c r="I62" s="63" t="n">
        <v>-1327</v>
      </c>
      <c r="J62" s="63" t="n">
        <v>-1277</v>
      </c>
      <c r="K62" s="63" t="n">
        <v>-1301</v>
      </c>
      <c r="L62" s="63" t="n">
        <v>-1314</v>
      </c>
      <c r="M62" s="63" t="n">
        <v>-1327</v>
      </c>
      <c r="N62" s="63" t="n">
        <v>-5904</v>
      </c>
      <c r="O62" s="63" t="n">
        <v>-12451</v>
      </c>
    </row>
    <row r="63">
      <c r="A63" s="63" t="s">
        <v>1504</v>
      </c>
      <c r="B63" s="63" t="n">
        <v>13302</v>
      </c>
      <c r="C63" s="63" t="s">
        <v>239</v>
      </c>
      <c r="D63" s="63" t="n">
        <v>0</v>
      </c>
      <c r="E63" s="63" t="n">
        <v>-459</v>
      </c>
      <c r="F63" s="63" t="n">
        <v>-1021</v>
      </c>
      <c r="G63" s="63" t="n">
        <v>-2692</v>
      </c>
      <c r="H63" s="63" t="n">
        <v>-2770</v>
      </c>
      <c r="I63" s="63" t="n">
        <v>-2850</v>
      </c>
      <c r="J63" s="63" t="n">
        <v>-2935</v>
      </c>
      <c r="K63" s="63" t="n">
        <v>-3019</v>
      </c>
      <c r="L63" s="63" t="n">
        <v>-3092</v>
      </c>
      <c r="M63" s="63" t="n">
        <v>-3185</v>
      </c>
      <c r="N63" s="63" t="n">
        <v>-6942</v>
      </c>
      <c r="O63" s="63" t="n">
        <v>-22022</v>
      </c>
    </row>
    <row r="64">
      <c r="A64" s="63" t="s">
        <v>1506</v>
      </c>
      <c r="B64" s="63" t="s">
        <v>1507</v>
      </c>
      <c r="C64" s="63" t="s">
        <v>239</v>
      </c>
      <c r="D64" s="63" t="n">
        <v>0</v>
      </c>
      <c r="E64" s="63" t="n">
        <v>-511</v>
      </c>
      <c r="F64" s="63" t="n">
        <v>-852</v>
      </c>
      <c r="G64" s="63" t="n">
        <v>-1050</v>
      </c>
      <c r="H64" s="63" t="n">
        <v>-1275</v>
      </c>
      <c r="I64" s="63" t="n">
        <v>-1572</v>
      </c>
      <c r="J64" s="63" t="n">
        <v>-1862</v>
      </c>
      <c r="K64" s="63" t="n">
        <v>-2104</v>
      </c>
      <c r="L64" s="63" t="n">
        <v>-2364</v>
      </c>
      <c r="M64" s="63" t="n">
        <v>-2615</v>
      </c>
      <c r="N64" s="63" t="n">
        <v>-3689</v>
      </c>
      <c r="O64" s="63" t="n">
        <v>-14209</v>
      </c>
    </row>
    <row r="67">
      <c r="D67" s="1207" t="n">
        <v>2022</v>
      </c>
      <c r="E67" s="1207" t="n">
        <v>2023</v>
      </c>
      <c r="F67" s="1207" t="n">
        <v>2024</v>
      </c>
      <c r="G67" s="1207" t="n">
        <v>2025</v>
      </c>
      <c r="H67" s="1207" t="n">
        <v>2026</v>
      </c>
      <c r="I67" s="1207" t="n">
        <v>2027</v>
      </c>
      <c r="J67" s="1207" t="n">
        <v>2028</v>
      </c>
      <c r="K67" s="1207" t="n">
        <v>2029</v>
      </c>
      <c r="L67" s="1207" t="n">
        <v>2030</v>
      </c>
      <c r="M67" s="1208" t="n">
        <v>2031</v>
      </c>
      <c r="N67" s="1209" t="s">
        <v>1444</v>
      </c>
      <c r="O67" s="1210" t="s">
        <v>1445</v>
      </c>
    </row>
    <row r="68">
      <c r="C68" s="1296" t="s">
        <v>1508</v>
      </c>
      <c r="D68" s="1297"/>
      <c r="E68" s="1297"/>
      <c r="F68" s="1297"/>
      <c r="G68" s="1297"/>
      <c r="H68" s="1297"/>
      <c r="I68" s="1297"/>
      <c r="J68" s="1297"/>
      <c r="K68" s="1297"/>
      <c r="L68" s="1297"/>
      <c r="M68" s="1297"/>
      <c r="N68" s="1297"/>
      <c r="O68" s="1298"/>
    </row>
    <row r="69">
      <c r="C69" s="75" t="s">
        <v>1469</v>
      </c>
      <c r="D69" s="63" t="n">
        <f t="shared" ref="D69:O69" si="0">SUM(D3:D8)</f>
        <v>0</v>
      </c>
      <c r="E69" s="63" t="n">
        <f t="shared" si="0"/>
        <v>3947</v>
      </c>
      <c r="F69" s="63" t="n">
        <f t="shared" si="0"/>
        <v>4202</v>
      </c>
      <c r="G69" s="63" t="n">
        <f t="shared" si="0"/>
        <v>6275</v>
      </c>
      <c r="H69" s="63" t="n">
        <f t="shared" si="0"/>
        <v>7956</v>
      </c>
      <c r="I69" s="63" t="n">
        <f t="shared" si="0"/>
        <v>9969</v>
      </c>
      <c r="J69" s="63" t="n">
        <f t="shared" si="0"/>
        <v>12081</v>
      </c>
      <c r="K69" s="63" t="n">
        <f t="shared" si="0"/>
        <v>14493</v>
      </c>
      <c r="L69" s="63" t="n">
        <f t="shared" si="0"/>
        <v>16921</v>
      </c>
      <c r="M69" s="63" t="n">
        <f t="shared" si="0"/>
        <v>17112</v>
      </c>
      <c r="N69" s="63" t="n">
        <f t="shared" si="0"/>
        <v>22380</v>
      </c>
      <c r="O69" s="63" t="n">
        <f t="shared" si="0"/>
        <v>92956</v>
      </c>
    </row>
    <row r="70">
      <c r="C70" s="75" t="s">
        <v>1332</v>
      </c>
      <c r="D70" s="63" t="n">
        <f t="shared" ref="D70:O70" si="1">SUM(D9)</f>
        <v>0</v>
      </c>
      <c r="E70" s="63" t="n">
        <f t="shared" si="1"/>
        <v>65</v>
      </c>
      <c r="F70" s="63" t="n">
        <f t="shared" si="1"/>
        <v>150</v>
      </c>
      <c r="G70" s="63" t="n">
        <f t="shared" si="1"/>
        <v>290</v>
      </c>
      <c r="H70" s="63" t="n">
        <f t="shared" si="1"/>
        <v>290</v>
      </c>
      <c r="I70" s="63" t="n">
        <f t="shared" si="1"/>
        <v>290</v>
      </c>
      <c r="J70" s="63" t="n">
        <f t="shared" si="1"/>
        <v>285</v>
      </c>
      <c r="K70" s="63" t="n">
        <f t="shared" si="1"/>
        <v>250</v>
      </c>
      <c r="L70" s="63" t="n">
        <f t="shared" si="1"/>
        <v>220</v>
      </c>
      <c r="M70" s="63" t="n">
        <f t="shared" si="1"/>
        <v>160</v>
      </c>
      <c r="N70" s="75" t="n">
        <f t="shared" si="1"/>
        <v>795</v>
      </c>
      <c r="O70" s="209" t="n">
        <f t="shared" si="1"/>
        <v>2000</v>
      </c>
    </row>
    <row r="71">
      <c r="C71" s="75" t="s">
        <v>210</v>
      </c>
      <c r="D71" s="63" t="n">
        <f t="shared" ref="D71:O71" si="2">SUM(D10:D11)</f>
        <v>0</v>
      </c>
      <c r="E71" s="63" t="n">
        <f t="shared" si="2"/>
        <v>110</v>
      </c>
      <c r="F71" s="63" t="n">
        <f t="shared" si="2"/>
        <v>739</v>
      </c>
      <c r="G71" s="63" t="n">
        <f t="shared" si="2"/>
        <v>1195</v>
      </c>
      <c r="H71" s="63" t="n">
        <f t="shared" si="2"/>
        <v>1497</v>
      </c>
      <c r="I71" s="63" t="n">
        <f t="shared" si="2"/>
        <v>1910</v>
      </c>
      <c r="J71" s="63" t="n">
        <f t="shared" si="2"/>
        <v>2405</v>
      </c>
      <c r="K71" s="63" t="n">
        <f t="shared" si="2"/>
        <v>2922</v>
      </c>
      <c r="L71" s="63" t="n">
        <f t="shared" si="2"/>
        <v>3463</v>
      </c>
      <c r="M71" s="63" t="n">
        <f t="shared" si="2"/>
        <v>4007</v>
      </c>
      <c r="N71" s="75" t="n">
        <f t="shared" si="2"/>
        <v>3541</v>
      </c>
      <c r="O71" s="209" t="n">
        <f t="shared" si="2"/>
        <v>18248</v>
      </c>
    </row>
    <row r="72">
      <c r="C72" s="75" t="s">
        <v>211</v>
      </c>
      <c r="D72" s="63" t="n">
        <f t="shared" ref="D72:O72" si="3">SUM(D12:D25)</f>
        <v>0</v>
      </c>
      <c r="E72" s="63" t="n">
        <f t="shared" si="3"/>
        <v>-415</v>
      </c>
      <c r="F72" s="63" t="n">
        <f t="shared" si="3"/>
        <v>2768</v>
      </c>
      <c r="G72" s="63" t="n">
        <f t="shared" si="3"/>
        <v>-12473</v>
      </c>
      <c r="H72" s="63" t="n">
        <f t="shared" si="3"/>
        <v>-5374</v>
      </c>
      <c r="I72" s="63" t="n">
        <f t="shared" si="3"/>
        <v>-25515</v>
      </c>
      <c r="J72" s="63" t="n">
        <f t="shared" si="3"/>
        <v>-43975</v>
      </c>
      <c r="K72" s="63" t="n">
        <f t="shared" si="3"/>
        <v>-46426</v>
      </c>
      <c r="L72" s="63" t="n">
        <f t="shared" si="3"/>
        <v>-56228</v>
      </c>
      <c r="M72" s="63" t="n">
        <f t="shared" si="3"/>
        <v>-60581</v>
      </c>
      <c r="N72" s="75" t="n">
        <f t="shared" si="3"/>
        <v>-15494</v>
      </c>
      <c r="O72" s="209" t="n">
        <f t="shared" si="3"/>
        <v>-248219</v>
      </c>
    </row>
    <row r="73">
      <c r="C73" s="75" t="s">
        <v>1471</v>
      </c>
      <c r="D73" s="63" t="n">
        <f t="shared" ref="D73:O73" si="4">SUM(D26:D31)</f>
        <v>-622</v>
      </c>
      <c r="E73" s="63" t="n">
        <f t="shared" si="4"/>
        <v>21096</v>
      </c>
      <c r="F73" s="63" t="n">
        <f t="shared" si="4"/>
        <v>12256</v>
      </c>
      <c r="G73" s="63" t="n">
        <f t="shared" si="4"/>
        <v>11149</v>
      </c>
      <c r="H73" s="63" t="n">
        <f t="shared" si="4"/>
        <v>-6525</v>
      </c>
      <c r="I73" s="63" t="n">
        <f t="shared" si="4"/>
        <v>2029</v>
      </c>
      <c r="J73" s="63" t="n">
        <f t="shared" si="4"/>
        <v>2582</v>
      </c>
      <c r="K73" s="63" t="n">
        <f t="shared" si="4"/>
        <v>2236</v>
      </c>
      <c r="L73" s="63" t="n">
        <f t="shared" si="4"/>
        <v>1411</v>
      </c>
      <c r="M73" s="63" t="n">
        <f t="shared" si="4"/>
        <v>772</v>
      </c>
      <c r="N73" s="75" t="n">
        <f t="shared" si="4"/>
        <v>37354</v>
      </c>
      <c r="O73" s="209" t="n">
        <f t="shared" si="4"/>
        <v>46384</v>
      </c>
    </row>
    <row r="74">
      <c r="C74" s="75" t="s">
        <v>1474</v>
      </c>
      <c r="D74" s="63" t="n">
        <f t="shared" ref="D74:O74" si="5">SUM(D32:D40)</f>
        <v>0</v>
      </c>
      <c r="E74" s="63" t="n">
        <f t="shared" si="5"/>
        <v>1216</v>
      </c>
      <c r="F74" s="63" t="n">
        <f t="shared" si="5"/>
        <v>3498</v>
      </c>
      <c r="G74" s="63" t="n">
        <f t="shared" si="5"/>
        <v>5088</v>
      </c>
      <c r="H74" s="63" t="n">
        <f t="shared" si="5"/>
        <v>6663</v>
      </c>
      <c r="I74" s="63" t="n">
        <f t="shared" si="5"/>
        <v>7992</v>
      </c>
      <c r="J74" s="63" t="n">
        <f t="shared" si="5"/>
        <v>8297</v>
      </c>
      <c r="K74" s="63" t="n">
        <f t="shared" si="5"/>
        <v>8309</v>
      </c>
      <c r="L74" s="63" t="n">
        <f t="shared" si="5"/>
        <v>7568</v>
      </c>
      <c r="M74" s="63" t="n">
        <f t="shared" si="5"/>
        <v>6524</v>
      </c>
      <c r="N74" s="210" t="n">
        <f t="shared" si="5"/>
        <v>16463</v>
      </c>
      <c r="O74" s="211" t="n">
        <f t="shared" si="5"/>
        <v>55153</v>
      </c>
    </row>
    <row r="75">
      <c r="C75" s="1296" t="s">
        <v>1509</v>
      </c>
      <c r="D75" s="1297"/>
      <c r="E75" s="1297"/>
      <c r="F75" s="1297"/>
      <c r="G75" s="1297"/>
      <c r="H75" s="1297"/>
      <c r="I75" s="1297"/>
      <c r="J75" s="1297"/>
      <c r="K75" s="1297"/>
      <c r="L75" s="1297"/>
      <c r="M75" s="1297"/>
      <c r="N75" s="1297"/>
      <c r="O75" s="1298"/>
    </row>
    <row r="76">
      <c r="C76" s="75" t="s">
        <v>433</v>
      </c>
      <c r="D76" s="63" t="n">
        <v>0</v>
      </c>
      <c r="E76" s="63" t="n">
        <v>596</v>
      </c>
      <c r="F76" s="63" t="n">
        <v>1406</v>
      </c>
      <c r="G76" s="63" t="n">
        <v>1885</v>
      </c>
      <c r="H76" s="63" t="n">
        <v>2113</v>
      </c>
      <c r="I76" s="63" t="n">
        <v>2058</v>
      </c>
      <c r="J76" s="63" t="n">
        <v>1745</v>
      </c>
      <c r="K76" s="63" t="n">
        <v>1369</v>
      </c>
      <c r="L76" s="63" t="n">
        <v>970</v>
      </c>
      <c r="M76" s="63" t="n">
        <v>369</v>
      </c>
      <c r="N76" s="914" t="n">
        <v>6000</v>
      </c>
      <c r="O76" s="115" t="n">
        <v>12511</v>
      </c>
    </row>
    <row r="77">
      <c r="C77" s="75" t="s">
        <v>134</v>
      </c>
      <c r="D77" s="63" t="n">
        <v>0</v>
      </c>
      <c r="E77" s="63" t="n">
        <v>754</v>
      </c>
      <c r="F77" s="63" t="n">
        <v>2328</v>
      </c>
      <c r="G77" s="63" t="n">
        <v>3782</v>
      </c>
      <c r="H77" s="63" t="n">
        <v>5158</v>
      </c>
      <c r="I77" s="63" t="n">
        <v>4539</v>
      </c>
      <c r="J77" s="63" t="n">
        <v>3010</v>
      </c>
      <c r="K77" s="63" t="n">
        <v>1730</v>
      </c>
      <c r="L77" s="63" t="n">
        <v>790</v>
      </c>
      <c r="M77" s="63" t="n">
        <v>244</v>
      </c>
      <c r="N77" s="75" t="n">
        <v>12022</v>
      </c>
      <c r="O77" s="209" t="n">
        <v>22335</v>
      </c>
    </row>
    <row r="78">
      <c r="C78" s="75" t="s">
        <v>192</v>
      </c>
      <c r="D78" s="63" t="n">
        <v>0</v>
      </c>
      <c r="E78" s="63" t="n">
        <v>68</v>
      </c>
      <c r="F78" s="63" t="n">
        <v>1363</v>
      </c>
      <c r="G78" s="63" t="n">
        <v>2433</v>
      </c>
      <c r="H78" s="63" t="n">
        <v>2803</v>
      </c>
      <c r="I78" s="63" t="n">
        <v>1741</v>
      </c>
      <c r="J78" s="63" t="n">
        <v>570</v>
      </c>
      <c r="K78" s="63" t="n">
        <v>35</v>
      </c>
      <c r="L78" s="63" t="n">
        <v>0</v>
      </c>
      <c r="M78" s="63" t="n">
        <v>0</v>
      </c>
      <c r="N78" s="75" t="n">
        <v>6667</v>
      </c>
      <c r="O78" s="209" t="n">
        <v>9013</v>
      </c>
    </row>
    <row r="79">
      <c r="C79" s="75" t="s">
        <v>52</v>
      </c>
      <c r="D79" s="63" t="n">
        <v>0</v>
      </c>
      <c r="E79" s="63" t="n">
        <v>81</v>
      </c>
      <c r="F79" s="63" t="n">
        <v>350</v>
      </c>
      <c r="G79" s="63" t="n">
        <v>1354</v>
      </c>
      <c r="H79" s="63" t="n">
        <v>2869</v>
      </c>
      <c r="I79" s="63" t="n">
        <v>3890</v>
      </c>
      <c r="J79" s="63" t="n">
        <v>3430</v>
      </c>
      <c r="K79" s="63" t="n">
        <v>2260</v>
      </c>
      <c r="L79" s="63" t="n">
        <v>1320</v>
      </c>
      <c r="M79" s="63" t="n">
        <v>665</v>
      </c>
      <c r="N79" s="75" t="n">
        <v>4654</v>
      </c>
      <c r="O79" s="209" t="n">
        <v>16219</v>
      </c>
    </row>
    <row r="80">
      <c r="C80" s="75" t="s">
        <v>57</v>
      </c>
      <c r="D80" s="63" t="n">
        <v>0</v>
      </c>
      <c r="E80" s="63" t="n">
        <v>794</v>
      </c>
      <c r="F80" s="63" t="n">
        <v>3183</v>
      </c>
      <c r="G80" s="63" t="n">
        <v>5818</v>
      </c>
      <c r="H80" s="63" t="n">
        <v>7253</v>
      </c>
      <c r="I80" s="63" t="n">
        <v>5628</v>
      </c>
      <c r="J80" s="63" t="n">
        <v>1977</v>
      </c>
      <c r="K80" s="63" t="n">
        <v>229</v>
      </c>
      <c r="L80" s="63" t="n">
        <v>33</v>
      </c>
      <c r="M80" s="63" t="n">
        <v>1</v>
      </c>
      <c r="N80" s="75" t="n">
        <v>17048</v>
      </c>
      <c r="O80" s="209" t="n">
        <v>24916</v>
      </c>
    </row>
    <row r="81">
      <c r="C81" s="75"/>
      <c r="N81" s="210"/>
      <c r="O81" s="211"/>
    </row>
    <row r="82">
      <c r="C82" s="1296" t="s">
        <v>1478</v>
      </c>
      <c r="D82" s="1297"/>
      <c r="E82" s="1297"/>
      <c r="F82" s="1297"/>
      <c r="G82" s="1297"/>
      <c r="H82" s="1297"/>
      <c r="I82" s="1297"/>
      <c r="J82" s="1297"/>
      <c r="K82" s="1297"/>
      <c r="L82" s="1297"/>
      <c r="M82" s="1297"/>
      <c r="N82" s="1297"/>
      <c r="O82" s="1298"/>
    </row>
    <row r="83">
      <c r="C83" s="75" t="s">
        <v>1480</v>
      </c>
      <c r="D83" s="63" t="n">
        <f t="shared" ref="D83:O83" si="6">SUM(D43:D57)</f>
        <v>0</v>
      </c>
      <c r="E83" s="63" t="n">
        <f t="shared" si="6"/>
        <v>35317</v>
      </c>
      <c r="F83" s="63" t="n">
        <f t="shared" si="6"/>
        <v>36033</v>
      </c>
      <c r="G83" s="63" t="n">
        <f t="shared" si="6"/>
        <v>21076</v>
      </c>
      <c r="H83" s="63" t="n">
        <f t="shared" si="6"/>
        <v>13346</v>
      </c>
      <c r="I83" s="63" t="n">
        <f t="shared" si="6"/>
        <v>27508</v>
      </c>
      <c r="J83" s="63" t="n">
        <f t="shared" si="6"/>
        <v>35850</v>
      </c>
      <c r="K83" s="63" t="n">
        <f t="shared" si="6"/>
        <v>18640</v>
      </c>
      <c r="L83" s="63" t="n">
        <f t="shared" si="6"/>
        <v>8394</v>
      </c>
      <c r="M83" s="63" t="n">
        <f t="shared" si="6"/>
        <v>7982</v>
      </c>
      <c r="N83" s="63" t="n">
        <f t="shared" si="6"/>
        <v>105769</v>
      </c>
      <c r="O83" s="63" t="n">
        <f t="shared" si="6"/>
        <v>204144</v>
      </c>
    </row>
    <row r="84">
      <c r="C84" s="75" t="s">
        <v>534</v>
      </c>
      <c r="D84" s="63" t="n">
        <f>SUM(D58:D59)</f>
        <v>0</v>
      </c>
      <c r="E84" s="63" t="n">
        <f t="shared" ref="E84:O84" si="7">SUM(E58:E59)</f>
        <v>-3155</v>
      </c>
      <c r="F84" s="63" t="n">
        <f t="shared" si="7"/>
        <v>-2231</v>
      </c>
      <c r="G84" s="63" t="n">
        <f t="shared" si="7"/>
        <v>-1608</v>
      </c>
      <c r="H84" s="63" t="n">
        <f t="shared" si="7"/>
        <v>-770</v>
      </c>
      <c r="I84" s="63" t="n">
        <f t="shared" si="7"/>
        <v>-983</v>
      </c>
      <c r="J84" s="63" t="n">
        <f t="shared" si="7"/>
        <v>-1211</v>
      </c>
      <c r="K84" s="63" t="n">
        <f t="shared" si="7"/>
        <v>-1471</v>
      </c>
      <c r="L84" s="63" t="n">
        <f t="shared" si="7"/>
        <v>-1810</v>
      </c>
      <c r="M84" s="63" t="n">
        <f t="shared" si="7"/>
        <v>-2325</v>
      </c>
      <c r="N84" s="63" t="n">
        <f t="shared" si="7"/>
        <v>-7767</v>
      </c>
      <c r="O84" s="63" t="n">
        <f t="shared" si="7"/>
        <v>-15566</v>
      </c>
    </row>
    <row r="85">
      <c r="C85" s="75" t="s">
        <v>239</v>
      </c>
      <c r="D85" s="63" t="n">
        <f>SUM(D60:D64)</f>
        <v>0</v>
      </c>
      <c r="E85" s="63" t="n">
        <f t="shared" ref="E85:O85" si="8">SUM(E60:E64)</f>
        <v>452</v>
      </c>
      <c r="F85" s="63" t="n">
        <f t="shared" si="8"/>
        <v>-8670</v>
      </c>
      <c r="G85" s="63" t="n">
        <f t="shared" si="8"/>
        <v>-4527</v>
      </c>
      <c r="H85" s="63" t="n">
        <f t="shared" si="8"/>
        <v>-705</v>
      </c>
      <c r="I85" s="63" t="n">
        <f t="shared" si="8"/>
        <v>15813</v>
      </c>
      <c r="J85" s="63" t="n">
        <f t="shared" si="8"/>
        <v>20372</v>
      </c>
      <c r="K85" s="63" t="n">
        <f t="shared" si="8"/>
        <v>24847</v>
      </c>
      <c r="L85" s="63" t="n">
        <f t="shared" si="8"/>
        <v>28113</v>
      </c>
      <c r="M85" s="63" t="n">
        <f t="shared" si="8"/>
        <v>24777</v>
      </c>
      <c r="N85" s="63" t="n">
        <f t="shared" si="8"/>
        <v>-13451</v>
      </c>
      <c r="O85" s="63" t="n">
        <f t="shared" si="8"/>
        <v>100468</v>
      </c>
    </row>
    <row r="87">
      <c r="A87" s="88" t="s">
        <v>1455</v>
      </c>
    </row>
    <row r="88">
      <c r="A88" s="1227" t="s">
        <v>1262</v>
      </c>
      <c r="B88" s="1228" t="s">
        <v>1263</v>
      </c>
      <c r="C88" s="1229" t="n">
        <v>2022</v>
      </c>
      <c r="D88" s="1229" t="n">
        <v>2023</v>
      </c>
      <c r="E88" s="1229" t="n">
        <v>2024</v>
      </c>
      <c r="F88" s="1229" t="n">
        <v>2025</v>
      </c>
      <c r="G88" s="1229" t="n">
        <v>2026</v>
      </c>
      <c r="H88" s="1229" t="n">
        <v>2027</v>
      </c>
      <c r="I88" s="1229" t="n">
        <v>2028</v>
      </c>
      <c r="J88" s="1229" t="n">
        <v>2029</v>
      </c>
      <c r="K88" s="1229" t="n">
        <v>2030</v>
      </c>
      <c r="L88" s="1229" t="n">
        <v>2031</v>
      </c>
      <c r="M88" s="1230" t="s">
        <v>1264</v>
      </c>
      <c r="N88" s="1230" t="s">
        <v>1265</v>
      </c>
      <c r="O88" s="1231" t="s">
        <v>1266</v>
      </c>
      <c r="P88" s="1232" t="s">
        <v>1267</v>
      </c>
    </row>
    <row r="89">
      <c r="A89" s="1233" t="s">
        <v>1268</v>
      </c>
      <c r="B89" s="1234" t="s">
        <v>1269</v>
      </c>
      <c r="C89" s="1235" t="n">
        <v>0</v>
      </c>
      <c r="D89" s="1235" t="n">
        <v>3</v>
      </c>
      <c r="E89" s="1235" t="n">
        <v>3</v>
      </c>
      <c r="F89" s="1235" t="n">
        <v>3</v>
      </c>
      <c r="G89" s="1235" t="n">
        <v>3</v>
      </c>
      <c r="H89" s="1235" t="n">
        <v>1</v>
      </c>
      <c r="I89" s="1235" t="n">
        <v>0</v>
      </c>
      <c r="J89" s="1235" t="n">
        <v>0</v>
      </c>
      <c r="K89" s="1235" t="n">
        <v>0</v>
      </c>
      <c r="L89" s="1235" t="n">
        <v>0</v>
      </c>
      <c r="M89" s="1235" t="n">
        <v>12</v>
      </c>
      <c r="N89" s="1235" t="n">
        <v>13</v>
      </c>
      <c r="O89" s="1236" t="s">
        <v>1270</v>
      </c>
      <c r="P89" s="1237"/>
    </row>
    <row r="90" ht="24" customHeight="1">
      <c r="A90" s="1233" t="s">
        <v>1271</v>
      </c>
      <c r="B90" s="1234" t="s">
        <v>1272</v>
      </c>
      <c r="C90" s="1235" t="n">
        <v>0</v>
      </c>
      <c r="D90" s="1235" t="n">
        <v>65</v>
      </c>
      <c r="E90" s="1235" t="n">
        <v>1360</v>
      </c>
      <c r="F90" s="1235" t="n">
        <v>2430</v>
      </c>
      <c r="G90" s="1235" t="n">
        <v>2800</v>
      </c>
      <c r="H90" s="1235" t="n">
        <v>1740</v>
      </c>
      <c r="I90" s="1235" t="n">
        <v>570</v>
      </c>
      <c r="J90" s="1235" t="n">
        <v>35</v>
      </c>
      <c r="K90" s="1235" t="n">
        <v>0</v>
      </c>
      <c r="L90" s="1235" t="n">
        <v>0</v>
      </c>
      <c r="M90" s="1235" t="n">
        <v>6655</v>
      </c>
      <c r="N90" s="1235" t="n">
        <v>9000</v>
      </c>
      <c r="O90" s="1236" t="s">
        <v>1270</v>
      </c>
      <c r="P90" s="1238"/>
    </row>
    <row r="91">
      <c r="A91" s="1239" t="s">
        <v>1273</v>
      </c>
      <c r="B91" s="1240" t="s">
        <v>1274</v>
      </c>
      <c r="C91" s="1241" t="n">
        <v>0</v>
      </c>
      <c r="D91" s="1241" t="n">
        <v>0</v>
      </c>
      <c r="E91" s="1241" t="n">
        <v>601</v>
      </c>
      <c r="F91" s="1242" t="n">
        <v>1038</v>
      </c>
      <c r="G91" s="1242" t="n">
        <v>1251</v>
      </c>
      <c r="H91" s="1242" t="n">
        <v>1431</v>
      </c>
      <c r="I91" s="1242" t="n">
        <v>1492</v>
      </c>
      <c r="J91" s="1242" t="n">
        <v>1530</v>
      </c>
      <c r="K91" s="1242" t="n">
        <v>1567</v>
      </c>
      <c r="L91" s="1242" t="n">
        <v>1606</v>
      </c>
      <c r="M91" s="1242" t="n">
        <v>2890</v>
      </c>
      <c r="N91" s="1242" t="n">
        <v>10516</v>
      </c>
      <c r="O91" s="1243" t="s">
        <v>1275</v>
      </c>
      <c r="P91" s="1244"/>
    </row>
    <row r="92">
      <c r="A92" s="1245" t="s">
        <v>1276</v>
      </c>
      <c r="B92" s="1246" t="s">
        <v>1277</v>
      </c>
      <c r="C92" s="1207" t="n">
        <v>0</v>
      </c>
      <c r="D92" s="1207" t="n">
        <v>30</v>
      </c>
      <c r="E92" s="1207" t="n">
        <v>120</v>
      </c>
      <c r="F92" s="1207" t="n">
        <v>165</v>
      </c>
      <c r="G92" s="1207" t="n">
        <v>370</v>
      </c>
      <c r="H92" s="1207" t="n">
        <v>470</v>
      </c>
      <c r="I92" s="1207" t="n">
        <v>420</v>
      </c>
      <c r="J92" s="1207" t="n">
        <v>285</v>
      </c>
      <c r="K92" s="1207" t="n">
        <v>220</v>
      </c>
      <c r="L92" s="1208" t="n">
        <v>65</v>
      </c>
      <c r="M92" s="1207" t="n">
        <v>685</v>
      </c>
      <c r="N92" s="1247" t="n">
        <v>2145</v>
      </c>
      <c r="O92" s="1248" t="s">
        <v>1278</v>
      </c>
      <c r="P92" s="1249" t="s">
        <v>1279</v>
      </c>
    </row>
    <row r="93">
      <c r="A93" s="1233" t="s">
        <v>1280</v>
      </c>
      <c r="B93" s="1234" t="s">
        <v>1281</v>
      </c>
      <c r="C93" s="1235" t="n">
        <v>0</v>
      </c>
      <c r="D93" s="1235" t="n">
        <v>2</v>
      </c>
      <c r="E93" s="1235" t="n">
        <v>10</v>
      </c>
      <c r="F93" s="1235" t="n">
        <v>25</v>
      </c>
      <c r="G93" s="1235" t="n">
        <v>28</v>
      </c>
      <c r="H93" s="1235" t="n">
        <v>17</v>
      </c>
      <c r="I93" s="1235" t="n">
        <v>11</v>
      </c>
      <c r="J93" s="1235" t="n">
        <v>4</v>
      </c>
      <c r="K93" s="1235" t="n">
        <v>2</v>
      </c>
      <c r="L93" s="1235" t="n">
        <v>1</v>
      </c>
      <c r="M93" s="1235" t="n">
        <v>65</v>
      </c>
      <c r="N93" s="1235" t="n">
        <v>100</v>
      </c>
      <c r="O93" s="1236" t="s">
        <v>1278</v>
      </c>
      <c r="P93" s="1237" t="s">
        <v>1282</v>
      </c>
    </row>
    <row r="94" ht="24" customHeight="1">
      <c r="A94" s="1250" t="s">
        <v>1283</v>
      </c>
      <c r="B94" s="1251" t="s">
        <v>1284</v>
      </c>
      <c r="C94" s="1235" t="n">
        <v>0</v>
      </c>
      <c r="D94" s="1235" t="n">
        <v>36</v>
      </c>
      <c r="E94" s="1235" t="n">
        <v>30</v>
      </c>
      <c r="F94" s="1235" t="n">
        <v>14</v>
      </c>
      <c r="G94" s="1235" t="n">
        <v>7</v>
      </c>
      <c r="H94" s="1235" t="n">
        <v>0</v>
      </c>
      <c r="I94" s="1235" t="n">
        <v>0</v>
      </c>
      <c r="J94" s="1235" t="n">
        <v>0</v>
      </c>
      <c r="K94" s="1235" t="n">
        <v>0</v>
      </c>
      <c r="L94" s="1235" t="n">
        <v>0</v>
      </c>
      <c r="M94" s="1235" t="n">
        <v>87</v>
      </c>
      <c r="N94" s="1235" t="n">
        <v>87</v>
      </c>
      <c r="O94" s="1236" t="s">
        <v>1278</v>
      </c>
      <c r="P94" s="1237" t="s">
        <v>1285</v>
      </c>
    </row>
    <row r="95">
      <c r="A95" s="1233" t="s">
        <v>1286</v>
      </c>
      <c r="B95" s="1234" t="s">
        <v>1287</v>
      </c>
      <c r="C95" s="1235" t="n">
        <v>0</v>
      </c>
      <c r="D95" s="1252" t="n">
        <v>5240</v>
      </c>
      <c r="E95" s="1252" t="n">
        <v>4175</v>
      </c>
      <c r="F95" s="1252" t="n">
        <v>5215</v>
      </c>
      <c r="G95" s="1252" t="n">
        <v>6493</v>
      </c>
      <c r="H95" s="1252" t="n">
        <v>7982</v>
      </c>
      <c r="I95" s="1252" t="n">
        <v>9820</v>
      </c>
      <c r="J95" s="1252" t="n">
        <v>11813</v>
      </c>
      <c r="K95" s="1252" t="n">
        <v>14269</v>
      </c>
      <c r="L95" s="1252" t="n">
        <v>14605</v>
      </c>
      <c r="M95" s="1252" t="n">
        <v>21123</v>
      </c>
      <c r="N95" s="1252" t="n">
        <v>79612</v>
      </c>
      <c r="O95" s="1253" t="s">
        <v>1278</v>
      </c>
      <c r="P95" s="1237"/>
    </row>
    <row r="96">
      <c r="A96" s="1233" t="s">
        <v>1288</v>
      </c>
      <c r="B96" s="1234" t="s">
        <v>1289</v>
      </c>
      <c r="C96" s="1254" t="n">
        <v>0</v>
      </c>
      <c r="D96" s="1254" t="n">
        <v>55</v>
      </c>
      <c r="E96" s="1254" t="n">
        <v>55</v>
      </c>
      <c r="F96" s="1254" t="n">
        <v>55</v>
      </c>
      <c r="G96" s="1254" t="n">
        <v>55</v>
      </c>
      <c r="H96" s="1254" t="n">
        <v>55</v>
      </c>
      <c r="I96" s="1254" t="n">
        <v>55</v>
      </c>
      <c r="J96" s="1254" t="n">
        <v>55</v>
      </c>
      <c r="K96" s="1254" t="n">
        <v>55</v>
      </c>
      <c r="L96" s="1254" t="n">
        <v>55</v>
      </c>
      <c r="M96" s="1254" t="n">
        <v>220</v>
      </c>
      <c r="N96" s="1254" t="n">
        <v>495</v>
      </c>
      <c r="O96" s="1255" t="s">
        <v>1278</v>
      </c>
      <c r="P96" s="1238"/>
    </row>
    <row r="97">
      <c r="A97" s="1233" t="s">
        <v>1290</v>
      </c>
      <c r="B97" s="1234" t="s">
        <v>1291</v>
      </c>
      <c r="C97" s="1235" t="n">
        <v>0</v>
      </c>
      <c r="D97" s="1235" t="n">
        <v>19</v>
      </c>
      <c r="E97" s="1235" t="n">
        <v>26</v>
      </c>
      <c r="F97" s="1235" t="n">
        <v>27</v>
      </c>
      <c r="G97" s="1235" t="n">
        <v>17</v>
      </c>
      <c r="H97" s="1235" t="n">
        <v>7</v>
      </c>
      <c r="I97" s="1235" t="n">
        <v>3</v>
      </c>
      <c r="J97" s="1235" t="n">
        <v>1</v>
      </c>
      <c r="K97" s="1235" t="n">
        <v>0</v>
      </c>
      <c r="L97" s="1235" t="n">
        <v>0</v>
      </c>
      <c r="M97" s="1235" t="n">
        <v>89</v>
      </c>
      <c r="N97" s="1235" t="n">
        <v>100</v>
      </c>
      <c r="O97" s="1253" t="s">
        <v>1278</v>
      </c>
      <c r="P97" s="1238"/>
    </row>
    <row r="98">
      <c r="A98" s="1233" t="s">
        <v>1292</v>
      </c>
      <c r="B98" s="1234" t="s">
        <v>1293</v>
      </c>
      <c r="C98" s="1235" t="n">
        <v>0</v>
      </c>
      <c r="D98" s="1235" t="n">
        <v>15</v>
      </c>
      <c r="E98" s="1235" t="n">
        <v>15</v>
      </c>
      <c r="F98" s="1235" t="n">
        <v>15</v>
      </c>
      <c r="G98" s="1235" t="n">
        <v>10</v>
      </c>
      <c r="H98" s="1235" t="n">
        <v>10</v>
      </c>
      <c r="I98" s="1235" t="n">
        <v>10</v>
      </c>
      <c r="J98" s="1235" t="n">
        <v>10</v>
      </c>
      <c r="K98" s="1235" t="n">
        <v>10</v>
      </c>
      <c r="L98" s="1235" t="n">
        <v>5</v>
      </c>
      <c r="M98" s="1235" t="n">
        <v>55</v>
      </c>
      <c r="N98" s="1235" t="n">
        <v>100</v>
      </c>
      <c r="O98" s="1236" t="s">
        <v>1278</v>
      </c>
      <c r="P98" s="1238"/>
    </row>
    <row r="99" ht="36" customHeight="1">
      <c r="A99" s="1233" t="s">
        <v>1294</v>
      </c>
      <c r="B99" s="1234" t="s">
        <v>1295</v>
      </c>
      <c r="C99" s="1256" t="n">
        <v>0</v>
      </c>
      <c r="D99" s="1256" t="n">
        <v>22</v>
      </c>
      <c r="E99" s="1256" t="n">
        <v>96</v>
      </c>
      <c r="F99" s="1256" t="n">
        <v>170</v>
      </c>
      <c r="G99" s="1256" t="n">
        <v>213</v>
      </c>
      <c r="H99" s="1256" t="n">
        <v>160</v>
      </c>
      <c r="I99" s="1256" t="n">
        <v>47</v>
      </c>
      <c r="J99" s="1256" t="n">
        <v>2</v>
      </c>
      <c r="K99" s="1256" t="n">
        <v>0</v>
      </c>
      <c r="L99" s="1256" t="n">
        <v>0</v>
      </c>
      <c r="M99" s="1256" t="n">
        <v>501</v>
      </c>
      <c r="N99" s="1256" t="n">
        <v>710</v>
      </c>
      <c r="O99" s="1235" t="s">
        <v>1278</v>
      </c>
      <c r="P99" s="1238"/>
    </row>
    <row r="100" ht="36" customHeight="1">
      <c r="A100" s="1233" t="s">
        <v>1296</v>
      </c>
      <c r="B100" s="1234" t="s">
        <v>1297</v>
      </c>
      <c r="C100" s="1257"/>
      <c r="D100" s="1257" t="n">
        <v>90</v>
      </c>
      <c r="E100" s="1257" t="n">
        <v>260</v>
      </c>
      <c r="F100" s="1257" t="n">
        <v>427</v>
      </c>
      <c r="G100" s="1257" t="n">
        <v>560</v>
      </c>
      <c r="H100" s="1257" t="n">
        <v>572</v>
      </c>
      <c r="I100" s="1257" t="n">
        <v>534</v>
      </c>
      <c r="J100" s="1257" t="n">
        <v>275</v>
      </c>
      <c r="K100" s="1257" t="n">
        <v>162</v>
      </c>
      <c r="L100" s="1257" t="n">
        <v>70</v>
      </c>
      <c r="M100" s="1257" t="n">
        <v>1347</v>
      </c>
      <c r="N100" s="1257" t="n">
        <v>2960</v>
      </c>
      <c r="O100" s="1258" t="s">
        <v>1278</v>
      </c>
      <c r="P100" s="1238"/>
    </row>
    <row r="101">
      <c r="A101" s="1233" t="s">
        <v>1298</v>
      </c>
      <c r="B101" s="1234" t="s">
        <v>1299</v>
      </c>
      <c r="C101" s="1235" t="n">
        <v>0</v>
      </c>
      <c r="D101" s="1235" t="n">
        <v>40</v>
      </c>
      <c r="E101" s="1235" t="n">
        <v>60</v>
      </c>
      <c r="F101" s="1235" t="n">
        <v>52</v>
      </c>
      <c r="G101" s="1235" t="n">
        <v>40</v>
      </c>
      <c r="H101" s="1235" t="n">
        <v>27</v>
      </c>
      <c r="I101" s="1235" t="n">
        <v>19</v>
      </c>
      <c r="J101" s="1235" t="n">
        <v>10</v>
      </c>
      <c r="K101" s="1235" t="n">
        <v>2</v>
      </c>
      <c r="L101" s="1235" t="n">
        <v>0</v>
      </c>
      <c r="M101" s="1235" t="n">
        <v>192</v>
      </c>
      <c r="N101" s="1235" t="n">
        <v>250</v>
      </c>
      <c r="O101" s="1236" t="s">
        <v>1278</v>
      </c>
      <c r="P101" s="1238"/>
    </row>
    <row r="102">
      <c r="A102" s="1250" t="s">
        <v>1300</v>
      </c>
      <c r="B102" s="1251" t="s">
        <v>1301</v>
      </c>
      <c r="C102" s="1235" t="n">
        <v>0</v>
      </c>
      <c r="D102" s="1235" t="n">
        <v>49</v>
      </c>
      <c r="E102" s="1235" t="n">
        <v>62</v>
      </c>
      <c r="F102" s="1235" t="n">
        <v>62</v>
      </c>
      <c r="G102" s="1235" t="n">
        <v>62</v>
      </c>
      <c r="H102" s="1235" t="n">
        <v>63</v>
      </c>
      <c r="I102" s="1235" t="n">
        <v>63</v>
      </c>
      <c r="J102" s="1235" t="n">
        <v>63</v>
      </c>
      <c r="K102" s="1235" t="n">
        <v>64</v>
      </c>
      <c r="L102" s="1235" t="n">
        <v>12</v>
      </c>
      <c r="M102" s="1235" t="n">
        <v>235</v>
      </c>
      <c r="N102" s="1235" t="n">
        <v>500</v>
      </c>
      <c r="O102" s="1236" t="s">
        <v>1278</v>
      </c>
      <c r="P102" s="1238"/>
    </row>
    <row r="103">
      <c r="A103" s="1233" t="s">
        <v>1302</v>
      </c>
      <c r="B103" s="1234" t="s">
        <v>1303</v>
      </c>
      <c r="C103" s="1235" t="n">
        <v>0</v>
      </c>
      <c r="D103" s="1235" t="n">
        <v>0</v>
      </c>
      <c r="E103" s="1235" t="n">
        <v>0</v>
      </c>
      <c r="F103" s="1235" t="n">
        <v>0</v>
      </c>
      <c r="G103" s="1235" t="n">
        <v>-20</v>
      </c>
      <c r="H103" s="1235" t="n">
        <v>-28</v>
      </c>
      <c r="I103" s="1235" t="n">
        <v>-28</v>
      </c>
      <c r="J103" s="1235" t="n">
        <v>-28</v>
      </c>
      <c r="K103" s="1235" t="n">
        <v>-28</v>
      </c>
      <c r="L103" s="1235" t="n">
        <v>-28</v>
      </c>
      <c r="M103" s="1235" t="n">
        <v>-20</v>
      </c>
      <c r="N103" s="1235" t="n">
        <v>-160</v>
      </c>
      <c r="O103" s="1236" t="s">
        <v>1278</v>
      </c>
      <c r="P103" s="1238"/>
    </row>
    <row r="104" ht="24" customHeight="1">
      <c r="A104" s="1233" t="s">
        <v>1304</v>
      </c>
      <c r="B104" s="1234" t="s">
        <v>1305</v>
      </c>
      <c r="C104" s="1235" t="n">
        <v>0</v>
      </c>
      <c r="D104" s="1235" t="n">
        <v>-235</v>
      </c>
      <c r="E104" s="1235" t="n">
        <v>-44</v>
      </c>
      <c r="F104" s="1235" t="n">
        <v>-22</v>
      </c>
      <c r="G104" s="1235" t="n">
        <v>-26</v>
      </c>
      <c r="H104" s="1235" t="n">
        <v>-23</v>
      </c>
      <c r="I104" s="1235" t="n">
        <v>-19</v>
      </c>
      <c r="J104" s="1235" t="n">
        <v>-41</v>
      </c>
      <c r="K104" s="1235" t="n">
        <v>-35</v>
      </c>
      <c r="L104" s="1235" t="n">
        <v>-39</v>
      </c>
      <c r="M104" s="1235" t="n">
        <v>-327</v>
      </c>
      <c r="N104" s="1235" t="n">
        <v>-484</v>
      </c>
      <c r="O104" s="1236" t="s">
        <v>1278</v>
      </c>
      <c r="P104" s="1238"/>
    </row>
    <row r="105">
      <c r="A105" s="1233" t="s">
        <v>1306</v>
      </c>
      <c r="B105" s="1234" t="s">
        <v>1307</v>
      </c>
      <c r="C105" s="1235" t="n">
        <v>0</v>
      </c>
      <c r="D105" s="1235" t="n">
        <v>7</v>
      </c>
      <c r="E105" s="1235" t="n">
        <v>8</v>
      </c>
      <c r="F105" s="1235" t="n">
        <v>6</v>
      </c>
      <c r="G105" s="1235" t="n">
        <v>2</v>
      </c>
      <c r="H105" s="1235" t="n">
        <v>1</v>
      </c>
      <c r="I105" s="1235" t="n">
        <v>0</v>
      </c>
      <c r="J105" s="1235" t="n">
        <v>0</v>
      </c>
      <c r="K105" s="1235" t="n">
        <v>0</v>
      </c>
      <c r="L105" s="1235" t="n">
        <v>0</v>
      </c>
      <c r="M105" s="1235" t="n">
        <v>23</v>
      </c>
      <c r="N105" s="1235" t="n">
        <v>24</v>
      </c>
      <c r="O105" s="1236" t="s">
        <v>1278</v>
      </c>
      <c r="P105" s="1238"/>
    </row>
    <row r="106" ht="36" customHeight="1">
      <c r="A106" s="1233" t="s">
        <v>1308</v>
      </c>
      <c r="B106" s="1234" t="s">
        <v>1309</v>
      </c>
      <c r="C106" s="1235" t="n">
        <v>0</v>
      </c>
      <c r="D106" s="1235" t="n">
        <v>50</v>
      </c>
      <c r="E106" s="1235" t="n">
        <v>77</v>
      </c>
      <c r="F106" s="1235" t="n">
        <v>87</v>
      </c>
      <c r="G106" s="1235" t="n">
        <v>81</v>
      </c>
      <c r="H106" s="1235" t="n">
        <v>50</v>
      </c>
      <c r="I106" s="1235" t="n">
        <v>30</v>
      </c>
      <c r="J106" s="1235" t="n">
        <v>10</v>
      </c>
      <c r="K106" s="1235" t="n">
        <v>0</v>
      </c>
      <c r="L106" s="1235" t="n">
        <v>0</v>
      </c>
      <c r="M106" s="1235" t="n">
        <v>295</v>
      </c>
      <c r="N106" s="1235" t="n">
        <v>385</v>
      </c>
      <c r="O106" s="1236" t="s">
        <v>1278</v>
      </c>
      <c r="P106" s="1238"/>
    </row>
    <row r="107">
      <c r="A107" s="1250" t="s">
        <v>1310</v>
      </c>
      <c r="B107" s="1251" t="s">
        <v>1311</v>
      </c>
      <c r="C107" s="1235" t="n">
        <v>0</v>
      </c>
      <c r="D107" s="1235" t="n">
        <v>3</v>
      </c>
      <c r="E107" s="1235" t="n">
        <v>2</v>
      </c>
      <c r="F107" s="1235" t="n">
        <v>0</v>
      </c>
      <c r="G107" s="1235" t="n">
        <v>0</v>
      </c>
      <c r="H107" s="1235" t="n">
        <v>0</v>
      </c>
      <c r="I107" s="1235" t="n">
        <v>0</v>
      </c>
      <c r="J107" s="1235" t="n">
        <v>0</v>
      </c>
      <c r="K107" s="1235" t="n">
        <v>0</v>
      </c>
      <c r="L107" s="1235" t="n">
        <v>0</v>
      </c>
      <c r="M107" s="1235" t="n">
        <v>5</v>
      </c>
      <c r="N107" s="1235" t="n">
        <v>5</v>
      </c>
      <c r="O107" s="1236" t="s">
        <v>1312</v>
      </c>
      <c r="P107" s="1238"/>
    </row>
    <row r="108">
      <c r="A108" s="1250" t="s">
        <v>1313</v>
      </c>
      <c r="B108" s="1251" t="s">
        <v>1314</v>
      </c>
      <c r="C108" s="1235" t="n">
        <v>0</v>
      </c>
      <c r="D108" s="1235" t="n">
        <v>70</v>
      </c>
      <c r="E108" s="1235" t="n">
        <v>80</v>
      </c>
      <c r="F108" s="1235" t="n">
        <v>62</v>
      </c>
      <c r="G108" s="1235" t="n">
        <v>25</v>
      </c>
      <c r="H108" s="1235" t="n">
        <v>13</v>
      </c>
      <c r="I108" s="1235" t="n">
        <v>0</v>
      </c>
      <c r="J108" s="1235" t="n">
        <v>0</v>
      </c>
      <c r="K108" s="1235" t="n">
        <v>0</v>
      </c>
      <c r="L108" s="1235" t="n">
        <v>0</v>
      </c>
      <c r="M108" s="1235" t="n">
        <v>237</v>
      </c>
      <c r="N108" s="1235" t="n">
        <v>250</v>
      </c>
      <c r="O108" s="1236" t="s">
        <v>1312</v>
      </c>
      <c r="P108" s="1238"/>
    </row>
    <row r="109" ht="24" customHeight="1">
      <c r="A109" s="1250" t="s">
        <v>1315</v>
      </c>
      <c r="B109" s="1251" t="s">
        <v>1316</v>
      </c>
      <c r="C109" s="1254" t="n">
        <v>0</v>
      </c>
      <c r="D109" s="1254" t="n">
        <v>33</v>
      </c>
      <c r="E109" s="1254" t="n">
        <v>54</v>
      </c>
      <c r="F109" s="1254" t="n">
        <v>37</v>
      </c>
      <c r="G109" s="1254" t="n">
        <v>16</v>
      </c>
      <c r="H109" s="1254" t="n">
        <v>0</v>
      </c>
      <c r="I109" s="1254" t="n">
        <v>0</v>
      </c>
      <c r="J109" s="1254" t="n">
        <v>0</v>
      </c>
      <c r="K109" s="1254" t="n">
        <v>0</v>
      </c>
      <c r="L109" s="1254" t="n">
        <v>0</v>
      </c>
      <c r="M109" s="1254" t="n">
        <v>140</v>
      </c>
      <c r="N109" s="1254" t="n">
        <v>140</v>
      </c>
      <c r="O109" s="1236" t="s">
        <v>1278</v>
      </c>
      <c r="P109" s="1238"/>
    </row>
    <row r="110">
      <c r="A110" s="1233" t="s">
        <v>1317</v>
      </c>
      <c r="B110" s="1234" t="s">
        <v>1318</v>
      </c>
      <c r="C110" s="1235" t="n">
        <v>0</v>
      </c>
      <c r="D110" s="1235" t="n">
        <v>40</v>
      </c>
      <c r="E110" s="1235" t="n">
        <v>40</v>
      </c>
      <c r="F110" s="1235" t="n">
        <v>30</v>
      </c>
      <c r="G110" s="1235" t="n">
        <v>10</v>
      </c>
      <c r="H110" s="1235" t="n">
        <v>5</v>
      </c>
      <c r="I110" s="1235" t="n">
        <v>0</v>
      </c>
      <c r="J110" s="1235" t="n">
        <v>0</v>
      </c>
      <c r="K110" s="1235" t="n">
        <v>0</v>
      </c>
      <c r="L110" s="1235" t="n">
        <v>0</v>
      </c>
      <c r="M110" s="1235" t="n">
        <v>120</v>
      </c>
      <c r="N110" s="1235" t="n">
        <v>125</v>
      </c>
      <c r="O110" s="1236" t="s">
        <v>1278</v>
      </c>
      <c r="P110" s="1238"/>
    </row>
    <row r="111">
      <c r="A111" s="1250" t="s">
        <v>1319</v>
      </c>
      <c r="B111" s="1234" t="s">
        <v>1320</v>
      </c>
      <c r="C111" s="1235" t="n">
        <v>0</v>
      </c>
      <c r="D111" s="1235" t="n">
        <v>5</v>
      </c>
      <c r="E111" s="1235" t="n">
        <v>8</v>
      </c>
      <c r="F111" s="1235" t="n">
        <v>8</v>
      </c>
      <c r="G111" s="1235" t="n">
        <v>8</v>
      </c>
      <c r="H111" s="1235" t="n">
        <v>4</v>
      </c>
      <c r="I111" s="1235" t="n">
        <v>0</v>
      </c>
      <c r="J111" s="1235" t="n">
        <v>0</v>
      </c>
      <c r="K111" s="1235" t="n">
        <v>0</v>
      </c>
      <c r="L111" s="1235" t="n">
        <v>0</v>
      </c>
      <c r="M111" s="1235" t="n">
        <v>29</v>
      </c>
      <c r="N111" s="1235" t="n">
        <v>33</v>
      </c>
      <c r="O111" s="1236" t="s">
        <v>1278</v>
      </c>
      <c r="P111" s="1238"/>
    </row>
    <row r="112">
      <c r="A112" s="1233" t="s">
        <v>1321</v>
      </c>
      <c r="B112" s="1251" t="s">
        <v>1322</v>
      </c>
      <c r="C112" s="1235" t="n">
        <v>0</v>
      </c>
      <c r="D112" s="1235" t="n">
        <v>3</v>
      </c>
      <c r="E112" s="1235" t="n">
        <v>8</v>
      </c>
      <c r="F112" s="1235" t="n">
        <v>8</v>
      </c>
      <c r="G112" s="1235" t="n">
        <v>8</v>
      </c>
      <c r="H112" s="1235" t="n">
        <v>3</v>
      </c>
      <c r="I112" s="1235" t="n">
        <v>0</v>
      </c>
      <c r="J112" s="1235" t="n">
        <v>0</v>
      </c>
      <c r="K112" s="1235" t="n">
        <v>0</v>
      </c>
      <c r="L112" s="1235" t="n">
        <v>0</v>
      </c>
      <c r="M112" s="1235" t="n">
        <v>27</v>
      </c>
      <c r="N112" s="1235" t="n">
        <v>30</v>
      </c>
      <c r="O112" s="1236" t="s">
        <v>1278</v>
      </c>
      <c r="P112" s="1238"/>
    </row>
    <row r="113" ht="24" customHeight="1">
      <c r="A113" s="1233" t="s">
        <v>1323</v>
      </c>
      <c r="B113" s="1234" t="s">
        <v>1324</v>
      </c>
      <c r="C113" s="1254" t="n">
        <v>0</v>
      </c>
      <c r="D113" s="1254" t="n">
        <v>165</v>
      </c>
      <c r="E113" s="1254" t="n">
        <v>165</v>
      </c>
      <c r="F113" s="1254" t="n">
        <v>230</v>
      </c>
      <c r="G113" s="1254" t="n">
        <v>340</v>
      </c>
      <c r="H113" s="1254" t="n">
        <v>490</v>
      </c>
      <c r="I113" s="1254" t="n">
        <v>540</v>
      </c>
      <c r="J113" s="1254" t="n">
        <v>640</v>
      </c>
      <c r="K113" s="1254" t="n">
        <v>475</v>
      </c>
      <c r="L113" s="1254" t="n">
        <v>330</v>
      </c>
      <c r="M113" s="1254" t="n">
        <v>900</v>
      </c>
      <c r="N113" s="1254" t="n">
        <v>3375</v>
      </c>
      <c r="O113" s="1253" t="s">
        <v>1278</v>
      </c>
      <c r="P113" s="1238"/>
    </row>
    <row r="114" ht="24" customHeight="1">
      <c r="A114" s="1259" t="s">
        <v>1294</v>
      </c>
      <c r="B114" s="1260" t="s">
        <v>1325</v>
      </c>
      <c r="C114" s="1235" t="n">
        <v>0</v>
      </c>
      <c r="D114" s="1235" t="n">
        <v>195</v>
      </c>
      <c r="E114" s="1235" t="n">
        <v>448</v>
      </c>
      <c r="F114" s="1235" t="n">
        <v>641</v>
      </c>
      <c r="G114" s="1235" t="n">
        <v>716</v>
      </c>
      <c r="H114" s="1235" t="n">
        <v>681</v>
      </c>
      <c r="I114" s="1235" t="n">
        <v>528</v>
      </c>
      <c r="J114" s="1235" t="n">
        <v>421</v>
      </c>
      <c r="K114" s="1235" t="n">
        <v>323</v>
      </c>
      <c r="L114" s="1235" t="n">
        <v>23</v>
      </c>
      <c r="M114" s="1252" t="n">
        <v>2000</v>
      </c>
      <c r="N114" s="1252" t="n">
        <v>3976</v>
      </c>
      <c r="O114" s="1253" t="s">
        <v>1278</v>
      </c>
      <c r="P114" s="1261"/>
    </row>
    <row r="115" ht="30" customHeight="1">
      <c r="A115" s="1245" t="s">
        <v>1326</v>
      </c>
      <c r="B115" s="1246" t="s">
        <v>1327</v>
      </c>
      <c r="C115" s="1262" t="n">
        <v>0</v>
      </c>
      <c r="D115" s="1262" t="n">
        <v>20</v>
      </c>
      <c r="E115" s="1262" t="n">
        <v>57</v>
      </c>
      <c r="F115" s="1262" t="n">
        <v>96</v>
      </c>
      <c r="G115" s="1262" t="n">
        <v>150</v>
      </c>
      <c r="H115" s="1262" t="n">
        <v>200</v>
      </c>
      <c r="I115" s="1262" t="n">
        <v>185</v>
      </c>
      <c r="J115" s="1262" t="n">
        <v>147</v>
      </c>
      <c r="K115" s="1262" t="n">
        <v>106</v>
      </c>
      <c r="L115" s="1262" t="n">
        <v>39</v>
      </c>
      <c r="M115" s="1262" t="n">
        <v>323</v>
      </c>
      <c r="N115" s="1263" t="n">
        <v>1000</v>
      </c>
      <c r="O115" s="1264" t="s">
        <v>1328</v>
      </c>
      <c r="P115" s="1265" t="s">
        <v>1329</v>
      </c>
    </row>
    <row r="116">
      <c r="A116" s="1250" t="s">
        <v>1330</v>
      </c>
      <c r="B116" s="1234" t="s">
        <v>1331</v>
      </c>
      <c r="C116" s="1235" t="n">
        <v>0</v>
      </c>
      <c r="D116" s="1235" t="n">
        <v>15</v>
      </c>
      <c r="E116" s="1235" t="n">
        <v>53</v>
      </c>
      <c r="F116" s="1235" t="n">
        <v>57</v>
      </c>
      <c r="G116" s="1235" t="n">
        <v>48</v>
      </c>
      <c r="H116" s="1235" t="n">
        <v>43</v>
      </c>
      <c r="I116" s="1235" t="n">
        <v>17</v>
      </c>
      <c r="J116" s="1235" t="n">
        <v>2</v>
      </c>
      <c r="K116" s="1235" t="n">
        <v>0</v>
      </c>
      <c r="L116" s="1235" t="n">
        <v>0</v>
      </c>
      <c r="M116" s="1235" t="n">
        <v>173</v>
      </c>
      <c r="N116" s="1235" t="n">
        <v>235</v>
      </c>
      <c r="O116" s="1236" t="s">
        <v>1332</v>
      </c>
      <c r="P116" s="1237" t="s">
        <v>1333</v>
      </c>
    </row>
    <row r="117">
      <c r="A117" s="1233" t="s">
        <v>1334</v>
      </c>
      <c r="B117" s="1234" t="s">
        <v>1335</v>
      </c>
      <c r="C117" s="1235" t="n">
        <v>0</v>
      </c>
      <c r="D117" s="1235" t="n">
        <v>15</v>
      </c>
      <c r="E117" s="1235" t="n">
        <v>53</v>
      </c>
      <c r="F117" s="1235" t="n">
        <v>57</v>
      </c>
      <c r="G117" s="1235" t="n">
        <v>48</v>
      </c>
      <c r="H117" s="1235" t="n">
        <v>43</v>
      </c>
      <c r="I117" s="1235" t="n">
        <v>17</v>
      </c>
      <c r="J117" s="1235" t="n">
        <v>2</v>
      </c>
      <c r="K117" s="1235" t="n">
        <v>0</v>
      </c>
      <c r="L117" s="1235" t="n">
        <v>0</v>
      </c>
      <c r="M117" s="1235" t="n">
        <v>173</v>
      </c>
      <c r="N117" s="1235" t="n">
        <v>235</v>
      </c>
      <c r="O117" s="1236" t="s">
        <v>1332</v>
      </c>
      <c r="P117" s="1237" t="s">
        <v>1333</v>
      </c>
    </row>
    <row r="118">
      <c r="A118" s="1250" t="s">
        <v>1336</v>
      </c>
      <c r="B118" s="1251" t="s">
        <v>1337</v>
      </c>
      <c r="C118" s="1235" t="n">
        <v>0</v>
      </c>
      <c r="D118" s="1235" t="n">
        <v>42</v>
      </c>
      <c r="E118" s="1235" t="n">
        <v>18</v>
      </c>
      <c r="F118" s="1235" t="n">
        <v>0</v>
      </c>
      <c r="G118" s="1235" t="n">
        <v>0</v>
      </c>
      <c r="H118" s="1235" t="n">
        <v>0</v>
      </c>
      <c r="I118" s="1235" t="n">
        <v>0</v>
      </c>
      <c r="J118" s="1235" t="n">
        <v>0</v>
      </c>
      <c r="K118" s="1235" t="n">
        <v>0</v>
      </c>
      <c r="L118" s="1235" t="n">
        <v>0</v>
      </c>
      <c r="M118" s="1235" t="n">
        <v>60</v>
      </c>
      <c r="N118" s="1235" t="n">
        <v>60</v>
      </c>
      <c r="O118" s="1236" t="s">
        <v>1328</v>
      </c>
      <c r="P118" s="1238" t="s">
        <v>1338</v>
      </c>
    </row>
    <row r="119">
      <c r="A119" s="1233" t="s">
        <v>1339</v>
      </c>
      <c r="B119" s="1234" t="s">
        <v>1340</v>
      </c>
      <c r="C119" s="1235" t="n">
        <v>0</v>
      </c>
      <c r="D119" s="1235" t="n">
        <v>2</v>
      </c>
      <c r="E119" s="1235" t="n">
        <v>13</v>
      </c>
      <c r="F119" s="1235" t="n">
        <v>26</v>
      </c>
      <c r="G119" s="1235" t="n">
        <v>30</v>
      </c>
      <c r="H119" s="1235" t="n">
        <v>24</v>
      </c>
      <c r="I119" s="1235" t="n">
        <v>0</v>
      </c>
      <c r="J119" s="1235" t="n">
        <v>0</v>
      </c>
      <c r="K119" s="1235" t="n">
        <v>0</v>
      </c>
      <c r="L119" s="1235" t="n">
        <v>0</v>
      </c>
      <c r="M119" s="1235" t="n">
        <v>71</v>
      </c>
      <c r="N119" s="1235" t="n">
        <v>95</v>
      </c>
      <c r="O119" s="1236" t="s">
        <v>1328</v>
      </c>
      <c r="P119" s="1237" t="s">
        <v>1341</v>
      </c>
    </row>
    <row r="120" ht="36" customHeight="1">
      <c r="A120" s="1233" t="s">
        <v>1342</v>
      </c>
      <c r="B120" s="1234" t="s">
        <v>1343</v>
      </c>
      <c r="C120" s="1235" t="n">
        <v>0</v>
      </c>
      <c r="D120" s="1235" t="n">
        <v>3</v>
      </c>
      <c r="E120" s="1235" t="n">
        <v>19</v>
      </c>
      <c r="F120" s="1235" t="n">
        <v>67</v>
      </c>
      <c r="G120" s="1235" t="n">
        <v>86</v>
      </c>
      <c r="H120" s="1235" t="n">
        <v>59</v>
      </c>
      <c r="I120" s="1235" t="n">
        <v>35</v>
      </c>
      <c r="J120" s="1235" t="n">
        <v>19</v>
      </c>
      <c r="K120" s="1235" t="n">
        <v>6</v>
      </c>
      <c r="L120" s="1235" t="n">
        <v>0</v>
      </c>
      <c r="M120" s="1235" t="n">
        <v>175</v>
      </c>
      <c r="N120" s="1235" t="n">
        <v>294</v>
      </c>
      <c r="O120" s="1236" t="s">
        <v>1328</v>
      </c>
      <c r="P120" s="1261" t="s">
        <v>1344</v>
      </c>
    </row>
    <row r="121">
      <c r="A121" s="1233" t="s">
        <v>1345</v>
      </c>
      <c r="B121" s="1234" t="s">
        <v>1346</v>
      </c>
      <c r="C121" s="1235" t="n">
        <v>0</v>
      </c>
      <c r="D121" s="1235" t="n">
        <v>65</v>
      </c>
      <c r="E121" s="1235" t="n">
        <v>150</v>
      </c>
      <c r="F121" s="1235" t="n">
        <v>290</v>
      </c>
      <c r="G121" s="1235" t="n">
        <v>290</v>
      </c>
      <c r="H121" s="1235" t="n">
        <v>290</v>
      </c>
      <c r="I121" s="1235" t="n">
        <v>285</v>
      </c>
      <c r="J121" s="1235" t="n">
        <v>250</v>
      </c>
      <c r="K121" s="1235" t="n">
        <v>220</v>
      </c>
      <c r="L121" s="1235" t="n">
        <v>160</v>
      </c>
      <c r="M121" s="1235" t="n">
        <v>795</v>
      </c>
      <c r="N121" s="1252" t="n">
        <v>2000</v>
      </c>
      <c r="O121" s="1236" t="s">
        <v>1328</v>
      </c>
      <c r="P121" s="1238"/>
    </row>
    <row r="122">
      <c r="A122" s="1233" t="s">
        <v>1347</v>
      </c>
      <c r="B122" s="1234" t="s">
        <v>1348</v>
      </c>
      <c r="C122" s="1235" t="n">
        <v>0</v>
      </c>
      <c r="D122" s="1235" t="n">
        <v>5</v>
      </c>
      <c r="E122" s="1235" t="n">
        <v>20</v>
      </c>
      <c r="F122" s="1235" t="n">
        <v>65</v>
      </c>
      <c r="G122" s="1235" t="n">
        <v>105</v>
      </c>
      <c r="H122" s="1235" t="n">
        <v>140</v>
      </c>
      <c r="I122" s="1235" t="n">
        <v>175</v>
      </c>
      <c r="J122" s="1235" t="n">
        <v>210</v>
      </c>
      <c r="K122" s="1235" t="n">
        <v>150</v>
      </c>
      <c r="L122" s="1235" t="n">
        <v>35</v>
      </c>
      <c r="M122" s="1235" t="n">
        <v>195</v>
      </c>
      <c r="N122" s="1235" t="n">
        <v>905</v>
      </c>
      <c r="O122" s="1266" t="s">
        <v>1328</v>
      </c>
      <c r="P122" s="1267"/>
    </row>
    <row r="123">
      <c r="A123" s="1233" t="s">
        <v>1349</v>
      </c>
      <c r="B123" s="1234" t="s">
        <v>1350</v>
      </c>
      <c r="C123" s="1235" t="n">
        <v>0</v>
      </c>
      <c r="D123" s="1235" t="n">
        <v>10</v>
      </c>
      <c r="E123" s="1235" t="n">
        <v>150</v>
      </c>
      <c r="F123" s="1235" t="n">
        <v>300</v>
      </c>
      <c r="G123" s="1235" t="n">
        <v>590</v>
      </c>
      <c r="H123" s="1235" t="n">
        <v>460</v>
      </c>
      <c r="I123" s="1235" t="n">
        <v>295</v>
      </c>
      <c r="J123" s="1235" t="n">
        <v>195</v>
      </c>
      <c r="K123" s="1235" t="n">
        <v>0</v>
      </c>
      <c r="L123" s="1235" t="n">
        <v>0</v>
      </c>
      <c r="M123" s="1252" t="n">
        <v>1050</v>
      </c>
      <c r="N123" s="1252" t="n">
        <v>2000</v>
      </c>
      <c r="O123" s="1236" t="s">
        <v>1328</v>
      </c>
      <c r="P123" s="1238"/>
    </row>
    <row r="124">
      <c r="A124" s="1233" t="s">
        <v>1351</v>
      </c>
      <c r="B124" s="1234" t="s">
        <v>1352</v>
      </c>
      <c r="C124" s="1235"/>
      <c r="D124" s="1235"/>
      <c r="E124" s="1235"/>
      <c r="F124" s="1235"/>
      <c r="G124" s="1235"/>
      <c r="H124" s="1235"/>
      <c r="I124" s="1235"/>
      <c r="J124" s="1235"/>
      <c r="K124" s="1235"/>
      <c r="L124" s="1235"/>
      <c r="M124" s="1235"/>
      <c r="N124" s="1235"/>
      <c r="O124" s="1236"/>
      <c r="P124" s="1238"/>
    </row>
    <row r="125" ht="24" customHeight="1">
      <c r="A125" s="1250" t="s">
        <v>1353</v>
      </c>
      <c r="B125" s="1251" t="s">
        <v>1354</v>
      </c>
      <c r="C125" s="1254" t="n">
        <v>0</v>
      </c>
      <c r="D125" s="1254" t="n">
        <v>72</v>
      </c>
      <c r="E125" s="1254" t="n">
        <v>123</v>
      </c>
      <c r="F125" s="1254" t="n">
        <v>122</v>
      </c>
      <c r="G125" s="1254" t="n">
        <v>115</v>
      </c>
      <c r="H125" s="1254" t="n">
        <v>55</v>
      </c>
      <c r="I125" s="1254" t="n">
        <v>55</v>
      </c>
      <c r="J125" s="1254" t="n">
        <v>33</v>
      </c>
      <c r="K125" s="1254" t="n">
        <v>0</v>
      </c>
      <c r="L125" s="1254" t="n">
        <v>0</v>
      </c>
      <c r="M125" s="1254" t="n">
        <v>432</v>
      </c>
      <c r="N125" s="1254" t="n">
        <v>575</v>
      </c>
      <c r="O125" s="1235" t="s">
        <v>1328</v>
      </c>
      <c r="P125" s="1238"/>
    </row>
    <row r="126">
      <c r="A126" s="1233" t="s">
        <v>1355</v>
      </c>
      <c r="B126" s="1234" t="s">
        <v>1356</v>
      </c>
      <c r="C126" s="1235" t="n">
        <v>0</v>
      </c>
      <c r="D126" s="1235" t="n">
        <v>1</v>
      </c>
      <c r="E126" s="1235" t="n">
        <v>2</v>
      </c>
      <c r="F126" s="1235" t="n">
        <v>2</v>
      </c>
      <c r="G126" s="1235" t="n">
        <v>2</v>
      </c>
      <c r="H126" s="1235" t="n">
        <v>2</v>
      </c>
      <c r="I126" s="1235" t="n">
        <v>2</v>
      </c>
      <c r="J126" s="1235" t="n">
        <v>2</v>
      </c>
      <c r="K126" s="1235" t="n">
        <v>2</v>
      </c>
      <c r="L126" s="1235" t="n">
        <v>1</v>
      </c>
      <c r="M126" s="1235" t="n">
        <v>7</v>
      </c>
      <c r="N126" s="1235" t="n">
        <v>16</v>
      </c>
      <c r="O126" s="1236" t="s">
        <v>1328</v>
      </c>
      <c r="P126" s="1238"/>
    </row>
    <row r="127">
      <c r="A127" s="1233" t="s">
        <v>1357</v>
      </c>
      <c r="B127" s="1234" t="s">
        <v>1358</v>
      </c>
      <c r="C127" s="1235" t="n">
        <v>0</v>
      </c>
      <c r="D127" s="1235" t="n">
        <v>49</v>
      </c>
      <c r="E127" s="1235" t="n">
        <v>190</v>
      </c>
      <c r="F127" s="1235" t="n">
        <v>379</v>
      </c>
      <c r="G127" s="1235" t="n">
        <v>531</v>
      </c>
      <c r="H127" s="1235" t="n">
        <v>619</v>
      </c>
      <c r="I127" s="1235" t="n">
        <v>580</v>
      </c>
      <c r="J127" s="1235" t="n">
        <v>387</v>
      </c>
      <c r="K127" s="1235" t="n">
        <v>196</v>
      </c>
      <c r="L127" s="1235" t="n">
        <v>69</v>
      </c>
      <c r="M127" s="1252" t="n">
        <v>1149</v>
      </c>
      <c r="N127" s="1252" t="n">
        <v>3000</v>
      </c>
      <c r="O127" s="1236" t="s">
        <v>1328</v>
      </c>
      <c r="P127" s="1238"/>
    </row>
    <row r="128">
      <c r="A128" s="1250" t="s">
        <v>1359</v>
      </c>
      <c r="B128" s="1251" t="s">
        <v>1360</v>
      </c>
      <c r="C128" s="1235" t="n">
        <v>0</v>
      </c>
      <c r="D128" s="1235" t="n">
        <v>22</v>
      </c>
      <c r="E128" s="1235" t="n">
        <v>22</v>
      </c>
      <c r="F128" s="1235" t="n">
        <v>6</v>
      </c>
      <c r="G128" s="1235" t="n">
        <v>0</v>
      </c>
      <c r="H128" s="1235" t="n">
        <v>0</v>
      </c>
      <c r="I128" s="1235" t="n">
        <v>0</v>
      </c>
      <c r="J128" s="1235" t="n">
        <v>0</v>
      </c>
      <c r="K128" s="1235" t="n">
        <v>0</v>
      </c>
      <c r="L128" s="1235" t="n">
        <v>0</v>
      </c>
      <c r="M128" s="1235" t="n">
        <v>50</v>
      </c>
      <c r="N128" s="1235" t="n">
        <v>50</v>
      </c>
      <c r="O128" s="1236" t="s">
        <v>1328</v>
      </c>
      <c r="P128" s="1237"/>
    </row>
    <row r="129">
      <c r="A129" s="1233" t="s">
        <v>1361</v>
      </c>
      <c r="B129" s="1234" t="s">
        <v>1362</v>
      </c>
      <c r="C129" s="1235" t="n">
        <v>0</v>
      </c>
      <c r="D129" s="1235" t="n">
        <v>30</v>
      </c>
      <c r="E129" s="1235" t="n">
        <v>30</v>
      </c>
      <c r="F129" s="1235" t="n">
        <v>40</v>
      </c>
      <c r="G129" s="1235" t="n">
        <v>15</v>
      </c>
      <c r="H129" s="1235" t="n">
        <v>5</v>
      </c>
      <c r="I129" s="1235" t="n">
        <v>5</v>
      </c>
      <c r="J129" s="1235" t="n">
        <v>0</v>
      </c>
      <c r="K129" s="1235" t="n">
        <v>0</v>
      </c>
      <c r="L129" s="1235" t="n">
        <v>0</v>
      </c>
      <c r="M129" s="1235" t="n">
        <v>115</v>
      </c>
      <c r="N129" s="1235" t="n">
        <v>125</v>
      </c>
      <c r="O129" s="1236" t="s">
        <v>1328</v>
      </c>
      <c r="P129" s="1238"/>
    </row>
    <row r="130">
      <c r="A130" s="1233" t="s">
        <v>1363</v>
      </c>
      <c r="B130" s="1234" t="s">
        <v>1364</v>
      </c>
      <c r="C130" s="1235" t="n">
        <v>0</v>
      </c>
      <c r="D130" s="1235" t="n">
        <v>10</v>
      </c>
      <c r="E130" s="1235" t="n">
        <v>230</v>
      </c>
      <c r="F130" s="1235" t="n">
        <v>660</v>
      </c>
      <c r="G130" s="1235" t="n">
        <v>945</v>
      </c>
      <c r="H130" s="1235" t="n">
        <v>605</v>
      </c>
      <c r="I130" s="1235" t="n">
        <v>100</v>
      </c>
      <c r="J130" s="1235" t="n">
        <v>0</v>
      </c>
      <c r="K130" s="1235" t="n">
        <v>0</v>
      </c>
      <c r="L130" s="1235" t="n">
        <v>0</v>
      </c>
      <c r="M130" s="1252" t="n">
        <v>1845</v>
      </c>
      <c r="N130" s="1252" t="n">
        <v>2550</v>
      </c>
      <c r="O130" s="1236" t="s">
        <v>1328</v>
      </c>
      <c r="P130" s="1238"/>
    </row>
    <row r="131">
      <c r="A131" s="1233" t="s">
        <v>1365</v>
      </c>
      <c r="B131" s="1234" t="s">
        <v>1366</v>
      </c>
      <c r="C131" s="1235" t="n">
        <v>0</v>
      </c>
      <c r="D131" s="1235" t="n">
        <v>10</v>
      </c>
      <c r="E131" s="1235" t="n">
        <v>45</v>
      </c>
      <c r="F131" s="1235" t="n">
        <v>70</v>
      </c>
      <c r="G131" s="1235" t="n">
        <v>100</v>
      </c>
      <c r="H131" s="1235" t="n">
        <v>100</v>
      </c>
      <c r="I131" s="1235" t="n">
        <v>100</v>
      </c>
      <c r="J131" s="1235" t="n">
        <v>100</v>
      </c>
      <c r="K131" s="1235" t="n">
        <v>100</v>
      </c>
      <c r="L131" s="1235" t="n">
        <v>100</v>
      </c>
      <c r="M131" s="1235" t="n">
        <v>225</v>
      </c>
      <c r="N131" s="1235" t="n">
        <v>725</v>
      </c>
      <c r="O131" s="1236" t="s">
        <v>1328</v>
      </c>
      <c r="P131" s="1238"/>
    </row>
    <row r="132">
      <c r="A132" s="1250" t="s">
        <v>1367</v>
      </c>
      <c r="B132" s="1251" t="s">
        <v>1368</v>
      </c>
      <c r="C132" s="1235" t="n">
        <v>0</v>
      </c>
      <c r="D132" s="1235" t="n">
        <v>14</v>
      </c>
      <c r="E132" s="1235" t="n">
        <v>11</v>
      </c>
      <c r="F132" s="1235" t="n">
        <v>0</v>
      </c>
      <c r="G132" s="1235" t="n">
        <v>0</v>
      </c>
      <c r="H132" s="1235" t="n">
        <v>0</v>
      </c>
      <c r="I132" s="1235" t="n">
        <v>0</v>
      </c>
      <c r="J132" s="1235" t="n">
        <v>0</v>
      </c>
      <c r="K132" s="1235" t="n">
        <v>0</v>
      </c>
      <c r="L132" s="1235" t="n">
        <v>0</v>
      </c>
      <c r="M132" s="1235" t="n">
        <v>25</v>
      </c>
      <c r="N132" s="1235" t="n">
        <v>25</v>
      </c>
      <c r="O132" s="1236" t="s">
        <v>1332</v>
      </c>
      <c r="P132" s="1237"/>
    </row>
    <row r="133">
      <c r="A133" s="1250" t="s">
        <v>1369</v>
      </c>
      <c r="B133" s="1251" t="s">
        <v>1370</v>
      </c>
      <c r="C133" s="1235" t="n">
        <v>0</v>
      </c>
      <c r="D133" s="1235" t="n">
        <v>84</v>
      </c>
      <c r="E133" s="1235" t="n">
        <v>320</v>
      </c>
      <c r="F133" s="1235" t="n">
        <v>638</v>
      </c>
      <c r="G133" s="1235" t="n">
        <v>928</v>
      </c>
      <c r="H133" s="1235" t="n">
        <v>940</v>
      </c>
      <c r="I133" s="1235" t="n">
        <v>720</v>
      </c>
      <c r="J133" s="1235" t="n">
        <v>300</v>
      </c>
      <c r="K133" s="1235" t="n">
        <v>120</v>
      </c>
      <c r="L133" s="1235" t="n">
        <v>0</v>
      </c>
      <c r="M133" s="1252" t="n">
        <v>1970</v>
      </c>
      <c r="N133" s="1252" t="n">
        <v>4050</v>
      </c>
      <c r="O133" s="1236" t="s">
        <v>1332</v>
      </c>
      <c r="P133" s="1238"/>
    </row>
    <row r="134">
      <c r="A134" s="1233" t="s">
        <v>1371</v>
      </c>
      <c r="B134" s="1234" t="s">
        <v>1372</v>
      </c>
      <c r="C134" s="1235" t="n">
        <v>0</v>
      </c>
      <c r="D134" s="1235" t="n">
        <v>40</v>
      </c>
      <c r="E134" s="1235" t="n">
        <v>200</v>
      </c>
      <c r="F134" s="1235" t="n">
        <v>400</v>
      </c>
      <c r="G134" s="1235" t="n">
        <v>660</v>
      </c>
      <c r="H134" s="1235" t="n">
        <v>640</v>
      </c>
      <c r="I134" s="1235" t="n">
        <v>515</v>
      </c>
      <c r="J134" s="1235" t="n">
        <v>240</v>
      </c>
      <c r="K134" s="1235" t="n">
        <v>105</v>
      </c>
      <c r="L134" s="1235" t="n">
        <v>0</v>
      </c>
      <c r="M134" s="1252" t="n">
        <v>1300</v>
      </c>
      <c r="N134" s="1252" t="n">
        <v>2800</v>
      </c>
      <c r="O134" s="1236" t="s">
        <v>1332</v>
      </c>
      <c r="P134" s="1238"/>
    </row>
    <row r="135">
      <c r="A135" s="1233" t="s">
        <v>1373</v>
      </c>
      <c r="B135" s="1234" t="s">
        <v>1374</v>
      </c>
      <c r="C135" s="1268" t="n">
        <v>0</v>
      </c>
      <c r="D135" s="1268" t="n">
        <v>138</v>
      </c>
      <c r="E135" s="1268" t="n">
        <v>566</v>
      </c>
      <c r="F135" s="1268" t="n">
        <v>994</v>
      </c>
      <c r="G135" s="1269" t="n">
        <v>1328</v>
      </c>
      <c r="H135" s="1269" t="n">
        <v>1791</v>
      </c>
      <c r="I135" s="1269" t="n">
        <v>2350</v>
      </c>
      <c r="J135" s="1269" t="n">
        <v>2928</v>
      </c>
      <c r="K135" s="1269" t="n">
        <v>3548</v>
      </c>
      <c r="L135" s="1269" t="n">
        <v>4162</v>
      </c>
      <c r="M135" s="1269" t="n">
        <v>3026</v>
      </c>
      <c r="N135" s="1269" t="n">
        <v>17805</v>
      </c>
      <c r="O135" s="1270" t="s">
        <v>54</v>
      </c>
      <c r="P135" s="1271"/>
    </row>
    <row r="136">
      <c r="A136" s="1233" t="s">
        <v>1375</v>
      </c>
      <c r="B136" s="1234" t="s">
        <v>1376</v>
      </c>
      <c r="C136" s="1268" t="n">
        <v>0</v>
      </c>
      <c r="D136" s="1268" t="n">
        <v>0</v>
      </c>
      <c r="E136" s="1268" t="n">
        <v>235</v>
      </c>
      <c r="F136" s="1268" t="n">
        <v>317</v>
      </c>
      <c r="G136" s="1268" t="n">
        <v>304</v>
      </c>
      <c r="H136" s="1268" t="n">
        <v>314</v>
      </c>
      <c r="I136" s="1268" t="n">
        <v>324</v>
      </c>
      <c r="J136" s="1268" t="n">
        <v>335</v>
      </c>
      <c r="K136" s="1268" t="n">
        <v>346</v>
      </c>
      <c r="L136" s="1268" t="n">
        <v>359</v>
      </c>
      <c r="M136" s="1268" t="n">
        <v>856</v>
      </c>
      <c r="N136" s="1269" t="n">
        <v>2534</v>
      </c>
      <c r="O136" s="1270" t="s">
        <v>54</v>
      </c>
      <c r="P136" s="1238"/>
    </row>
    <row r="137" ht="24" customHeight="1">
      <c r="A137" s="1233" t="s">
        <v>1377</v>
      </c>
      <c r="B137" s="1234" t="s">
        <v>1378</v>
      </c>
      <c r="C137" s="1272"/>
      <c r="D137" s="1272" t="n">
        <v>333</v>
      </c>
      <c r="E137" s="1272" t="n">
        <v>314</v>
      </c>
      <c r="F137" s="1272" t="n">
        <v>314</v>
      </c>
      <c r="G137" s="1272" t="n">
        <v>-4530</v>
      </c>
      <c r="H137" s="1272" t="n">
        <v>-9118</v>
      </c>
      <c r="I137" s="1272" t="n">
        <v>-18184</v>
      </c>
      <c r="J137" s="1272" t="n">
        <v>-20493</v>
      </c>
      <c r="K137" s="1272" t="n">
        <v>-23289</v>
      </c>
      <c r="L137" s="1272" t="n">
        <v>-24298</v>
      </c>
      <c r="M137" s="1272" t="n">
        <v>-569</v>
      </c>
      <c r="N137" s="1272" t="n">
        <v>-95951</v>
      </c>
      <c r="O137" s="1273" t="s">
        <v>55</v>
      </c>
      <c r="P137" s="1274"/>
    </row>
    <row r="138" ht="36" customHeight="1">
      <c r="A138" s="1233" t="s">
        <v>1373</v>
      </c>
      <c r="B138" s="1234" t="s">
        <v>1379</v>
      </c>
      <c r="C138" s="1275" t="n">
        <v>0</v>
      </c>
      <c r="D138" s="1275" t="n">
        <v>-2447</v>
      </c>
      <c r="E138" s="1275" t="n">
        <v>-3716</v>
      </c>
      <c r="F138" s="1275" t="n">
        <v>-19171</v>
      </c>
      <c r="G138" s="1275" t="n">
        <v>-7014</v>
      </c>
      <c r="H138" s="1275" t="n">
        <v>-7706</v>
      </c>
      <c r="I138" s="1275" t="n">
        <v>-8497</v>
      </c>
      <c r="J138" s="1275" t="n">
        <v>-9360</v>
      </c>
      <c r="K138" s="1275" t="n">
        <v>-10602</v>
      </c>
      <c r="L138" s="1275" t="n">
        <v>-11603</v>
      </c>
      <c r="M138" s="1275" t="n">
        <v>-32348</v>
      </c>
      <c r="N138" s="1275" t="n">
        <v>-80116</v>
      </c>
      <c r="O138" s="1273" t="s">
        <v>55</v>
      </c>
      <c r="P138" s="1238"/>
    </row>
    <row r="139">
      <c r="A139" s="1233" t="s">
        <v>1380</v>
      </c>
      <c r="B139" s="1234" t="s">
        <v>1381</v>
      </c>
      <c r="C139" s="1272" t="n">
        <v>0</v>
      </c>
      <c r="D139" s="1272" t="n">
        <v>53</v>
      </c>
      <c r="E139" s="1272" t="n">
        <v>1991</v>
      </c>
      <c r="F139" s="1272" t="n">
        <v>3308</v>
      </c>
      <c r="G139" s="1272" t="n">
        <v>3545</v>
      </c>
      <c r="H139" s="1272" t="n">
        <v>4537</v>
      </c>
      <c r="I139" s="1272" t="n">
        <v>4476</v>
      </c>
      <c r="J139" s="1272" t="n">
        <v>3947</v>
      </c>
      <c r="K139" s="1272" t="n">
        <v>1781</v>
      </c>
      <c r="L139" s="1272" t="n">
        <v>1462</v>
      </c>
      <c r="M139" s="1272" t="n">
        <v>8897</v>
      </c>
      <c r="N139" s="1272" t="n">
        <v>25100</v>
      </c>
      <c r="O139" s="1273" t="s">
        <v>55</v>
      </c>
      <c r="P139" s="1238"/>
    </row>
    <row r="140">
      <c r="A140" s="1233" t="s">
        <v>1382</v>
      </c>
      <c r="B140" s="1234" t="s">
        <v>1383</v>
      </c>
      <c r="C140" s="1276" t="n">
        <v>0</v>
      </c>
      <c r="D140" s="1276" t="n">
        <v>0</v>
      </c>
      <c r="E140" s="1276" t="n">
        <v>0</v>
      </c>
      <c r="F140" s="1276" t="n">
        <v>0</v>
      </c>
      <c r="G140" s="1276" t="n">
        <v>0</v>
      </c>
      <c r="H140" s="1277" t="n">
        <v>-16290</v>
      </c>
      <c r="I140" s="1277" t="n">
        <v>-25656</v>
      </c>
      <c r="J140" s="1277" t="n">
        <v>-23394</v>
      </c>
      <c r="K140" s="1277" t="n">
        <v>-27561</v>
      </c>
      <c r="L140" s="1277" t="n">
        <v>-29250</v>
      </c>
      <c r="M140" s="1276" t="n">
        <v>0</v>
      </c>
      <c r="N140" s="1277" t="n">
        <v>-122151</v>
      </c>
      <c r="O140" s="1273" t="s">
        <v>55</v>
      </c>
      <c r="P140" s="1238"/>
    </row>
    <row r="141" ht="36" customHeight="1">
      <c r="A141" s="1233" t="s">
        <v>1384</v>
      </c>
      <c r="B141" s="1234" t="s">
        <v>1385</v>
      </c>
      <c r="C141" s="1272" t="n">
        <v>0</v>
      </c>
      <c r="D141" s="1272" t="n">
        <v>-70</v>
      </c>
      <c r="E141" s="1272" t="n">
        <v>300</v>
      </c>
      <c r="F141" s="1272" t="n">
        <v>862</v>
      </c>
      <c r="G141" s="1272" t="n">
        <v>577</v>
      </c>
      <c r="H141" s="1272" t="n">
        <v>464</v>
      </c>
      <c r="I141" s="1272" t="n">
        <v>549</v>
      </c>
      <c r="J141" s="1272" t="n">
        <v>501</v>
      </c>
      <c r="K141" s="1272" t="n">
        <v>591</v>
      </c>
      <c r="L141" s="1272" t="n">
        <v>630</v>
      </c>
      <c r="M141" s="1272" t="n">
        <v>1669</v>
      </c>
      <c r="N141" s="1272" t="n">
        <v>4404</v>
      </c>
      <c r="O141" s="1273" t="s">
        <v>55</v>
      </c>
      <c r="P141" s="1238"/>
    </row>
    <row r="142">
      <c r="A142" s="1233" t="s">
        <v>1386</v>
      </c>
      <c r="B142" s="1234" t="s">
        <v>1387</v>
      </c>
      <c r="C142" s="1276" t="n">
        <v>0</v>
      </c>
      <c r="D142" s="1276" t="n">
        <v>0</v>
      </c>
      <c r="E142" s="1276" t="n">
        <v>195</v>
      </c>
      <c r="F142" s="1276" t="n">
        <v>230</v>
      </c>
      <c r="G142" s="1276" t="n">
        <v>248</v>
      </c>
      <c r="H142" s="1276" t="n">
        <v>266</v>
      </c>
      <c r="I142" s="1276" t="n">
        <v>311</v>
      </c>
      <c r="J142" s="1276" t="n">
        <v>281</v>
      </c>
      <c r="K142" s="1276" t="n">
        <v>327</v>
      </c>
      <c r="L142" s="1276" t="n">
        <v>347</v>
      </c>
      <c r="M142" s="1276" t="n">
        <v>673</v>
      </c>
      <c r="N142" s="1277" t="n">
        <v>2205</v>
      </c>
      <c r="O142" s="1273" t="s">
        <v>55</v>
      </c>
      <c r="P142" s="1238"/>
    </row>
    <row r="143">
      <c r="A143" s="1250" t="s">
        <v>1388</v>
      </c>
      <c r="B143" s="1251" t="s">
        <v>1389</v>
      </c>
      <c r="C143" s="1278" t="n">
        <v>0</v>
      </c>
      <c r="D143" s="1278" t="n">
        <v>70</v>
      </c>
      <c r="E143" s="1278" t="n">
        <v>132</v>
      </c>
      <c r="F143" s="1278" t="n">
        <v>51</v>
      </c>
      <c r="G143" s="1278" t="n">
        <v>20</v>
      </c>
      <c r="H143" s="1278" t="n">
        <v>8</v>
      </c>
      <c r="I143" s="1278" t="n">
        <v>0</v>
      </c>
      <c r="J143" s="1278" t="n">
        <v>0</v>
      </c>
      <c r="K143" s="1278" t="n">
        <v>0</v>
      </c>
      <c r="L143" s="1278" t="n">
        <v>0</v>
      </c>
      <c r="M143" s="1278" t="n">
        <v>273</v>
      </c>
      <c r="N143" s="1278" t="n">
        <v>281</v>
      </c>
      <c r="O143" s="1279" t="s">
        <v>1390</v>
      </c>
      <c r="P143" s="1238" t="s">
        <v>1391</v>
      </c>
    </row>
    <row r="144">
      <c r="A144" s="1250" t="s">
        <v>1392</v>
      </c>
      <c r="B144" s="1251" t="s">
        <v>1393</v>
      </c>
      <c r="C144" s="1278" t="n">
        <v>0</v>
      </c>
      <c r="D144" s="1278" t="n">
        <v>465</v>
      </c>
      <c r="E144" s="1280" t="n">
        <v>2420</v>
      </c>
      <c r="F144" s="1280" t="n">
        <v>4755</v>
      </c>
      <c r="G144" s="1280" t="n">
        <v>5980</v>
      </c>
      <c r="H144" s="1280" t="n">
        <v>4694</v>
      </c>
      <c r="I144" s="1280" t="n">
        <v>1573</v>
      </c>
      <c r="J144" s="1278" t="n">
        <v>93</v>
      </c>
      <c r="K144" s="1278" t="n">
        <v>0</v>
      </c>
      <c r="L144" s="1278" t="n">
        <v>0</v>
      </c>
      <c r="M144" s="1280" t="n">
        <v>13620</v>
      </c>
      <c r="N144" s="1280" t="n">
        <v>19980</v>
      </c>
      <c r="O144" s="1279" t="s">
        <v>1390</v>
      </c>
      <c r="P144" s="1238" t="s">
        <v>1394</v>
      </c>
    </row>
    <row r="145">
      <c r="A145" s="1233" t="s">
        <v>1395</v>
      </c>
      <c r="B145" s="1234" t="s">
        <v>1396</v>
      </c>
      <c r="C145" s="1278" t="n">
        <v>0</v>
      </c>
      <c r="D145" s="1278" t="n">
        <v>20</v>
      </c>
      <c r="E145" s="1278" t="n">
        <v>65</v>
      </c>
      <c r="F145" s="1278" t="n">
        <v>110</v>
      </c>
      <c r="G145" s="1278" t="n">
        <v>135</v>
      </c>
      <c r="H145" s="1278" t="n">
        <v>180</v>
      </c>
      <c r="I145" s="1278" t="n">
        <v>230</v>
      </c>
      <c r="J145" s="1278" t="n">
        <v>180</v>
      </c>
      <c r="K145" s="1278" t="n">
        <v>60</v>
      </c>
      <c r="L145" s="1278" t="n">
        <v>10</v>
      </c>
      <c r="M145" s="1278" t="n">
        <v>330</v>
      </c>
      <c r="N145" s="1278" t="n">
        <v>990</v>
      </c>
      <c r="O145" s="1279" t="s">
        <v>1390</v>
      </c>
      <c r="P145" s="1261" t="s">
        <v>1397</v>
      </c>
    </row>
    <row r="146">
      <c r="A146" s="1233" t="s">
        <v>1398</v>
      </c>
      <c r="B146" s="1234" t="s">
        <v>1399</v>
      </c>
      <c r="C146" s="1278" t="n">
        <v>0</v>
      </c>
      <c r="D146" s="1280" t="n">
        <v>20892</v>
      </c>
      <c r="E146" s="1280" t="n">
        <v>11288</v>
      </c>
      <c r="F146" s="1280" t="n">
        <v>9651</v>
      </c>
      <c r="G146" s="1280" t="n">
        <v>-8548</v>
      </c>
      <c r="H146" s="1278" t="n">
        <v>-463</v>
      </c>
      <c r="I146" s="1278" t="n">
        <v>0</v>
      </c>
      <c r="J146" s="1278" t="n">
        <v>0</v>
      </c>
      <c r="K146" s="1278" t="n">
        <v>0</v>
      </c>
      <c r="L146" s="1278" t="n">
        <v>0</v>
      </c>
      <c r="M146" s="1280" t="n">
        <v>33283</v>
      </c>
      <c r="N146" s="1280" t="n">
        <v>32820</v>
      </c>
      <c r="O146" s="1281" t="s">
        <v>1390</v>
      </c>
      <c r="P146" s="1238"/>
    </row>
    <row r="147">
      <c r="A147" s="1233" t="s">
        <v>1400</v>
      </c>
      <c r="B147" s="1234" t="s">
        <v>1401</v>
      </c>
      <c r="C147" s="1278" t="n">
        <v>0</v>
      </c>
      <c r="D147" s="1278" t="n">
        <v>24</v>
      </c>
      <c r="E147" s="1278" t="n">
        <v>65</v>
      </c>
      <c r="F147" s="1278" t="n">
        <v>112</v>
      </c>
      <c r="G147" s="1278" t="n">
        <v>130</v>
      </c>
      <c r="H147" s="1278" t="n">
        <v>98</v>
      </c>
      <c r="I147" s="1278" t="n">
        <v>56</v>
      </c>
      <c r="J147" s="1278" t="n">
        <v>15</v>
      </c>
      <c r="K147" s="1278" t="n">
        <v>0</v>
      </c>
      <c r="L147" s="1278" t="n">
        <v>0</v>
      </c>
      <c r="M147" s="1278" t="n">
        <v>331</v>
      </c>
      <c r="N147" s="1278" t="n">
        <v>500</v>
      </c>
      <c r="O147" s="1281" t="s">
        <v>1390</v>
      </c>
      <c r="P147" s="1238"/>
    </row>
    <row r="148">
      <c r="A148" s="1282" t="s">
        <v>1402</v>
      </c>
      <c r="B148" s="1283" t="s">
        <v>1403</v>
      </c>
      <c r="C148" s="1278" t="n">
        <v>0</v>
      </c>
      <c r="D148" s="1278" t="n">
        <v>50</v>
      </c>
      <c r="E148" s="1278" t="n">
        <v>500</v>
      </c>
      <c r="F148" s="1278" t="n">
        <v>920</v>
      </c>
      <c r="G148" s="1280" t="n">
        <v>1310</v>
      </c>
      <c r="H148" s="1280" t="n">
        <v>1680</v>
      </c>
      <c r="I148" s="1280" t="n">
        <v>1780</v>
      </c>
      <c r="J148" s="1280" t="n">
        <v>1640</v>
      </c>
      <c r="K148" s="1280" t="n">
        <v>1090</v>
      </c>
      <c r="L148" s="1278" t="n">
        <v>630</v>
      </c>
      <c r="M148" s="1280" t="n">
        <v>2780</v>
      </c>
      <c r="N148" s="1280" t="n">
        <v>9600</v>
      </c>
      <c r="O148" s="1281" t="s">
        <v>1390</v>
      </c>
      <c r="P148" s="1284"/>
    </row>
    <row r="149">
      <c r="A149" s="1233" t="s">
        <v>1404</v>
      </c>
      <c r="B149" s="1234" t="s">
        <v>1405</v>
      </c>
      <c r="C149" s="1278" t="n">
        <v>0</v>
      </c>
      <c r="D149" s="1278" t="n">
        <v>30</v>
      </c>
      <c r="E149" s="1278" t="n">
        <v>90</v>
      </c>
      <c r="F149" s="1278" t="n">
        <v>90</v>
      </c>
      <c r="G149" s="1278" t="n">
        <v>85</v>
      </c>
      <c r="H149" s="1278" t="n">
        <v>70</v>
      </c>
      <c r="I149" s="1278" t="n">
        <v>65</v>
      </c>
      <c r="J149" s="1278" t="n">
        <v>65</v>
      </c>
      <c r="K149" s="1278" t="n">
        <v>35</v>
      </c>
      <c r="L149" s="1278" t="n">
        <v>15</v>
      </c>
      <c r="M149" s="1278" t="n">
        <v>295</v>
      </c>
      <c r="N149" s="1278" t="n">
        <v>545</v>
      </c>
      <c r="O149" s="1281" t="s">
        <v>1390</v>
      </c>
      <c r="P149" s="1238"/>
    </row>
    <row r="150">
      <c r="A150" s="1233" t="s">
        <v>1406</v>
      </c>
      <c r="B150" s="1234" t="s">
        <v>1407</v>
      </c>
      <c r="C150" s="1278" t="n">
        <v>0</v>
      </c>
      <c r="D150" s="1278" t="n">
        <v>185</v>
      </c>
      <c r="E150" s="1278" t="n">
        <v>394</v>
      </c>
      <c r="F150" s="1278" t="n">
        <v>639</v>
      </c>
      <c r="G150" s="1278" t="n">
        <v>722</v>
      </c>
      <c r="H150" s="1278" t="n">
        <v>595</v>
      </c>
      <c r="I150" s="1278" t="n">
        <v>346</v>
      </c>
      <c r="J150" s="1278" t="n">
        <v>101</v>
      </c>
      <c r="K150" s="1278" t="n">
        <v>18</v>
      </c>
      <c r="L150" s="1278" t="n">
        <v>0</v>
      </c>
      <c r="M150" s="1280" t="n">
        <v>1940</v>
      </c>
      <c r="N150" s="1280" t="n">
        <v>3000</v>
      </c>
      <c r="O150" s="1279" t="s">
        <v>1390</v>
      </c>
      <c r="P150" s="1238"/>
    </row>
    <row r="151">
      <c r="A151" s="1233" t="s">
        <v>1408</v>
      </c>
      <c r="B151" s="1234" t="s">
        <v>1409</v>
      </c>
      <c r="C151" s="1278" t="n">
        <v>0</v>
      </c>
      <c r="D151" s="1278" t="n">
        <v>8</v>
      </c>
      <c r="E151" s="1278" t="n">
        <v>26</v>
      </c>
      <c r="F151" s="1278" t="n">
        <v>41</v>
      </c>
      <c r="G151" s="1278" t="n">
        <v>38</v>
      </c>
      <c r="H151" s="1278" t="n">
        <v>22</v>
      </c>
      <c r="I151" s="1278" t="n">
        <v>11</v>
      </c>
      <c r="J151" s="1278" t="n">
        <v>4</v>
      </c>
      <c r="K151" s="1278" t="n">
        <v>0</v>
      </c>
      <c r="L151" s="1278" t="n">
        <v>0</v>
      </c>
      <c r="M151" s="1278" t="n">
        <v>113</v>
      </c>
      <c r="N151" s="1278" t="n">
        <v>150</v>
      </c>
      <c r="O151" s="1279" t="s">
        <v>1390</v>
      </c>
      <c r="P151" s="1238"/>
    </row>
    <row r="152" ht="24" customHeight="1">
      <c r="A152" s="1250" t="s">
        <v>1410</v>
      </c>
      <c r="B152" s="1251" t="s">
        <v>1411</v>
      </c>
      <c r="C152" s="1285" t="n">
        <v>0</v>
      </c>
      <c r="D152" s="1286" t="n">
        <v>77</v>
      </c>
      <c r="E152" s="1286" t="n">
        <v>232</v>
      </c>
      <c r="F152" s="1286" t="n">
        <v>341</v>
      </c>
      <c r="G152" s="1286" t="n">
        <v>496</v>
      </c>
      <c r="H152" s="1286" t="n">
        <v>310</v>
      </c>
      <c r="I152" s="1286" t="n">
        <v>47</v>
      </c>
      <c r="J152" s="1286" t="n">
        <v>31</v>
      </c>
      <c r="K152" s="1286" t="n">
        <v>15</v>
      </c>
      <c r="L152" s="1286" t="n">
        <v>1</v>
      </c>
      <c r="M152" s="1287" t="n">
        <v>1146</v>
      </c>
      <c r="N152" s="1287" t="n">
        <v>1550</v>
      </c>
      <c r="O152" s="1288" t="s">
        <v>1412</v>
      </c>
      <c r="P152" s="1238" t="s">
        <v>1413</v>
      </c>
    </row>
    <row r="153" ht="30" customHeight="1">
      <c r="A153" s="1233" t="s">
        <v>1414</v>
      </c>
      <c r="B153" s="1234" t="s">
        <v>1415</v>
      </c>
      <c r="C153" s="1289" t="n">
        <v>0</v>
      </c>
      <c r="D153" s="1289" t="n">
        <v>264</v>
      </c>
      <c r="E153" s="1289" t="n">
        <v>715</v>
      </c>
      <c r="F153" s="1289" t="n">
        <v>1393</v>
      </c>
      <c r="G153" s="1289" t="n">
        <v>2492</v>
      </c>
      <c r="H153" s="1289" t="n">
        <v>3364</v>
      </c>
      <c r="I153" s="1289" t="n">
        <v>3209</v>
      </c>
      <c r="J153" s="1289" t="n">
        <v>2750</v>
      </c>
      <c r="K153" s="1289" t="n">
        <v>1783</v>
      </c>
      <c r="L153" s="1289" t="n">
        <v>744</v>
      </c>
      <c r="M153" s="1290" t="n">
        <v>4864</v>
      </c>
      <c r="N153" s="1290" t="n">
        <v>16714</v>
      </c>
      <c r="O153" s="1291" t="s">
        <v>52</v>
      </c>
      <c r="P153" s="1292" t="s">
        <v>1416</v>
      </c>
    </row>
    <row r="154">
      <c r="A154" s="1233" t="s">
        <v>1417</v>
      </c>
      <c r="B154" s="1234" t="s">
        <v>1418</v>
      </c>
      <c r="C154" s="1293" t="n">
        <v>0</v>
      </c>
      <c r="D154" s="1293" t="n">
        <v>0</v>
      </c>
      <c r="E154" s="1293" t="n">
        <v>50</v>
      </c>
      <c r="F154" s="1293" t="n">
        <v>270</v>
      </c>
      <c r="G154" s="1293" t="n">
        <v>680</v>
      </c>
      <c r="H154" s="1293" t="n">
        <v>850</v>
      </c>
      <c r="I154" s="1293" t="n">
        <v>730</v>
      </c>
      <c r="J154" s="1293" t="n">
        <v>485</v>
      </c>
      <c r="K154" s="1293" t="n">
        <v>285</v>
      </c>
      <c r="L154" s="1293" t="n">
        <v>145</v>
      </c>
      <c r="M154" s="1194" t="n">
        <v>1000</v>
      </c>
      <c r="N154" s="1194" t="n">
        <v>3495</v>
      </c>
      <c r="O154" s="1195" t="s">
        <v>52</v>
      </c>
      <c r="P154" s="1196" t="s">
        <v>1419</v>
      </c>
    </row>
    <row r="155">
      <c r="A155" s="1233" t="s">
        <v>1420</v>
      </c>
      <c r="B155" s="1234" t="s">
        <v>1421</v>
      </c>
      <c r="C155" s="1293" t="n">
        <v>0</v>
      </c>
      <c r="D155" s="1293" t="n">
        <v>5</v>
      </c>
      <c r="E155" s="1293" t="n">
        <v>5</v>
      </c>
      <c r="F155" s="1293" t="n">
        <v>10</v>
      </c>
      <c r="G155" s="1293" t="n">
        <v>25</v>
      </c>
      <c r="H155" s="1293" t="n">
        <v>70</v>
      </c>
      <c r="I155" s="1293" t="n">
        <v>175</v>
      </c>
      <c r="J155" s="1293" t="n">
        <v>385</v>
      </c>
      <c r="K155" s="1293" t="n">
        <v>460</v>
      </c>
      <c r="L155" s="1293" t="n">
        <v>325</v>
      </c>
      <c r="M155" s="1293" t="n">
        <v>45</v>
      </c>
      <c r="N155" s="1194" t="n">
        <v>1460</v>
      </c>
      <c r="O155" s="1197" t="s">
        <v>52</v>
      </c>
      <c r="P155" s="1196" t="s">
        <v>1422</v>
      </c>
    </row>
    <row r="156">
      <c r="A156" s="1250" t="s">
        <v>1423</v>
      </c>
      <c r="B156" s="1251" t="s">
        <v>1424</v>
      </c>
      <c r="C156" s="1293" t="n">
        <v>0</v>
      </c>
      <c r="D156" s="1293" t="n">
        <v>6</v>
      </c>
      <c r="E156" s="1293" t="n">
        <v>8</v>
      </c>
      <c r="F156" s="1293" t="n">
        <v>1</v>
      </c>
      <c r="G156" s="1293" t="n">
        <v>0</v>
      </c>
      <c r="H156" s="1293" t="n">
        <v>0</v>
      </c>
      <c r="I156" s="1293" t="n">
        <v>0</v>
      </c>
      <c r="J156" s="1293" t="n">
        <v>0</v>
      </c>
      <c r="K156" s="1293" t="n">
        <v>0</v>
      </c>
      <c r="L156" s="1293" t="n">
        <v>0</v>
      </c>
      <c r="M156" s="1293" t="n">
        <v>15</v>
      </c>
      <c r="N156" s="1293" t="n">
        <v>15</v>
      </c>
      <c r="O156" s="1197" t="s">
        <v>52</v>
      </c>
      <c r="P156" s="1196" t="s">
        <v>1425</v>
      </c>
    </row>
    <row r="157" ht="24" customHeight="1">
      <c r="A157" s="1233" t="s">
        <v>1426</v>
      </c>
      <c r="B157" s="1234" t="s">
        <v>1427</v>
      </c>
      <c r="C157" s="1293" t="n">
        <v>0</v>
      </c>
      <c r="D157" s="1293" t="n">
        <v>5</v>
      </c>
      <c r="E157" s="1293" t="n">
        <v>41</v>
      </c>
      <c r="F157" s="1293" t="n">
        <v>116</v>
      </c>
      <c r="G157" s="1293" t="n">
        <v>284</v>
      </c>
      <c r="H157" s="1293" t="n">
        <v>417</v>
      </c>
      <c r="I157" s="1293" t="n">
        <v>459</v>
      </c>
      <c r="J157" s="1293" t="n">
        <v>355</v>
      </c>
      <c r="K157" s="1293" t="n">
        <v>210</v>
      </c>
      <c r="L157" s="1293" t="n">
        <v>90</v>
      </c>
      <c r="M157" s="1293" t="n">
        <v>446</v>
      </c>
      <c r="N157" s="1194" t="n">
        <v>1977</v>
      </c>
      <c r="O157" s="1198" t="s">
        <v>52</v>
      </c>
      <c r="P157" s="1199" t="s">
        <v>1428</v>
      </c>
    </row>
    <row r="158" ht="24" customHeight="1">
      <c r="A158" s="1233" t="s">
        <v>1429</v>
      </c>
      <c r="B158" s="1234" t="s">
        <v>1430</v>
      </c>
      <c r="C158" s="1293" t="n">
        <v>0</v>
      </c>
      <c r="D158" s="1293" t="n">
        <v>20</v>
      </c>
      <c r="E158" s="1293" t="n">
        <v>100</v>
      </c>
      <c r="F158" s="1293" t="n">
        <v>460</v>
      </c>
      <c r="G158" s="1194" t="n">
        <v>1070</v>
      </c>
      <c r="H158" s="1194" t="n">
        <v>1430</v>
      </c>
      <c r="I158" s="1194" t="n">
        <v>1110</v>
      </c>
      <c r="J158" s="1293" t="n">
        <v>660</v>
      </c>
      <c r="K158" s="1293" t="n">
        <v>300</v>
      </c>
      <c r="L158" s="1293" t="n">
        <v>100</v>
      </c>
      <c r="M158" s="1194" t="n">
        <v>1650</v>
      </c>
      <c r="N158" s="1194" t="n">
        <v>5250</v>
      </c>
      <c r="O158" s="1197" t="s">
        <v>52</v>
      </c>
      <c r="P158" s="1196" t="s">
        <v>1431</v>
      </c>
    </row>
    <row r="159">
      <c r="A159" s="1233" t="s">
        <v>1432</v>
      </c>
      <c r="B159" s="1234" t="s">
        <v>1433</v>
      </c>
      <c r="C159" s="1212" t="n">
        <v>0</v>
      </c>
      <c r="D159" s="1212" t="n">
        <v>56</v>
      </c>
      <c r="E159" s="1212" t="n">
        <v>141</v>
      </c>
      <c r="F159" s="1212" t="n">
        <v>230</v>
      </c>
      <c r="G159" s="1212" t="n">
        <v>343</v>
      </c>
      <c r="H159" s="1212" t="n">
        <v>470</v>
      </c>
      <c r="I159" s="1212" t="n">
        <v>620</v>
      </c>
      <c r="J159" s="1212" t="n">
        <v>802</v>
      </c>
      <c r="K159" s="1212" t="n">
        <v>1024</v>
      </c>
      <c r="L159" s="1212" t="n">
        <v>1330</v>
      </c>
      <c r="M159" s="1212" t="n">
        <v>769</v>
      </c>
      <c r="N159" s="1212" t="n">
        <v>5015</v>
      </c>
      <c r="O159" s="1195" t="s">
        <v>52</v>
      </c>
      <c r="P159" s="1238"/>
    </row>
    <row r="160">
      <c r="A160" s="1233" t="s">
        <v>1434</v>
      </c>
      <c r="B160" s="1234" t="s">
        <v>1435</v>
      </c>
      <c r="C160" s="1293"/>
      <c r="D160" s="1293"/>
      <c r="E160" s="1293"/>
      <c r="F160" s="1293"/>
      <c r="G160" s="1293"/>
      <c r="H160" s="1293"/>
      <c r="I160" s="1293"/>
      <c r="J160" s="1293"/>
      <c r="K160" s="1293"/>
      <c r="L160" s="1293"/>
      <c r="M160" s="1293"/>
      <c r="N160" s="1194"/>
      <c r="O160" s="1198"/>
      <c r="P160" s="1238"/>
    </row>
    <row r="161">
      <c r="A161" s="1233" t="s">
        <v>1436</v>
      </c>
      <c r="B161" s="1234" t="s">
        <v>1437</v>
      </c>
      <c r="C161" s="1293"/>
      <c r="D161" s="1293"/>
      <c r="E161" s="1293"/>
      <c r="F161" s="1293"/>
      <c r="G161" s="1293"/>
      <c r="H161" s="1293"/>
      <c r="I161" s="1293"/>
      <c r="J161" s="1293"/>
      <c r="K161" s="1293"/>
      <c r="L161" s="1293"/>
      <c r="M161" s="1293"/>
      <c r="N161" s="1194"/>
      <c r="O161" s="1213"/>
      <c r="P161" s="1214"/>
    </row>
    <row r="162">
      <c r="A162" s="1233" t="s">
        <v>1438</v>
      </c>
      <c r="B162" s="1234" t="s">
        <v>1439</v>
      </c>
      <c r="C162" s="1293" t="n">
        <v>0</v>
      </c>
      <c r="D162" s="1293" t="n">
        <v>20</v>
      </c>
      <c r="E162" s="1293" t="n">
        <v>70</v>
      </c>
      <c r="F162" s="1293" t="n">
        <v>130</v>
      </c>
      <c r="G162" s="1293" t="n">
        <v>155</v>
      </c>
      <c r="H162" s="1293" t="n">
        <v>155</v>
      </c>
      <c r="I162" s="1293" t="n">
        <v>155</v>
      </c>
      <c r="J162" s="1293" t="n">
        <v>135</v>
      </c>
      <c r="K162" s="1293" t="n">
        <v>80</v>
      </c>
      <c r="L162" s="1293" t="n">
        <v>20</v>
      </c>
      <c r="M162" s="1293" t="n">
        <v>375</v>
      </c>
      <c r="N162" s="1293" t="n">
        <v>920</v>
      </c>
      <c r="O162" s="1197" t="s">
        <v>52</v>
      </c>
      <c r="P162" s="1238"/>
    </row>
    <row r="163">
      <c r="A163" s="1250" t="s">
        <v>1440</v>
      </c>
      <c r="B163" s="1251" t="s">
        <v>1441</v>
      </c>
      <c r="C163" s="1293" t="n">
        <v>0</v>
      </c>
      <c r="D163" s="1293" t="n">
        <v>15</v>
      </c>
      <c r="E163" s="1293" t="n">
        <v>12</v>
      </c>
      <c r="F163" s="1293" t="n">
        <v>8</v>
      </c>
      <c r="G163" s="1293" t="n">
        <v>4</v>
      </c>
      <c r="H163" s="1293" t="n">
        <v>0</v>
      </c>
      <c r="I163" s="1293" t="n">
        <v>0</v>
      </c>
      <c r="J163" s="1293" t="n">
        <v>0</v>
      </c>
      <c r="K163" s="1293" t="n">
        <v>0</v>
      </c>
      <c r="L163" s="1293" t="n">
        <v>0</v>
      </c>
      <c r="M163" s="1293" t="n">
        <v>39</v>
      </c>
      <c r="N163" s="1293" t="n">
        <v>39</v>
      </c>
      <c r="O163" s="1197" t="s">
        <v>52</v>
      </c>
      <c r="P163" s="1238"/>
    </row>
    <row r="164">
      <c r="A164" s="1233" t="s">
        <v>1442</v>
      </c>
      <c r="B164" s="1234" t="s">
        <v>1443</v>
      </c>
      <c r="C164" s="1215" t="n">
        <v>0</v>
      </c>
      <c r="D164" s="1215" t="n">
        <v>25</v>
      </c>
      <c r="E164" s="1215" t="n">
        <v>100</v>
      </c>
      <c r="F164" s="1215" t="n">
        <v>125</v>
      </c>
      <c r="G164" s="1215" t="n">
        <v>100</v>
      </c>
      <c r="H164" s="1215" t="n">
        <v>75</v>
      </c>
      <c r="I164" s="1215" t="n">
        <v>30</v>
      </c>
      <c r="J164" s="1215" t="n">
        <v>20</v>
      </c>
      <c r="K164" s="1215" t="n">
        <v>0</v>
      </c>
      <c r="L164" s="1215" t="n">
        <v>0</v>
      </c>
      <c r="M164" s="1215" t="n">
        <v>350</v>
      </c>
      <c r="N164" s="1215" t="n">
        <v>475</v>
      </c>
      <c r="O164" s="1216" t="s">
        <v>52</v>
      </c>
      <c r="P164" s="1238"/>
    </row>
    <row r="165">
      <c r="A165" s="83"/>
      <c r="B165" s="37"/>
      <c r="C165" s="65"/>
      <c r="D165" s="65"/>
      <c r="E165" s="65"/>
      <c r="F165" s="65"/>
      <c r="G165" s="65"/>
      <c r="H165" s="65"/>
      <c r="I165" s="65"/>
      <c r="J165" s="65"/>
      <c r="K165" s="65"/>
      <c r="L165" s="65"/>
      <c r="M165" s="65"/>
      <c r="N165" s="65"/>
      <c r="O165" s="83"/>
      <c r="P165" s="37"/>
    </row>
    <row r="167">
      <c r="A167" s="84" t="s">
        <v>1451</v>
      </c>
    </row>
    <row r="168">
      <c r="A168" s="1217"/>
      <c r="B168" s="1217"/>
      <c r="C168" s="1200"/>
      <c r="D168" s="1200" t="n">
        <v>2022</v>
      </c>
      <c r="E168" s="1200" t="n">
        <v>2023</v>
      </c>
      <c r="F168" s="1200" t="n">
        <v>2024</v>
      </c>
      <c r="G168" s="1200" t="n">
        <v>2025</v>
      </c>
      <c r="H168" s="1200" t="n">
        <v>2026</v>
      </c>
      <c r="I168" s="1200" t="n">
        <v>2027</v>
      </c>
      <c r="J168" s="1200" t="n">
        <v>2028</v>
      </c>
      <c r="K168" s="1200" t="n">
        <v>2029</v>
      </c>
      <c r="L168" s="1200" t="n">
        <v>2030</v>
      </c>
      <c r="M168" s="1201" t="n">
        <v>2031</v>
      </c>
      <c r="N168" s="1202" t="s">
        <v>1444</v>
      </c>
      <c r="O168" s="1202" t="s">
        <v>1445</v>
      </c>
      <c r="Q168" s="90"/>
    </row>
    <row r="169">
      <c r="A169" s="1218" t="s">
        <v>1446</v>
      </c>
      <c r="B169" s="1218"/>
      <c r="C169" s="1224"/>
      <c r="D169" s="1224" t="n">
        <f t="shared" ref="D169:O169" si="9">D78/1000</f>
        <v>0</v>
      </c>
      <c r="E169" s="1224" t="n">
        <f t="shared" si="9"/>
        <v>6.8000000000000005E-2</v>
      </c>
      <c r="F169" s="1224" t="n">
        <f t="shared" si="9"/>
        <v>1.363</v>
      </c>
      <c r="G169" s="1224" t="n">
        <f t="shared" si="9"/>
        <v>2.4329999999999998</v>
      </c>
      <c r="H169" s="1224" t="n">
        <f t="shared" si="9"/>
        <v>2.8029999999999999</v>
      </c>
      <c r="I169" s="1224" t="n">
        <f t="shared" si="9"/>
        <v>1.7410000000000001</v>
      </c>
      <c r="J169" s="1224" t="n">
        <f t="shared" si="9"/>
        <v>0.56999999999999995</v>
      </c>
      <c r="K169" s="1224" t="n">
        <f t="shared" si="9"/>
        <v>3.5000000000000003E-2</v>
      </c>
      <c r="L169" s="1224" t="n">
        <f t="shared" si="9"/>
        <v>0</v>
      </c>
      <c r="M169" s="1224" t="n">
        <f t="shared" si="9"/>
        <v>0</v>
      </c>
      <c r="N169" s="1224" t="n">
        <f t="shared" si="9"/>
        <v>6.6669999999999998</v>
      </c>
      <c r="O169" s="1224" t="n">
        <f t="shared" si="9"/>
        <v>9.0129999999999999</v>
      </c>
      <c r="Q169" s="90"/>
    </row>
    <row r="170">
      <c r="A170" s="1218" t="s">
        <v>1447</v>
      </c>
      <c r="B170" s="1218"/>
      <c r="C170" s="1224"/>
      <c r="D170" s="1224" t="n">
        <f t="shared" ref="D170:O170" si="10">(D77+D70)/1000</f>
        <v>0</v>
      </c>
      <c r="E170" s="1224" t="n">
        <f t="shared" si="10"/>
        <v>0.81899999999999995</v>
      </c>
      <c r="F170" s="1224" t="n">
        <f t="shared" si="10"/>
        <v>2.4780000000000002</v>
      </c>
      <c r="G170" s="1224" t="n">
        <f t="shared" si="10"/>
        <v>4.0720000000000001</v>
      </c>
      <c r="H170" s="1224" t="n">
        <f t="shared" si="10"/>
        <v>5.4480000000000004</v>
      </c>
      <c r="I170" s="1224" t="n">
        <f t="shared" si="10"/>
        <v>4.8289999999999997</v>
      </c>
      <c r="J170" s="1224" t="n">
        <f t="shared" si="10"/>
        <v>3.2949999999999999</v>
      </c>
      <c r="K170" s="1224" t="n">
        <f t="shared" si="10"/>
        <v>1.98</v>
      </c>
      <c r="L170" s="1224" t="n">
        <f t="shared" si="10"/>
        <v>1.01</v>
      </c>
      <c r="M170" s="1224" t="n">
        <f t="shared" si="10"/>
        <v>0.40400000000000003</v>
      </c>
      <c r="N170" s="1224" t="n">
        <f t="shared" si="10"/>
        <v>12.817</v>
      </c>
      <c r="O170" s="1224" t="n">
        <f t="shared" si="10"/>
        <v>24.335000000000001</v>
      </c>
      <c r="Q170" s="90"/>
    </row>
    <row r="171">
      <c r="A171" s="1218" t="s">
        <v>1448</v>
      </c>
      <c r="B171" s="1218"/>
      <c r="C171" s="1224"/>
      <c r="D171" s="1224" t="n">
        <f t="shared" ref="D171:O171" si="11">(D69+D76)/1000</f>
        <v>0</v>
      </c>
      <c r="E171" s="1224" t="n">
        <f t="shared" si="11"/>
        <v>4.5430000000000001</v>
      </c>
      <c r="F171" s="1224" t="n">
        <f t="shared" si="11"/>
        <v>5.6079999999999997</v>
      </c>
      <c r="G171" s="1224" t="n">
        <f t="shared" si="11"/>
        <v>8.16</v>
      </c>
      <c r="H171" s="1224" t="n">
        <f t="shared" si="11"/>
        <v>10.069000000000001</v>
      </c>
      <c r="I171" s="1224" t="n">
        <f t="shared" si="11"/>
        <v>12.026999999999999</v>
      </c>
      <c r="J171" s="1224" t="n">
        <f t="shared" si="11"/>
        <v>13.826000000000001</v>
      </c>
      <c r="K171" s="1224" t="n">
        <f t="shared" si="11"/>
        <v>15.862</v>
      </c>
      <c r="L171" s="1224" t="n">
        <f t="shared" si="11"/>
        <v>17.890999999999998</v>
      </c>
      <c r="M171" s="1224" t="n">
        <f t="shared" si="11"/>
        <v>17.481000000000002</v>
      </c>
      <c r="N171" s="1224" t="n">
        <f t="shared" si="11"/>
        <v>28.38</v>
      </c>
      <c r="O171" s="1224" t="n">
        <f t="shared" si="11"/>
        <v>105.467</v>
      </c>
      <c r="Q171" s="90"/>
    </row>
    <row r="172">
      <c r="A172" s="1219" t="s">
        <v>52</v>
      </c>
      <c r="B172" s="1219"/>
      <c r="C172" s="1224"/>
      <c r="D172" s="1224" t="n">
        <f t="shared" ref="D172:O172" si="12">(D79+D74)/1000</f>
        <v>0</v>
      </c>
      <c r="E172" s="1224" t="n">
        <f t="shared" si="12"/>
        <v>1.2969999999999999</v>
      </c>
      <c r="F172" s="1224" t="n">
        <f t="shared" si="12"/>
        <v>3.8479999999999999</v>
      </c>
      <c r="G172" s="1224" t="n">
        <f t="shared" si="12"/>
        <v>6.4420000000000002</v>
      </c>
      <c r="H172" s="1224" t="n">
        <f t="shared" si="12"/>
        <v>9.532</v>
      </c>
      <c r="I172" s="1224" t="n">
        <f t="shared" si="12"/>
        <v>11.882</v>
      </c>
      <c r="J172" s="1224" t="n">
        <f t="shared" si="12"/>
        <v>11.727</v>
      </c>
      <c r="K172" s="1224" t="n">
        <f t="shared" si="12"/>
        <v>10.569000000000001</v>
      </c>
      <c r="L172" s="1224" t="n">
        <f t="shared" si="12"/>
        <v>8.8879999999999999</v>
      </c>
      <c r="M172" s="1224" t="n">
        <f t="shared" si="12"/>
        <v>7.1890000000000001</v>
      </c>
      <c r="N172" s="1224" t="n">
        <f t="shared" si="12"/>
        <v>21.117000000000001</v>
      </c>
      <c r="O172" s="1224" t="n">
        <f t="shared" si="12"/>
        <v>71.372</v>
      </c>
      <c r="Q172" s="90"/>
    </row>
    <row r="173">
      <c r="A173" s="1220" t="s">
        <v>581</v>
      </c>
      <c r="B173" s="1220"/>
      <c r="C173" s="1224"/>
      <c r="D173" s="1224"/>
      <c r="E173" s="1224"/>
      <c r="F173" s="1224"/>
      <c r="G173" s="1224"/>
      <c r="H173" s="1224"/>
      <c r="I173" s="1224"/>
      <c r="J173" s="1224"/>
      <c r="K173" s="1224"/>
      <c r="L173" s="1224"/>
      <c r="M173" s="1224"/>
      <c r="N173" s="1224"/>
      <c r="O173" s="1224"/>
      <c r="Q173" s="90"/>
    </row>
    <row r="174">
      <c r="A174" s="1221" t="s">
        <v>54</v>
      </c>
      <c r="B174" s="1221"/>
      <c r="C174" s="1224"/>
      <c r="D174" s="1224" t="n">
        <f t="shared" ref="D174:O174" si="13">D71/1000</f>
        <v>0</v>
      </c>
      <c r="E174" s="1224" t="n">
        <f t="shared" si="13"/>
        <v>0.11</v>
      </c>
      <c r="F174" s="1224" t="n">
        <f t="shared" si="13"/>
        <v>0.73899999999999999</v>
      </c>
      <c r="G174" s="1224" t="n">
        <f t="shared" si="13"/>
        <v>1.1950000000000001</v>
      </c>
      <c r="H174" s="1224" t="n">
        <f t="shared" si="13"/>
        <v>1.4970000000000001</v>
      </c>
      <c r="I174" s="1224" t="n">
        <f t="shared" si="13"/>
        <v>1.91</v>
      </c>
      <c r="J174" s="1224" t="n">
        <f t="shared" si="13"/>
        <v>2.4049999999999998</v>
      </c>
      <c r="K174" s="1224" t="n">
        <f t="shared" si="13"/>
        <v>2.9220000000000002</v>
      </c>
      <c r="L174" s="1224" t="n">
        <f t="shared" si="13"/>
        <v>3.4630000000000001</v>
      </c>
      <c r="M174" s="1224" t="n">
        <f t="shared" si="13"/>
        <v>4.0069999999999997</v>
      </c>
      <c r="N174" s="1224" t="n">
        <f t="shared" si="13"/>
        <v>3.5409999999999999</v>
      </c>
      <c r="O174" s="1224" t="n">
        <f t="shared" si="13"/>
        <v>18.248000000000001</v>
      </c>
      <c r="Q174" s="90"/>
    </row>
    <row r="175">
      <c r="A175" s="1221" t="s">
        <v>1449</v>
      </c>
      <c r="B175" s="1221"/>
      <c r="C175" s="1224"/>
      <c r="D175" s="1224" t="n">
        <f t="shared" ref="D175:O175" si="14">D72/1000</f>
        <v>0</v>
      </c>
      <c r="E175" s="1224" t="n">
        <f t="shared" si="14"/>
        <v>-0.41499999999999998</v>
      </c>
      <c r="F175" s="1224" t="n">
        <f t="shared" si="14"/>
        <v>2.7679999999999998</v>
      </c>
      <c r="G175" s="1224" t="n">
        <f t="shared" si="14"/>
        <v>-12.473000000000001</v>
      </c>
      <c r="H175" s="1224" t="n">
        <f t="shared" si="14"/>
        <v>-5.3739999999999997</v>
      </c>
      <c r="I175" s="1224" t="n">
        <f t="shared" si="14"/>
        <v>-25.515000000000001</v>
      </c>
      <c r="J175" s="1224" t="n">
        <f t="shared" si="14"/>
        <v>-43.975000000000001</v>
      </c>
      <c r="K175" s="1224" t="n">
        <f t="shared" si="14"/>
        <v>-46.426000000000002</v>
      </c>
      <c r="L175" s="1224" t="n">
        <f t="shared" si="14"/>
        <v>-56.228000000000002</v>
      </c>
      <c r="M175" s="1224" t="n">
        <f t="shared" si="14"/>
        <v>-60.581000000000003</v>
      </c>
      <c r="N175" s="1224" t="n">
        <f t="shared" si="14"/>
        <v>-15.494</v>
      </c>
      <c r="O175" s="1224" t="n">
        <f t="shared" si="14"/>
        <v>-248.21899999999999</v>
      </c>
      <c r="Q175" s="90"/>
    </row>
    <row r="176">
      <c r="A176" s="1222" t="s">
        <v>57</v>
      </c>
      <c r="B176" s="1222"/>
      <c r="C176" s="1224"/>
      <c r="D176" s="1224" t="n">
        <f t="shared" ref="D176:O176" si="15">(D80+D73)/1000</f>
        <v>-0.622</v>
      </c>
      <c r="E176" s="1224" t="n">
        <f t="shared" si="15"/>
        <v>21.89</v>
      </c>
      <c r="F176" s="1224" t="n">
        <f t="shared" si="15"/>
        <v>15.439</v>
      </c>
      <c r="G176" s="1224" t="n">
        <f t="shared" si="15"/>
        <v>16.966999999999999</v>
      </c>
      <c r="H176" s="1224" t="n">
        <f t="shared" si="15"/>
        <v>0.72799999999999998</v>
      </c>
      <c r="I176" s="1224" t="n">
        <f t="shared" si="15"/>
        <v>7.657</v>
      </c>
      <c r="J176" s="1224" t="n">
        <f t="shared" si="15"/>
        <v>4.5590000000000002</v>
      </c>
      <c r="K176" s="1224" t="n">
        <f t="shared" si="15"/>
        <v>2.4649999999999999</v>
      </c>
      <c r="L176" s="1224" t="n">
        <f t="shared" si="15"/>
        <v>1.444</v>
      </c>
      <c r="M176" s="1224" t="n">
        <f t="shared" si="15"/>
        <v>0.77300000000000002</v>
      </c>
      <c r="N176" s="1224" t="n">
        <f t="shared" si="15"/>
        <v>54.402000000000001</v>
      </c>
      <c r="O176" s="1224" t="n">
        <f t="shared" si="15"/>
        <v>71.3</v>
      </c>
      <c r="Q176" s="90"/>
    </row>
    <row r="177">
      <c r="A177" s="1223" t="s">
        <v>1510</v>
      </c>
      <c r="B177" s="1223"/>
      <c r="C177" s="1224"/>
      <c r="D177" s="1211" t="n">
        <f t="shared" ref="D177:O177" si="16">D84/1000</f>
        <v>0</v>
      </c>
      <c r="E177" s="1211" t="n">
        <f t="shared" si="16"/>
        <v>-3.1549999999999998</v>
      </c>
      <c r="F177" s="1211" t="n">
        <f t="shared" si="16"/>
        <v>-2.2309999999999999</v>
      </c>
      <c r="G177" s="1211" t="n">
        <f t="shared" si="16"/>
        <v>-1.6080000000000001</v>
      </c>
      <c r="H177" s="1211" t="n">
        <f t="shared" si="16"/>
        <v>-0.77</v>
      </c>
      <c r="I177" s="1211" t="n">
        <f t="shared" si="16"/>
        <v>-0.98299999999999998</v>
      </c>
      <c r="J177" s="1211" t="n">
        <f t="shared" si="16"/>
        <v>-1.2110000000000001</v>
      </c>
      <c r="K177" s="1211" t="n">
        <f t="shared" si="16"/>
        <v>-1.4710000000000001</v>
      </c>
      <c r="L177" s="1211" t="n">
        <f t="shared" si="16"/>
        <v>-1.81</v>
      </c>
      <c r="M177" s="1211" t="n">
        <f t="shared" si="16"/>
        <v>-2.3250000000000002</v>
      </c>
      <c r="N177" s="1211" t="n">
        <f t="shared" si="16"/>
        <v>-7.7670000000000003</v>
      </c>
      <c r="O177" s="1211" t="n">
        <f t="shared" si="16"/>
        <v>-15.566000000000001</v>
      </c>
      <c r="Q177" s="90"/>
    </row>
    <row r="178">
      <c r="A178" s="1223" t="s">
        <v>239</v>
      </c>
      <c r="B178" s="1223"/>
      <c r="C178" s="1224"/>
      <c r="D178" s="1211" t="n">
        <f t="shared" ref="D178:O178" si="17">D85/1000</f>
        <v>0</v>
      </c>
      <c r="E178" s="1211" t="n">
        <f t="shared" si="17"/>
        <v>0.45200000000000001</v>
      </c>
      <c r="F178" s="1211" t="n">
        <f t="shared" si="17"/>
        <v>-8.67</v>
      </c>
      <c r="G178" s="1211" t="n">
        <f t="shared" si="17"/>
        <v>-4.5270000000000001</v>
      </c>
      <c r="H178" s="1211" t="n">
        <f t="shared" si="17"/>
        <v>-0.70499999999999996</v>
      </c>
      <c r="I178" s="1211" t="n">
        <f t="shared" si="17"/>
        <v>15.813000000000001</v>
      </c>
      <c r="J178" s="1211" t="n">
        <f t="shared" si="17"/>
        <v>20.372</v>
      </c>
      <c r="K178" s="1211" t="n">
        <f t="shared" si="17"/>
        <v>24.847000000000001</v>
      </c>
      <c r="L178" s="1211" t="n">
        <f t="shared" si="17"/>
        <v>28.113</v>
      </c>
      <c r="M178" s="1211" t="n">
        <f t="shared" si="17"/>
        <v>24.777000000000001</v>
      </c>
      <c r="N178" s="1211" t="n">
        <f t="shared" si="17"/>
        <v>-13.451000000000001</v>
      </c>
      <c r="O178" s="1211" t="n">
        <f t="shared" si="17"/>
        <v>100.468</v>
      </c>
      <c r="Q178" s="90"/>
    </row>
    <row r="179">
      <c r="A179" s="1223" t="s">
        <v>106</v>
      </c>
      <c r="B179" s="1223"/>
      <c r="C179" s="1224"/>
      <c r="D179" s="1211" t="n">
        <f t="shared" ref="D179:O179" si="18">D83/1000</f>
        <v>0</v>
      </c>
      <c r="E179" s="1211" t="n">
        <f t="shared" si="18"/>
        <v>35.317</v>
      </c>
      <c r="F179" s="1211" t="n">
        <f t="shared" si="18"/>
        <v>36.033000000000001</v>
      </c>
      <c r="G179" s="1211" t="n">
        <f t="shared" si="18"/>
        <v>21.076000000000001</v>
      </c>
      <c r="H179" s="1211" t="n">
        <f t="shared" si="18"/>
        <v>13.346</v>
      </c>
      <c r="I179" s="1211" t="n">
        <f t="shared" si="18"/>
        <v>27.507999999999999</v>
      </c>
      <c r="J179" s="1211" t="n">
        <f t="shared" si="18"/>
        <v>35.85</v>
      </c>
      <c r="K179" s="1211" t="n">
        <f t="shared" si="18"/>
        <v>18.64</v>
      </c>
      <c r="L179" s="1211" t="n">
        <f t="shared" si="18"/>
        <v>8.3940000000000001</v>
      </c>
      <c r="M179" s="1211" t="n">
        <f t="shared" si="18"/>
        <v>7.9820000000000002</v>
      </c>
      <c r="N179" s="1211" t="n">
        <f t="shared" si="18"/>
        <v>105.76900000000001</v>
      </c>
      <c r="O179" s="1211" t="n">
        <f t="shared" si="18"/>
        <v>204.14400000000001</v>
      </c>
      <c r="Q179" s="90"/>
    </row>
    <row r="182">
      <c r="A182" s="84" t="s">
        <v>1450</v>
      </c>
    </row>
    <row r="183">
      <c r="A183" s="1217"/>
      <c r="B183" s="1217"/>
      <c r="C183" s="1217"/>
      <c r="D183" s="1217" t="s">
        <v>183</v>
      </c>
      <c r="E183" s="1217" t="s">
        <v>184</v>
      </c>
      <c r="F183" s="1217" t="s">
        <v>185</v>
      </c>
      <c r="G183" s="1217" t="s">
        <v>186</v>
      </c>
      <c r="H183" s="1217" t="s">
        <v>187</v>
      </c>
      <c r="I183" s="1217" t="s">
        <v>188</v>
      </c>
      <c r="J183" s="1217" t="s">
        <v>189</v>
      </c>
      <c r="K183" s="1217" t="s">
        <v>190</v>
      </c>
      <c r="L183" s="1217" t="s">
        <v>191</v>
      </c>
      <c r="M183" s="1217" t="s">
        <v>175</v>
      </c>
      <c r="N183" s="1217" t="s">
        <v>176</v>
      </c>
      <c r="O183" s="1217" t="s">
        <v>177</v>
      </c>
      <c r="Q183" s="90"/>
    </row>
    <row r="184">
      <c r="A184" s="1218" t="s">
        <v>1446</v>
      </c>
      <c r="B184" s="1218"/>
      <c r="C184" s="1225"/>
      <c r="D184" s="1225" t="n">
        <f t="shared" ref="D184:D191" si="19">D169</f>
        <v>0</v>
      </c>
      <c r="E184" s="1225" t="n">
        <f>D184</f>
        <v>0</v>
      </c>
      <c r="F184" s="1225" t="n">
        <f t="shared" ref="F184:F191" si="20">E169</f>
        <v>6.8000000000000005E-2</v>
      </c>
      <c r="G184" s="1225" t="n">
        <f>F184</f>
        <v>6.8000000000000005E-2</v>
      </c>
      <c r="H184" s="1225" t="n">
        <f>G184</f>
        <v>6.8000000000000005E-2</v>
      </c>
      <c r="I184" s="1225" t="n">
        <f>H184</f>
        <v>6.8000000000000005E-2</v>
      </c>
      <c r="J184" s="1225" t="n">
        <f t="shared" ref="J184:J191" si="21">F169</f>
        <v>1.363</v>
      </c>
      <c r="K184" s="1225" t="n">
        <f t="shared" ref="K184:M191" si="22">J184</f>
        <v>1.363</v>
      </c>
      <c r="L184" s="1225" t="n">
        <f t="shared" si="22"/>
        <v>1.363</v>
      </c>
      <c r="M184" s="1225" t="n">
        <f>L184</f>
        <v>1.363</v>
      </c>
      <c r="N184" s="1225" t="n">
        <f t="shared" ref="N184:N191" si="23">G169</f>
        <v>2.4329999999999998</v>
      </c>
      <c r="O184" s="1225" t="n">
        <f>N184</f>
        <v>2.4329999999999998</v>
      </c>
      <c r="Q184" s="90"/>
    </row>
    <row r="185">
      <c r="A185" s="1218" t="s">
        <v>1447</v>
      </c>
      <c r="B185" s="1218"/>
      <c r="C185" s="1225"/>
      <c r="D185" s="1225" t="n">
        <f t="shared" si="19"/>
        <v>0</v>
      </c>
      <c r="E185" s="1225" t="n">
        <f t="shared" ref="E185:E191" si="24">D185</f>
        <v>0</v>
      </c>
      <c r="F185" s="1225" t="n">
        <f t="shared" si="20"/>
        <v>0.81899999999999995</v>
      </c>
      <c r="G185" s="1225" t="n">
        <f t="shared" ref="G185:I191" si="25">F185</f>
        <v>0.81899999999999995</v>
      </c>
      <c r="H185" s="1225" t="n">
        <f t="shared" si="25"/>
        <v>0.81899999999999995</v>
      </c>
      <c r="I185" s="1225" t="n">
        <f t="shared" si="25"/>
        <v>0.81899999999999995</v>
      </c>
      <c r="J185" s="1225" t="n">
        <f t="shared" si="21"/>
        <v>2.4780000000000002</v>
      </c>
      <c r="K185" s="1225" t="n">
        <f t="shared" si="22"/>
        <v>2.4780000000000002</v>
      </c>
      <c r="L185" s="1225" t="n">
        <f t="shared" si="22"/>
        <v>2.4780000000000002</v>
      </c>
      <c r="M185" s="1225" t="n">
        <f t="shared" si="22"/>
        <v>2.4780000000000002</v>
      </c>
      <c r="N185" s="1225" t="n">
        <f t="shared" si="23"/>
        <v>4.0720000000000001</v>
      </c>
      <c r="O185" s="1225" t="n">
        <f t="shared" ref="O185:O191" si="26">N185</f>
        <v>4.0720000000000001</v>
      </c>
      <c r="Q185" s="90"/>
    </row>
    <row r="186">
      <c r="A186" s="1218" t="s">
        <v>1448</v>
      </c>
      <c r="B186" s="1218"/>
      <c r="C186" s="1225"/>
      <c r="D186" s="1225" t="n">
        <f t="shared" si="19"/>
        <v>0</v>
      </c>
      <c r="E186" s="1225" t="n">
        <f t="shared" si="24"/>
        <v>0</v>
      </c>
      <c r="F186" s="1225" t="n">
        <f t="shared" si="20"/>
        <v>4.5430000000000001</v>
      </c>
      <c r="G186" s="1225" t="n">
        <f t="shared" si="25"/>
        <v>4.5430000000000001</v>
      </c>
      <c r="H186" s="1225" t="n">
        <f t="shared" si="25"/>
        <v>4.5430000000000001</v>
      </c>
      <c r="I186" s="1225" t="n">
        <f t="shared" si="25"/>
        <v>4.5430000000000001</v>
      </c>
      <c r="J186" s="1225" t="n">
        <f t="shared" si="21"/>
        <v>5.6079999999999997</v>
      </c>
      <c r="K186" s="1225" t="n">
        <f t="shared" si="22"/>
        <v>5.6079999999999997</v>
      </c>
      <c r="L186" s="1225" t="n">
        <f t="shared" si="22"/>
        <v>5.6079999999999997</v>
      </c>
      <c r="M186" s="1225" t="n">
        <f t="shared" si="22"/>
        <v>5.6079999999999997</v>
      </c>
      <c r="N186" s="1225" t="n">
        <f t="shared" si="23"/>
        <v>8.16</v>
      </c>
      <c r="O186" s="1225" t="n">
        <f t="shared" si="26"/>
        <v>8.16</v>
      </c>
      <c r="Q186" s="90"/>
    </row>
    <row r="187">
      <c r="A187" s="1219" t="s">
        <v>52</v>
      </c>
      <c r="B187" s="1219"/>
      <c r="C187" s="1225"/>
      <c r="D187" s="1225" t="n">
        <f t="shared" si="19"/>
        <v>0</v>
      </c>
      <c r="E187" s="1225" t="n">
        <f t="shared" si="24"/>
        <v>0</v>
      </c>
      <c r="F187" s="1225" t="n">
        <f t="shared" si="20"/>
        <v>1.2969999999999999</v>
      </c>
      <c r="G187" s="1225" t="n">
        <f t="shared" si="25"/>
        <v>1.2969999999999999</v>
      </c>
      <c r="H187" s="1225" t="n">
        <f t="shared" si="25"/>
        <v>1.2969999999999999</v>
      </c>
      <c r="I187" s="1225" t="n">
        <f t="shared" si="25"/>
        <v>1.2969999999999999</v>
      </c>
      <c r="J187" s="1225" t="n">
        <f t="shared" si="21"/>
        <v>3.8479999999999999</v>
      </c>
      <c r="K187" s="1225" t="n">
        <f t="shared" si="22"/>
        <v>3.8479999999999999</v>
      </c>
      <c r="L187" s="1225" t="n">
        <f t="shared" si="22"/>
        <v>3.8479999999999999</v>
      </c>
      <c r="M187" s="1225" t="n">
        <f t="shared" si="22"/>
        <v>3.8479999999999999</v>
      </c>
      <c r="N187" s="1225" t="n">
        <f t="shared" si="23"/>
        <v>6.4420000000000002</v>
      </c>
      <c r="O187" s="1225" t="n">
        <f t="shared" si="26"/>
        <v>6.4420000000000002</v>
      </c>
      <c r="Q187" s="90"/>
    </row>
    <row r="188">
      <c r="A188" s="1220" t="s">
        <v>581</v>
      </c>
      <c r="B188" s="1220"/>
      <c r="C188" s="1225"/>
      <c r="D188" s="1225" t="n">
        <f t="shared" si="19"/>
        <v>0</v>
      </c>
      <c r="E188" s="1225" t="n">
        <f t="shared" si="24"/>
        <v>0</v>
      </c>
      <c r="F188" s="1225" t="n">
        <f t="shared" si="20"/>
        <v>0</v>
      </c>
      <c r="G188" s="1225" t="n">
        <f t="shared" si="25"/>
        <v>0</v>
      </c>
      <c r="H188" s="1225" t="n">
        <f t="shared" si="25"/>
        <v>0</v>
      </c>
      <c r="I188" s="1225" t="n">
        <f t="shared" si="25"/>
        <v>0</v>
      </c>
      <c r="J188" s="1225" t="n">
        <f t="shared" si="21"/>
        <v>0</v>
      </c>
      <c r="K188" s="1225" t="n">
        <f t="shared" si="22"/>
        <v>0</v>
      </c>
      <c r="L188" s="1225" t="n">
        <f t="shared" si="22"/>
        <v>0</v>
      </c>
      <c r="M188" s="1225" t="n">
        <f t="shared" si="22"/>
        <v>0</v>
      </c>
      <c r="N188" s="1225" t="n">
        <f t="shared" si="23"/>
        <v>0</v>
      </c>
      <c r="O188" s="1225" t="n">
        <f t="shared" si="26"/>
        <v>0</v>
      </c>
      <c r="Q188" s="90"/>
    </row>
    <row r="189">
      <c r="A189" s="1221" t="s">
        <v>54</v>
      </c>
      <c r="B189" s="1221"/>
      <c r="C189" s="1225"/>
      <c r="D189" s="1225" t="n">
        <f t="shared" si="19"/>
        <v>0</v>
      </c>
      <c r="E189" s="1225" t="n">
        <f t="shared" si="24"/>
        <v>0</v>
      </c>
      <c r="F189" s="1225" t="n">
        <f t="shared" si="20"/>
        <v>0.11</v>
      </c>
      <c r="G189" s="1225" t="n">
        <f t="shared" si="25"/>
        <v>0.11</v>
      </c>
      <c r="H189" s="1225" t="n">
        <f t="shared" si="25"/>
        <v>0.11</v>
      </c>
      <c r="I189" s="1225" t="n">
        <f t="shared" si="25"/>
        <v>0.11</v>
      </c>
      <c r="J189" s="1225" t="n">
        <f t="shared" si="21"/>
        <v>0.73899999999999999</v>
      </c>
      <c r="K189" s="1225" t="n">
        <f t="shared" si="22"/>
        <v>0.73899999999999999</v>
      </c>
      <c r="L189" s="1225" t="n">
        <f t="shared" si="22"/>
        <v>0.73899999999999999</v>
      </c>
      <c r="M189" s="1225" t="n">
        <f t="shared" si="22"/>
        <v>0.73899999999999999</v>
      </c>
      <c r="N189" s="1225" t="n">
        <f t="shared" si="23"/>
        <v>1.1950000000000001</v>
      </c>
      <c r="O189" s="1225" t="n">
        <f t="shared" si="26"/>
        <v>1.1950000000000001</v>
      </c>
      <c r="Q189" s="90"/>
    </row>
    <row r="190">
      <c r="A190" s="1221" t="s">
        <v>1449</v>
      </c>
      <c r="B190" s="1221"/>
      <c r="C190" s="1225"/>
      <c r="D190" s="1225" t="n">
        <f t="shared" si="19"/>
        <v>0</v>
      </c>
      <c r="E190" s="1225" t="n">
        <f t="shared" si="24"/>
        <v>0</v>
      </c>
      <c r="F190" s="1225" t="n">
        <f t="shared" si="20"/>
        <v>-0.41499999999999998</v>
      </c>
      <c r="G190" s="1225" t="n">
        <f t="shared" si="25"/>
        <v>-0.41499999999999998</v>
      </c>
      <c r="H190" s="1225" t="n">
        <f t="shared" si="25"/>
        <v>-0.41499999999999998</v>
      </c>
      <c r="I190" s="1225" t="n">
        <f t="shared" si="25"/>
        <v>-0.41499999999999998</v>
      </c>
      <c r="J190" s="1225" t="n">
        <f t="shared" si="21"/>
        <v>2.7679999999999998</v>
      </c>
      <c r="K190" s="1225" t="n">
        <f t="shared" si="22"/>
        <v>2.7679999999999998</v>
      </c>
      <c r="L190" s="1225" t="n">
        <f t="shared" si="22"/>
        <v>2.7679999999999998</v>
      </c>
      <c r="M190" s="1225" t="n">
        <f t="shared" si="22"/>
        <v>2.7679999999999998</v>
      </c>
      <c r="N190" s="1225" t="n">
        <f t="shared" si="23"/>
        <v>-12.473000000000001</v>
      </c>
      <c r="O190" s="1225" t="n">
        <f t="shared" si="26"/>
        <v>-12.473000000000001</v>
      </c>
      <c r="Q190" s="90"/>
    </row>
    <row r="191">
      <c r="A191" s="1222" t="s">
        <v>57</v>
      </c>
      <c r="B191" s="1222"/>
      <c r="C191" s="1225"/>
      <c r="D191" s="1225" t="n">
        <f t="shared" si="19"/>
        <v>-0.622</v>
      </c>
      <c r="E191" s="1225" t="n">
        <f t="shared" si="24"/>
        <v>-0.622</v>
      </c>
      <c r="F191" s="1225" t="n">
        <f t="shared" si="20"/>
        <v>21.89</v>
      </c>
      <c r="G191" s="1225" t="n">
        <f t="shared" si="25"/>
        <v>21.89</v>
      </c>
      <c r="H191" s="1225" t="n">
        <f t="shared" si="25"/>
        <v>21.89</v>
      </c>
      <c r="I191" s="1225" t="n">
        <f t="shared" si="25"/>
        <v>21.89</v>
      </c>
      <c r="J191" s="1225" t="n">
        <f t="shared" si="21"/>
        <v>15.439</v>
      </c>
      <c r="K191" s="1225" t="n">
        <f t="shared" si="22"/>
        <v>15.439</v>
      </c>
      <c r="L191" s="1225" t="n">
        <f t="shared" si="22"/>
        <v>15.439</v>
      </c>
      <c r="M191" s="1225" t="n">
        <f t="shared" si="22"/>
        <v>15.439</v>
      </c>
      <c r="N191" s="1225" t="n">
        <f t="shared" si="23"/>
        <v>16.966999999999999</v>
      </c>
      <c r="O191" s="1225" t="n">
        <f t="shared" si="26"/>
        <v>16.966999999999999</v>
      </c>
      <c r="Q191" s="90"/>
    </row>
    <row r="192">
      <c r="A192" s="1223" t="s">
        <v>536</v>
      </c>
      <c r="B192" s="1223"/>
      <c r="C192" s="1225"/>
      <c r="D192" s="1211" t="n">
        <f t="shared" ref="D192:D194" si="27">D177</f>
        <v>0</v>
      </c>
      <c r="E192" s="1211" t="n">
        <f t="shared" ref="E192:E194" si="28">D192</f>
        <v>0</v>
      </c>
      <c r="F192" s="1211" t="n">
        <f t="shared" ref="F192:F194" si="29">E177</f>
        <v>-3.1549999999999998</v>
      </c>
      <c r="G192" s="1211" t="n">
        <f t="shared" ref="G192:G194" si="30">F192</f>
        <v>-3.1549999999999998</v>
      </c>
      <c r="H192" s="1211" t="n">
        <f t="shared" ref="H192:H194" si="31">G192</f>
        <v>-3.1549999999999998</v>
      </c>
      <c r="I192" s="1211" t="n">
        <f t="shared" ref="I192:I194" si="32">H192</f>
        <v>-3.1549999999999998</v>
      </c>
      <c r="J192" s="1211" t="n">
        <f t="shared" ref="J192:J194" si="33">F177</f>
        <v>-2.2309999999999999</v>
      </c>
      <c r="K192" s="1211" t="n">
        <f t="shared" ref="K192:K194" si="34">J192</f>
        <v>-2.2309999999999999</v>
      </c>
      <c r="L192" s="1211" t="n">
        <f t="shared" ref="L192:L194" si="35">K192</f>
        <v>-2.2309999999999999</v>
      </c>
      <c r="M192" s="1211" t="n">
        <f t="shared" ref="M192:M194" si="36">L192</f>
        <v>-2.2309999999999999</v>
      </c>
      <c r="N192" s="1211" t="n">
        <f t="shared" ref="N192:N194" si="37">G177</f>
        <v>-1.6080000000000001</v>
      </c>
      <c r="O192" s="1211" t="n">
        <f t="shared" ref="O192:O194" si="38">N192</f>
        <v>-1.6080000000000001</v>
      </c>
      <c r="Q192" s="90"/>
    </row>
    <row r="193">
      <c r="A193" s="1223" t="s">
        <v>534</v>
      </c>
      <c r="B193" s="1223"/>
      <c r="C193" s="1225"/>
      <c r="D193" s="1211" t="n">
        <f t="shared" si="27"/>
        <v>0</v>
      </c>
      <c r="E193" s="1211" t="n">
        <f t="shared" si="28"/>
        <v>0</v>
      </c>
      <c r="F193" s="1211" t="n">
        <f t="shared" si="29"/>
        <v>0.45200000000000001</v>
      </c>
      <c r="G193" s="1211" t="n">
        <f t="shared" si="30"/>
        <v>0.45200000000000001</v>
      </c>
      <c r="H193" s="1211" t="n">
        <f t="shared" si="31"/>
        <v>0.45200000000000001</v>
      </c>
      <c r="I193" s="1211" t="n">
        <f t="shared" si="32"/>
        <v>0.45200000000000001</v>
      </c>
      <c r="J193" s="1211" t="n">
        <f t="shared" si="33"/>
        <v>-8.67</v>
      </c>
      <c r="K193" s="1211" t="n">
        <f t="shared" si="34"/>
        <v>-8.67</v>
      </c>
      <c r="L193" s="1211" t="n">
        <f t="shared" si="35"/>
        <v>-8.67</v>
      </c>
      <c r="M193" s="1211" t="n">
        <f t="shared" si="36"/>
        <v>-8.67</v>
      </c>
      <c r="N193" s="1211" t="n">
        <f t="shared" si="37"/>
        <v>-4.5270000000000001</v>
      </c>
      <c r="O193" s="1211" t="n">
        <f t="shared" si="38"/>
        <v>-4.5270000000000001</v>
      </c>
      <c r="Q193" s="90"/>
    </row>
    <row r="194">
      <c r="A194" s="1223" t="s">
        <v>106</v>
      </c>
      <c r="B194" s="1223"/>
      <c r="C194" s="1225"/>
      <c r="D194" s="1211" t="n">
        <f t="shared" si="27"/>
        <v>0</v>
      </c>
      <c r="E194" s="1211" t="n">
        <f t="shared" si="28"/>
        <v>0</v>
      </c>
      <c r="F194" s="1211" t="n">
        <f t="shared" si="29"/>
        <v>35.317</v>
      </c>
      <c r="G194" s="1211" t="n">
        <f t="shared" si="30"/>
        <v>35.317</v>
      </c>
      <c r="H194" s="1211" t="n">
        <f t="shared" si="31"/>
        <v>35.317</v>
      </c>
      <c r="I194" s="1211" t="n">
        <f t="shared" si="32"/>
        <v>35.317</v>
      </c>
      <c r="J194" s="1211" t="n">
        <f t="shared" si="33"/>
        <v>36.033000000000001</v>
      </c>
      <c r="K194" s="1211" t="n">
        <f t="shared" si="34"/>
        <v>36.033000000000001</v>
      </c>
      <c r="L194" s="1211" t="n">
        <f t="shared" si="35"/>
        <v>36.033000000000001</v>
      </c>
      <c r="M194" s="1211" t="n">
        <f t="shared" si="36"/>
        <v>36.033000000000001</v>
      </c>
      <c r="N194" s="1211" t="n">
        <f t="shared" si="37"/>
        <v>21.076000000000001</v>
      </c>
      <c r="O194" s="1211" t="n">
        <f t="shared" si="38"/>
        <v>21.076000000000001</v>
      </c>
      <c r="Q194" s="90"/>
    </row>
    <row r="197">
      <c r="A197" s="84" t="s">
        <v>1452</v>
      </c>
    </row>
    <row r="198">
      <c r="A198" s="1219" t="s">
        <v>52</v>
      </c>
      <c r="D198" s="1226" t="n">
        <v>0</v>
      </c>
      <c r="E198" s="1226" t="n">
        <v>0</v>
      </c>
      <c r="F198" s="1226" t="n">
        <v>2.3250000000000002</v>
      </c>
      <c r="G198" s="1226" t="n">
        <v>2.3250000000000002</v>
      </c>
      <c r="H198" s="1226" t="n">
        <v>2.3250000000000002</v>
      </c>
      <c r="I198" s="1226" t="n">
        <v>2.3250000000000002</v>
      </c>
      <c r="J198" s="1226" t="n">
        <v>5.5830000000000002</v>
      </c>
      <c r="K198" s="1226" t="n">
        <v>5.5830000000000002</v>
      </c>
      <c r="L198" s="1226" t="n">
        <v>5.5830000000000002</v>
      </c>
      <c r="M198" s="1226" t="n">
        <v>5.5830000000000002</v>
      </c>
      <c r="N198" s="1226" t="n">
        <v>8.0220000000000002</v>
      </c>
      <c r="O198" s="1226" t="n">
        <v>8.0220000000000002</v>
      </c>
    </row>
  </sheetData>
  <mergeCells count="5">
    <mergeCell ref="C2:O2"/>
    <mergeCell ref="C42:O42"/>
    <mergeCell ref="C68:O68"/>
    <mergeCell ref="C75:O75"/>
    <mergeCell ref="C82:O82"/>
  </mergeCells>
  <hyperlinks>
    <hyperlink ref="P157" r:id="rId1h"/>
    <hyperlink ref="P115" r:id="rId2h"/>
    <hyperlink ref="P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85546875" hidden="0" customWidth="1"/>
    <col min="2" max="2" width="21" hidden="0" customWidth="1"/>
    <col min="5" max="5" width="37.42578125" hidden="0" customWidth="1"/>
    <col min="6" max="6" width="16" hidden="0" customWidth="1"/>
  </cols>
  <sheetData>
    <row r="1">
      <c r="A1" s="268" t="s">
        <v>607</v>
      </c>
    </row>
    <row r="2" ht="20.85" customHeight="1">
      <c r="A2" s="1303" t="s">
        <v>608</v>
      </c>
      <c r="B2" s="1303" t="s">
        <v>609</v>
      </c>
      <c r="C2" s="1303" t="s">
        <v>610</v>
      </c>
      <c r="D2" s="1303" t="s">
        <v>611</v>
      </c>
    </row>
    <row r="3">
      <c r="A3" s="1304" t="s">
        <v>612</v>
      </c>
      <c r="B3" s="1176" t="n">
        <f>SUM(B4:B7)</f>
        <v>325</v>
      </c>
      <c r="E3" s="1308" t="s">
        <v>613</v>
      </c>
      <c r="F3" s="1308"/>
    </row>
    <row r="4">
      <c r="A4" s="1018" t="s">
        <v>614</v>
      </c>
      <c r="B4" s="1176" t="n">
        <v>284</v>
      </c>
      <c r="E4" s="584" t="s">
        <v>51</v>
      </c>
      <c r="F4" s="584" t="s">
        <v>615</v>
      </c>
    </row>
    <row r="5">
      <c r="A5" s="1018" t="s">
        <v>463</v>
      </c>
      <c r="B5" s="1176" t="n">
        <v>20</v>
      </c>
      <c r="E5" s="268" t="s">
        <v>150</v>
      </c>
      <c r="F5" s="268" t="n">
        <f>SUM(B11:B16)</f>
        <v>82</v>
      </c>
    </row>
    <row r="6">
      <c r="A6" s="1018" t="s">
        <v>470</v>
      </c>
      <c r="B6" s="1176" t="n">
        <v>15</v>
      </c>
      <c r="E6" s="268" t="s">
        <v>49</v>
      </c>
      <c r="F6" s="268" t="n">
        <f>B23</f>
        <v>3</v>
      </c>
    </row>
    <row r="7">
      <c r="A7" s="1018" t="s">
        <v>471</v>
      </c>
      <c r="B7" s="1176" t="n">
        <v>6</v>
      </c>
      <c r="E7" s="268" t="s">
        <v>390</v>
      </c>
      <c r="F7" s="268" t="n">
        <f>B27-B28</f>
        <v>29</v>
      </c>
    </row>
    <row r="8">
      <c r="A8" s="584" t="s">
        <v>616</v>
      </c>
      <c r="B8" s="1176" t="n">
        <v>121</v>
      </c>
      <c r="E8" s="268" t="s">
        <v>407</v>
      </c>
      <c r="F8" s="268" t="n">
        <f>B42</f>
        <v>2</v>
      </c>
    </row>
    <row r="9">
      <c r="A9" s="1305" t="s">
        <v>617</v>
      </c>
      <c r="B9" s="1176" t="n">
        <v>166</v>
      </c>
      <c r="E9" s="268" t="s">
        <v>618</v>
      </c>
      <c r="F9" s="268" t="n">
        <f>B18+B20+B21</f>
        <v>34</v>
      </c>
    </row>
    <row r="10">
      <c r="A10" s="1302" t="s">
        <v>619</v>
      </c>
      <c r="B10" s="1176" t="n">
        <v>82</v>
      </c>
      <c r="E10" s="584" t="s">
        <v>620</v>
      </c>
      <c r="F10" s="584" t="s">
        <v>621</v>
      </c>
    </row>
    <row r="11">
      <c r="A11" s="1018" t="s">
        <v>622</v>
      </c>
      <c r="B11" s="1176" t="n">
        <v>54</v>
      </c>
      <c r="E11" s="268" t="s">
        <v>363</v>
      </c>
      <c r="F11" s="268" t="n">
        <f>B4</f>
        <v>284</v>
      </c>
    </row>
    <row r="12">
      <c r="A12" s="1018" t="s">
        <v>623</v>
      </c>
      <c r="B12" s="1176" t="n">
        <v>20</v>
      </c>
      <c r="E12" s="268" t="s">
        <v>624</v>
      </c>
      <c r="F12" s="268" t="n">
        <f>B5</f>
        <v>20</v>
      </c>
    </row>
    <row r="13">
      <c r="A13" s="1018" t="s">
        <v>625</v>
      </c>
      <c r="B13" s="1176" t="n">
        <v>4</v>
      </c>
      <c r="E13" s="268" t="s">
        <v>470</v>
      </c>
      <c r="F13" s="268" t="n">
        <f>B6</f>
        <v>15</v>
      </c>
    </row>
    <row r="14" ht="27.6" customHeight="1">
      <c r="A14" s="1018" t="s">
        <v>626</v>
      </c>
      <c r="B14" s="1176" t="n">
        <v>2</v>
      </c>
      <c r="E14" s="540" t="s">
        <v>471</v>
      </c>
      <c r="F14" s="268" t="n">
        <f>B7</f>
        <v>6</v>
      </c>
    </row>
    <row r="15" ht="27.6" customHeight="1">
      <c r="A15" s="1018" t="s">
        <v>627</v>
      </c>
      <c r="B15" s="1176" t="n">
        <v>1</v>
      </c>
      <c r="E15" s="540" t="s">
        <v>628</v>
      </c>
      <c r="F15" s="268" t="n">
        <f>B28</f>
        <v>15</v>
      </c>
    </row>
    <row r="16">
      <c r="A16" s="1018" t="s">
        <v>629</v>
      </c>
      <c r="B16" s="1176" t="n">
        <v>1</v>
      </c>
      <c r="E16" s="268" t="s">
        <v>630</v>
      </c>
      <c r="F16" s="268" t="n">
        <f>B37</f>
        <v>12</v>
      </c>
    </row>
    <row r="17">
      <c r="A17" s="584" t="s">
        <v>631</v>
      </c>
      <c r="B17" s="1176" t="n">
        <v>72</v>
      </c>
      <c r="E17" s="268" t="s">
        <v>632</v>
      </c>
      <c r="F17" s="268" t="n">
        <f>B38</f>
        <v>10</v>
      </c>
    </row>
    <row r="18">
      <c r="A18" s="1018" t="s">
        <v>633</v>
      </c>
      <c r="B18" s="1176" t="n">
        <v>22</v>
      </c>
      <c r="C18" s="268" t="s">
        <v>634</v>
      </c>
    </row>
    <row r="19">
      <c r="A19" s="1018" t="s">
        <v>635</v>
      </c>
      <c r="B19" s="1176" t="n">
        <v>20</v>
      </c>
      <c r="C19" s="268" t="s">
        <v>109</v>
      </c>
    </row>
    <row r="20">
      <c r="A20" s="1018" t="s">
        <v>636</v>
      </c>
      <c r="B20" s="1176" t="n">
        <v>8</v>
      </c>
      <c r="C20" s="268" t="s">
        <v>634</v>
      </c>
    </row>
    <row r="21">
      <c r="A21" s="1018" t="s">
        <v>637</v>
      </c>
      <c r="B21" s="1176" t="n">
        <v>4</v>
      </c>
      <c r="C21" s="268" t="s">
        <v>51</v>
      </c>
    </row>
    <row r="22">
      <c r="A22" s="1018" t="s">
        <v>638</v>
      </c>
      <c r="B22" s="1176" t="n">
        <v>4</v>
      </c>
      <c r="C22" s="268" t="s">
        <v>109</v>
      </c>
    </row>
    <row r="23">
      <c r="A23" s="1018" t="s">
        <v>639</v>
      </c>
      <c r="B23" s="1176" t="n">
        <v>3</v>
      </c>
      <c r="C23" s="268" t="s">
        <v>640</v>
      </c>
    </row>
    <row r="24">
      <c r="A24" s="1018" t="s">
        <v>641</v>
      </c>
      <c r="B24" s="1176" t="n">
        <v>3</v>
      </c>
      <c r="C24" s="268" t="s">
        <v>642</v>
      </c>
    </row>
    <row r="25">
      <c r="A25" s="1306" t="s">
        <v>643</v>
      </c>
      <c r="B25" s="1176" t="n">
        <v>3</v>
      </c>
      <c r="C25" s="268" t="s">
        <v>55</v>
      </c>
    </row>
    <row r="26">
      <c r="A26" s="1018" t="s">
        <v>644</v>
      </c>
      <c r="B26" s="1176" t="n">
        <v>4</v>
      </c>
      <c r="C26" s="268" t="s">
        <v>645</v>
      </c>
    </row>
    <row r="27">
      <c r="A27" s="584" t="s">
        <v>390</v>
      </c>
      <c r="B27" s="1176" t="n">
        <v>44</v>
      </c>
    </row>
    <row r="28">
      <c r="A28" s="1299" t="s">
        <v>628</v>
      </c>
      <c r="B28" s="1300" t="n">
        <v>15</v>
      </c>
    </row>
    <row r="29">
      <c r="A29" s="1018" t="s">
        <v>646</v>
      </c>
      <c r="B29" s="1176" t="n">
        <v>14</v>
      </c>
    </row>
    <row r="30">
      <c r="A30" s="1018" t="s">
        <v>647</v>
      </c>
      <c r="B30" s="1176" t="n">
        <v>10</v>
      </c>
    </row>
    <row r="31">
      <c r="A31" s="1018" t="s">
        <v>648</v>
      </c>
      <c r="B31" s="1176" t="n">
        <v>2</v>
      </c>
    </row>
    <row r="32">
      <c r="A32" s="1018" t="s">
        <v>649</v>
      </c>
      <c r="B32" s="1176" t="n">
        <v>2</v>
      </c>
    </row>
    <row r="33">
      <c r="A33" s="1018" t="s">
        <v>650</v>
      </c>
      <c r="B33" s="1176" t="n">
        <v>1</v>
      </c>
    </row>
    <row r="34">
      <c r="A34" s="584" t="s">
        <v>651</v>
      </c>
      <c r="B34" s="1176" t="n">
        <v>88</v>
      </c>
    </row>
    <row r="35">
      <c r="A35" s="1306" t="s">
        <v>652</v>
      </c>
      <c r="B35" s="1176" t="n">
        <v>26</v>
      </c>
    </row>
    <row r="36">
      <c r="A36" s="1018" t="s">
        <v>653</v>
      </c>
      <c r="B36" s="1176" t="n">
        <v>25</v>
      </c>
    </row>
    <row r="37">
      <c r="A37" s="1018" t="s">
        <v>630</v>
      </c>
      <c r="B37" s="1176" t="n">
        <v>12</v>
      </c>
      <c r="C37" s="268" t="s">
        <v>654</v>
      </c>
      <c r="E37" s="268" t="s">
        <v>655</v>
      </c>
      <c r="F37" s="268" t="s">
        <v>656</v>
      </c>
    </row>
    <row r="38">
      <c r="A38" s="1018" t="s">
        <v>632</v>
      </c>
      <c r="B38" s="1176" t="n">
        <v>10</v>
      </c>
      <c r="C38" s="268" t="s">
        <v>654</v>
      </c>
      <c r="E38" s="268" t="s">
        <v>657</v>
      </c>
      <c r="F38" s="268" t="s">
        <v>658</v>
      </c>
    </row>
    <row r="39">
      <c r="A39" s="1018" t="s">
        <v>659</v>
      </c>
      <c r="B39" s="1176" t="n">
        <v>7</v>
      </c>
      <c r="C39" s="268" t="s">
        <v>645</v>
      </c>
      <c r="E39" s="268" t="s">
        <v>660</v>
      </c>
      <c r="F39" s="268" t="s">
        <v>661</v>
      </c>
    </row>
    <row r="40">
      <c r="A40" s="1018" t="s">
        <v>662</v>
      </c>
      <c r="B40" s="1176" t="n">
        <v>5</v>
      </c>
      <c r="C40" s="268" t="s">
        <v>109</v>
      </c>
      <c r="E40" s="268" t="s">
        <v>663</v>
      </c>
    </row>
    <row r="41">
      <c r="A41" s="1018" t="s">
        <v>664</v>
      </c>
      <c r="B41" s="1176" t="n">
        <v>2</v>
      </c>
      <c r="C41" s="268" t="s">
        <v>645</v>
      </c>
      <c r="E41" s="268" t="s">
        <v>665</v>
      </c>
    </row>
    <row r="42">
      <c r="A42" s="1018" t="s">
        <v>666</v>
      </c>
      <c r="B42" s="1176" t="n">
        <v>2</v>
      </c>
      <c r="C42" s="268" t="s">
        <v>634</v>
      </c>
      <c r="E42" s="1301" t="s">
        <v>667</v>
      </c>
    </row>
    <row r="43">
      <c r="A43" s="1018" t="s">
        <v>668</v>
      </c>
      <c r="B43" s="1176" t="n">
        <v>0</v>
      </c>
      <c r="E43" s="268" t="s">
        <v>669</v>
      </c>
    </row>
    <row r="44">
      <c r="A44" s="584" t="s">
        <v>670</v>
      </c>
      <c r="B44" s="1176" t="n">
        <v>40</v>
      </c>
    </row>
    <row r="45">
      <c r="A45" s="1306" t="s">
        <v>671</v>
      </c>
      <c r="B45" s="1307" t="n">
        <v>21</v>
      </c>
    </row>
    <row r="46">
      <c r="A46" s="1018" t="s">
        <v>672</v>
      </c>
      <c r="B46" s="1176" t="n">
        <v>6</v>
      </c>
    </row>
    <row r="47">
      <c r="A47" s="1306" t="s">
        <v>673</v>
      </c>
      <c r="B47" s="1307" t="n">
        <v>4</v>
      </c>
    </row>
    <row r="48">
      <c r="A48" s="1018" t="s">
        <v>674</v>
      </c>
      <c r="B48" s="1176" t="n">
        <v>4</v>
      </c>
    </row>
    <row r="49">
      <c r="A49" s="1306" t="s">
        <v>675</v>
      </c>
      <c r="B49" s="1307" t="n">
        <v>3</v>
      </c>
    </row>
    <row r="50">
      <c r="A50" s="1018" t="s">
        <v>676</v>
      </c>
      <c r="B50" s="1176"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J1" zoomScale="105" zoomScaleNormal="90" workbookViewId="0">
      <selection activeCell="T6" sqref="T6"/>
    </sheetView>
  </sheetViews>
  <sheetFormatPr defaultRowHeight="15.0" baseColWidth="10"/>
  <cols>
    <col min="1" max="1" width="6.42578125" hidden="0" customWidth="1"/>
    <col min="2" max="2" width="8.140625" hidden="0" customWidth="1"/>
    <col min="4" max="4" width="7.140625" hidden="0" customWidth="1"/>
    <col min="5" max="5" width="8.85546875" hidden="0" customWidth="1"/>
    <col min="7" max="7" width="8.140625" hidden="0" customWidth="1"/>
    <col min="8" max="8" width="7.140625" hidden="0" customWidth="1"/>
    <col min="10" max="10" width="8.42578125" hidden="0" customWidth="1"/>
    <col min="12" max="12" width="8.42578125" hidden="0" customWidth="1"/>
    <col min="13" max="13" width="8.42578125" hidden="0" customWidth="1"/>
    <col min="14" max="14" width="7.42578125" hidden="0" customWidth="1"/>
    <col min="15" max="15" width="8.42578125" hidden="0" customWidth="1"/>
    <col min="16" max="16" width="8.42578125" hidden="0" customWidth="1"/>
    <col min="17" max="17" width="8.42578125" hidden="0" customWidth="1"/>
    <col min="18" max="18" width="8.42578125" hidden="0" customWidth="1"/>
    <col min="19" max="19" width="8.42578125" hidden="0" customWidth="1"/>
    <col min="20" max="20" width="8.42578125" hidden="0" customWidth="1"/>
    <col min="21" max="21" width="8.42578125" hidden="0" customWidth="1"/>
    <col min="22" max="22" width="8.42578125" hidden="0" customWidth="1"/>
    <col min="23" max="23" width="8.42578125" hidden="0" customWidth="1"/>
    <col min="24" max="24" width="8.42578125" hidden="0" customWidth="1"/>
    <col min="25" max="25" width="8.42578125" hidden="0" customWidth="1"/>
    <col min="26" max="26" width="8.42578125" hidden="0" customWidth="1"/>
    <col min="27" max="27" width="8.42578125" hidden="0" customWidth="1"/>
    <col min="28" max="28" width="8.42578125" hidden="0" customWidth="1"/>
    <col min="29" max="29" width="8.42578125" hidden="0" customWidth="1"/>
    <col min="30" max="30" width="8.42578125" hidden="0" customWidth="1"/>
    <col min="31" max="31" width="8.42578125" hidden="0" customWidth="1"/>
    <col min="32" max="32" width="8.42578125" hidden="0" customWidth="1"/>
    <col min="33" max="33" width="8.42578125" hidden="0" customWidth="1"/>
    <col min="34" max="34" width="8.42578125" hidden="0" customWidth="1"/>
    <col min="35" max="35" width="8.42578125" hidden="0" customWidth="1"/>
    <col min="36" max="36" width="8.42578125" hidden="0" customWidth="1"/>
    <col min="37" max="37" width="8.42578125" hidden="0" customWidth="1"/>
    <col min="38" max="38" width="8.42578125" hidden="0" customWidth="1"/>
    <col min="39" max="39" width="8.42578125" hidden="0" customWidth="1"/>
    <col min="40" max="40" width="8.42578125" hidden="0" customWidth="1"/>
    <col min="41" max="41" width="8.42578125" hidden="0" customWidth="1"/>
    <col min="42" max="42" width="8.42578125" hidden="0" customWidth="1"/>
    <col min="43" max="43" width="8.42578125" hidden="0" customWidth="1"/>
    <col min="44" max="44" width="8.42578125" hidden="0" customWidth="1"/>
    <col min="45" max="45" width="8.42578125" hidden="0" customWidth="1"/>
    <col min="46" max="46" width="8.42578125" hidden="0" customWidth="1"/>
    <col min="47" max="47" width="8.42578125" hidden="0" customWidth="1"/>
    <col min="48" max="48" width="8.42578125" hidden="0" customWidth="1"/>
    <col min="49" max="49" width="8.42578125" hidden="0" customWidth="1"/>
    <col min="50" max="50" width="8.42578125" hidden="0" customWidth="1"/>
    <col min="51" max="51" width="8.42578125" hidden="0" customWidth="1"/>
    <col min="52" max="52" width="8.42578125" hidden="0" customWidth="1"/>
    <col min="53" max="53" width="8.42578125" hidden="0" customWidth="1"/>
    <col min="54" max="54" width="8.42578125" hidden="0" customWidth="1"/>
    <col min="55" max="55" width="8.42578125" hidden="0" customWidth="1"/>
    <col min="56" max="56" width="8.42578125" hidden="0" customWidth="1"/>
    <col min="57" max="57" width="8.42578125" hidden="0" customWidth="1"/>
    <col min="58" max="58" width="8.42578125" hidden="0" customWidth="1"/>
    <col min="59" max="59" width="8.42578125" hidden="0" customWidth="1"/>
    <col min="60" max="60" width="8.42578125" hidden="0" customWidth="1"/>
    <col min="61" max="61" width="8.42578125" hidden="0" customWidth="1"/>
    <col min="62" max="62" width="8.42578125" hidden="0" customWidth="1"/>
  </cols>
  <sheetData>
    <row r="1">
      <c r="A1" s="63" t="s">
        <v>886</v>
      </c>
      <c r="I1" s="1358"/>
      <c r="J1" s="1358"/>
      <c r="K1" s="1358"/>
    </row>
    <row r="2" ht="13.35" customHeight="1">
      <c r="A2" s="1321"/>
      <c r="O2" s="1348" t="s">
        <v>848</v>
      </c>
      <c r="P2" s="1361" t="s">
        <v>677</v>
      </c>
      <c r="Q2" s="1361"/>
      <c r="R2" s="1361"/>
      <c r="S2" s="1361"/>
      <c r="T2" s="1351"/>
      <c r="U2" s="1351"/>
      <c r="V2" s="1351"/>
      <c r="W2" s="1351"/>
      <c r="X2" s="1351"/>
      <c r="Y2" s="1351" t="s">
        <v>678</v>
      </c>
      <c r="Z2" s="34"/>
      <c r="AA2" s="34"/>
      <c r="AB2" s="34"/>
      <c r="AC2" s="34"/>
      <c r="AD2" s="34"/>
      <c r="AE2" s="1351"/>
      <c r="AF2" s="1351"/>
      <c r="AG2" s="1359" t="s">
        <v>679</v>
      </c>
      <c r="AH2" s="34"/>
      <c r="AI2" s="34"/>
      <c r="AJ2" s="1352" t="s">
        <v>680</v>
      </c>
      <c r="AK2" s="1352"/>
      <c r="AL2" s="1352"/>
      <c r="AM2" s="1352"/>
      <c r="AN2" s="1352"/>
      <c r="AO2" s="1352"/>
      <c r="AP2" s="1352"/>
      <c r="AQ2" s="1352"/>
      <c r="AR2" s="1352"/>
      <c r="AS2" s="1352"/>
      <c r="AT2" s="1352"/>
      <c r="AU2" s="1360" t="s">
        <v>433</v>
      </c>
      <c r="AV2" s="1360"/>
      <c r="AW2" s="1360"/>
      <c r="AX2" s="1360"/>
      <c r="AY2" s="1360"/>
      <c r="AZ2" s="1360"/>
      <c r="BA2" s="1360"/>
      <c r="BB2" s="1332"/>
      <c r="BC2" s="1332"/>
      <c r="BD2" s="1332"/>
      <c r="BE2" s="1332"/>
      <c r="BF2" s="1332"/>
      <c r="BG2" s="1332"/>
      <c r="BH2" s="1332"/>
      <c r="BI2" s="1332"/>
      <c r="BJ2" s="1338" t="s">
        <v>681</v>
      </c>
    </row>
    <row r="3" ht="43.35" customHeight="1">
      <c r="A3" s="1322"/>
      <c r="B3" s="1322"/>
      <c r="C3" s="1322"/>
      <c r="D3" s="1322"/>
      <c r="E3" s="1322"/>
      <c r="F3" s="1322"/>
      <c r="G3" s="1322"/>
      <c r="H3" s="1322"/>
      <c r="I3" s="1322"/>
      <c r="J3" s="1322"/>
      <c r="K3" s="1322"/>
      <c r="L3" s="1322"/>
      <c r="M3" s="1322"/>
      <c r="N3" s="1322"/>
      <c r="O3" s="1349" t="s">
        <v>682</v>
      </c>
      <c r="P3" s="1331" t="s">
        <v>683</v>
      </c>
      <c r="Q3" s="1331" t="s">
        <v>684</v>
      </c>
      <c r="R3" s="1331" t="s">
        <v>685</v>
      </c>
      <c r="S3" s="1331" t="s">
        <v>686</v>
      </c>
      <c r="T3" s="1331" t="s">
        <v>687</v>
      </c>
      <c r="U3" s="1331" t="s">
        <v>688</v>
      </c>
      <c r="V3" s="1331" t="s">
        <v>689</v>
      </c>
      <c r="W3" s="1331" t="s">
        <v>690</v>
      </c>
      <c r="X3" s="1331" t="s">
        <v>691</v>
      </c>
      <c r="Y3" s="1331" t="s">
        <v>692</v>
      </c>
      <c r="Z3" s="1331"/>
      <c r="AA3" s="1331"/>
      <c r="AB3" s="1331"/>
      <c r="AC3" s="1331" t="s">
        <v>693</v>
      </c>
      <c r="AD3" s="1331" t="s">
        <v>694</v>
      </c>
      <c r="AE3" s="1331" t="s">
        <v>695</v>
      </c>
      <c r="AF3" s="1331" t="s">
        <v>696</v>
      </c>
      <c r="AG3" s="1331" t="s">
        <v>697</v>
      </c>
      <c r="AH3" s="1331" t="s">
        <v>698</v>
      </c>
      <c r="AI3" s="1331" t="s">
        <v>699</v>
      </c>
      <c r="AJ3" s="1331" t="s">
        <v>700</v>
      </c>
      <c r="AK3" s="1331" t="s">
        <v>701</v>
      </c>
      <c r="AL3" s="1331" t="s">
        <v>702</v>
      </c>
      <c r="AM3" s="1331" t="s">
        <v>703</v>
      </c>
      <c r="AN3" s="1331" t="s">
        <v>704</v>
      </c>
      <c r="AO3" s="1331" t="s">
        <v>705</v>
      </c>
      <c r="AP3" s="1331" t="s">
        <v>706</v>
      </c>
      <c r="AQ3" s="1344" t="s">
        <v>707</v>
      </c>
      <c r="AR3" s="1331" t="s">
        <v>708</v>
      </c>
      <c r="AS3" s="1331" t="s">
        <v>709</v>
      </c>
      <c r="AT3" s="1331" t="s">
        <v>710</v>
      </c>
      <c r="AU3" s="1331" t="s">
        <v>711</v>
      </c>
      <c r="AV3" s="1331" t="s">
        <v>712</v>
      </c>
      <c r="AW3" s="1331" t="s">
        <v>713</v>
      </c>
      <c r="AX3" s="1331" t="s">
        <v>714</v>
      </c>
      <c r="AY3" s="1331" t="s">
        <v>715</v>
      </c>
      <c r="AZ3" s="1331" t="s">
        <v>716</v>
      </c>
      <c r="BA3" s="1331" t="s">
        <v>693</v>
      </c>
      <c r="BB3" s="1339" t="s">
        <v>717</v>
      </c>
      <c r="BC3" s="1339" t="s">
        <v>718</v>
      </c>
      <c r="BD3" s="1339" t="s">
        <v>719</v>
      </c>
      <c r="BE3" s="1339" t="s">
        <v>720</v>
      </c>
      <c r="BF3" s="1339" t="s">
        <v>721</v>
      </c>
      <c r="BG3" s="1339" t="s">
        <v>722</v>
      </c>
      <c r="BH3" s="1339" t="s">
        <v>723</v>
      </c>
      <c r="BI3" s="1339" t="s">
        <v>724</v>
      </c>
      <c r="BJ3" s="1333" t="s">
        <v>725</v>
      </c>
    </row>
    <row r="4" ht="63" customHeight="1">
      <c r="A4" s="1342" t="s">
        <v>726</v>
      </c>
      <c r="B4" s="1321" t="s">
        <v>56</v>
      </c>
      <c r="C4" s="1321" t="s">
        <v>727</v>
      </c>
      <c r="D4" s="1321" t="s">
        <v>597</v>
      </c>
      <c r="E4" s="1321" t="s">
        <v>728</v>
      </c>
      <c r="F4" s="1321" t="s">
        <v>729</v>
      </c>
      <c r="G4" s="1321" t="s">
        <v>730</v>
      </c>
      <c r="H4" s="1321" t="s">
        <v>131</v>
      </c>
      <c r="I4" s="1328" t="s">
        <v>395</v>
      </c>
      <c r="J4" s="1328" t="s">
        <v>150</v>
      </c>
      <c r="K4" s="1328" t="s">
        <v>731</v>
      </c>
      <c r="L4" s="1326" t="s">
        <v>159</v>
      </c>
      <c r="M4" s="1321" t="s">
        <v>109</v>
      </c>
      <c r="N4" s="1321" t="s">
        <v>732</v>
      </c>
      <c r="O4" s="1350" t="s">
        <v>733</v>
      </c>
      <c r="P4" s="1339" t="s">
        <v>734</v>
      </c>
      <c r="Q4" s="1339" t="s">
        <v>735</v>
      </c>
      <c r="R4" s="1339" t="s">
        <v>736</v>
      </c>
      <c r="S4" s="1339" t="s">
        <v>737</v>
      </c>
      <c r="T4" s="1339" t="s">
        <v>738</v>
      </c>
      <c r="U4" s="1339" t="s">
        <v>739</v>
      </c>
      <c r="V4" s="1339" t="s">
        <v>740</v>
      </c>
      <c r="W4" s="1339" t="s">
        <v>741</v>
      </c>
      <c r="X4" s="1339" t="s">
        <v>742</v>
      </c>
      <c r="Y4" s="1339" t="s">
        <v>743</v>
      </c>
      <c r="Z4" s="1339" t="s">
        <v>744</v>
      </c>
      <c r="AA4" s="1339" t="s">
        <v>745</v>
      </c>
      <c r="AB4" s="1339" t="s">
        <v>746</v>
      </c>
      <c r="AC4" s="1339" t="s">
        <v>747</v>
      </c>
      <c r="AD4" s="1339" t="s">
        <v>748</v>
      </c>
      <c r="AE4" s="1339" t="s">
        <v>749</v>
      </c>
      <c r="AF4" s="1339" t="s">
        <v>750</v>
      </c>
      <c r="AG4" s="1339" t="s">
        <v>210</v>
      </c>
      <c r="AH4" s="1339" t="s">
        <v>211</v>
      </c>
      <c r="AI4" s="1339" t="s">
        <v>751</v>
      </c>
      <c r="AJ4" s="1339" t="s">
        <v>752</v>
      </c>
      <c r="AK4" s="1339" t="s">
        <v>753</v>
      </c>
      <c r="AL4" s="1339" t="s">
        <v>754</v>
      </c>
      <c r="AM4" s="1339" t="s">
        <v>755</v>
      </c>
      <c r="AN4" s="1339" t="s">
        <v>756</v>
      </c>
      <c r="AO4" s="1339" t="s">
        <v>757</v>
      </c>
      <c r="AP4" s="1339" t="s">
        <v>758</v>
      </c>
      <c r="AQ4" s="1340" t="s">
        <v>759</v>
      </c>
      <c r="AR4" s="1339" t="s">
        <v>760</v>
      </c>
      <c r="AS4" s="1339" t="s">
        <v>761</v>
      </c>
      <c r="AT4" s="1339" t="s">
        <v>762</v>
      </c>
      <c r="AU4" s="1339" t="s">
        <v>763</v>
      </c>
      <c r="AV4" s="1339" t="s">
        <v>764</v>
      </c>
      <c r="AW4" s="1339" t="s">
        <v>765</v>
      </c>
      <c r="AX4" s="1339" t="s">
        <v>766</v>
      </c>
      <c r="AY4" s="1339" t="s">
        <v>767</v>
      </c>
      <c r="AZ4" s="1339" t="s">
        <v>768</v>
      </c>
      <c r="BA4" s="1339"/>
      <c r="BB4" s="1339" t="s">
        <v>475</v>
      </c>
      <c r="BC4" s="1339" t="s">
        <v>769</v>
      </c>
      <c r="BD4" s="1339" t="s">
        <v>770</v>
      </c>
      <c r="BE4" s="1339" t="s">
        <v>771</v>
      </c>
      <c r="BF4" s="1339" t="s">
        <v>772</v>
      </c>
      <c r="BG4" s="1339" t="s">
        <v>773</v>
      </c>
      <c r="BH4" s="1339" t="s">
        <v>774</v>
      </c>
      <c r="BI4" s="1339" t="s">
        <v>775</v>
      </c>
      <c r="BJ4" s="1341" t="s">
        <v>776</v>
      </c>
    </row>
    <row r="5">
      <c r="A5" s="1323" t="n">
        <v>2021</v>
      </c>
      <c r="B5" s="1325" t="n">
        <f>Q5</f>
        <v>394.202</v>
      </c>
      <c r="C5" s="1325" t="n">
        <f>SUM(Y5:AB5)</f>
        <v>195.7</v>
      </c>
      <c r="D5" s="1325" t="n">
        <f>T5</f>
        <v>18.823</v>
      </c>
      <c r="E5" s="1325" t="n">
        <f>SUM(P5:S5)-B5</f>
        <v>0.77600000000001046</v>
      </c>
      <c r="F5" s="1325" t="n">
        <f>SUM(T5:AF5)-C5-L5-D5 - 28</f>
        <v>19.722000000000016</v>
      </c>
      <c r="G5" s="1325" t="n">
        <f>SUM(BB5:BI5)-BC5</f>
        <v>81.642999999999986</v>
      </c>
      <c r="H5" s="1325" t="n">
        <f>SUM(AG5:AI5)</f>
        <v>7.798</v>
      </c>
      <c r="I5" s="1325" t="n">
        <f>AJ5</f>
        <v>283.95749999999998</v>
      </c>
      <c r="J5" s="1325" t="n">
        <f>AL5</f>
        <v>12.347</v>
      </c>
      <c r="K5" s="1325" t="n">
        <f>SUM(AM5:AT5)</f>
        <v>29.628</v>
      </c>
      <c r="L5" s="1329" t="n">
        <f>103/4</f>
        <v>25.75</v>
      </c>
      <c r="M5" s="1325" t="n">
        <f t="shared" ref="M5:M16" si="0">SUM(AU5:BA5)</f>
        <v>31.939</v>
      </c>
      <c r="N5" s="1325" t="n">
        <f>AK5</f>
        <v>3.4</v>
      </c>
      <c r="O5" s="1353" t="n">
        <v>50</v>
      </c>
      <c r="P5" s="1346" t="n">
        <v>0.55000000000000004</v>
      </c>
      <c r="Q5" s="1347" t="n">
        <v>394.202</v>
      </c>
      <c r="R5" s="1355" t="n">
        <v>0.14599999999999999</v>
      </c>
      <c r="S5" s="1355" t="n">
        <v>0.08</v>
      </c>
      <c r="T5" s="1355" t="n">
        <v>18.823</v>
      </c>
      <c r="U5" s="1347" t="n">
        <v>19</v>
      </c>
      <c r="V5" s="1355" t="n">
        <v>11.481999999999999</v>
      </c>
      <c r="W5" s="1318" t="n">
        <v>1.5580000000000001</v>
      </c>
      <c r="X5" s="1318" t="n">
        <v>0.74</v>
      </c>
      <c r="Y5" s="1347" t="n">
        <v>0.2</v>
      </c>
      <c r="Z5" s="1347" t="n">
        <v>43.1</v>
      </c>
      <c r="AA5" s="1347" t="n">
        <v>33.9</v>
      </c>
      <c r="AB5" s="1347" t="n">
        <v>118.5</v>
      </c>
      <c r="AC5" s="1347" t="n">
        <v>28</v>
      </c>
      <c r="AD5" s="1318" t="n">
        <v>-2.0379999999999998</v>
      </c>
      <c r="AE5" s="1347" t="n">
        <v>14.31</v>
      </c>
      <c r="AF5" s="1355" t="n">
        <v>0.42</v>
      </c>
      <c r="AG5" s="1355" t="n">
        <v>7.7279999999999998</v>
      </c>
      <c r="AH5" s="1347" t="n">
        <v>7.0000000000000007E-2</v>
      </c>
      <c r="AI5" s="1347" t="n">
        <v>0</v>
      </c>
      <c r="AJ5" s="1347" t="n">
        <v>283.95749999999998</v>
      </c>
      <c r="AK5" s="1345" t="n">
        <v>3.4</v>
      </c>
      <c r="AL5" s="1345" t="n">
        <v>12.347</v>
      </c>
      <c r="AM5" s="1356" t="n">
        <v>0.28599999999999998</v>
      </c>
      <c r="AN5" s="1345" t="n">
        <v>2</v>
      </c>
      <c r="AO5" s="1347" t="n">
        <v>0.81</v>
      </c>
      <c r="AP5" s="1345" t="n">
        <v>0.52100000000000002</v>
      </c>
      <c r="AQ5" s="1357" t="n">
        <v>10</v>
      </c>
      <c r="AR5" s="1345" t="n">
        <v>2.7</v>
      </c>
      <c r="AS5" s="1345" t="n">
        <v>0.751</v>
      </c>
      <c r="AT5" s="1347" t="n">
        <v>12.56</v>
      </c>
      <c r="AU5" s="1347" t="n">
        <v>0</v>
      </c>
      <c r="AV5" s="1345" t="n">
        <v>1.415</v>
      </c>
      <c r="AW5" s="1345" t="n">
        <v>10.51</v>
      </c>
      <c r="AX5" s="1345" t="n">
        <v>2.6</v>
      </c>
      <c r="AY5" s="1347" t="n">
        <v>-0.33</v>
      </c>
      <c r="AZ5" s="1345" t="n">
        <v>17.744</v>
      </c>
      <c r="BA5" s="1347" t="n">
        <v>0</v>
      </c>
      <c r="BB5" s="1345" t="n">
        <v>4.0999999999999996</v>
      </c>
      <c r="BC5" s="1345" t="n">
        <v>7.25</v>
      </c>
      <c r="BD5" s="1345" t="n">
        <v>48.4</v>
      </c>
      <c r="BE5" s="1355" t="n">
        <v>0.83</v>
      </c>
      <c r="BF5" s="1318" t="n">
        <v>4.5110000000000001</v>
      </c>
      <c r="BG5" s="1347" t="n">
        <v>3.0739999999999998</v>
      </c>
      <c r="BH5" s="1309" t="n">
        <v>-0.28399999999999997</v>
      </c>
      <c r="BI5" s="1345" t="n">
        <v>21.012</v>
      </c>
      <c r="BJ5" s="1334" t="n">
        <v>1.1599999999999999</v>
      </c>
    </row>
    <row r="6">
      <c r="A6" s="1323" t="n">
        <v>2022</v>
      </c>
      <c r="B6" s="1325" t="n">
        <f t="shared" ref="B6:B15" si="1">Q6</f>
        <v>17.465</v>
      </c>
      <c r="C6" s="1325" t="n">
        <f t="shared" ref="C6:C15" si="2">SUM(Y6:AB6)</f>
        <v>10.1</v>
      </c>
      <c r="D6" s="1325" t="n">
        <f t="shared" ref="D6:D15" si="3">T6</f>
        <v>2.5950000000000002</v>
      </c>
      <c r="E6" s="1325" t="n">
        <f t="shared" ref="E6:E15" si="4">SUM(P6:S6)-B6</f>
        <v>19.719000000000005</v>
      </c>
      <c r="F6" s="1325" t="n">
        <f>SUM(T6:AF6)-C6-L6-D6</f>
        <v>52.756999999999998</v>
      </c>
      <c r="G6" s="1325" t="n">
        <f t="shared" ref="G6:G16" si="5">SUM(BB6:BI6)-BC6</f>
        <v>110.24799999999999</v>
      </c>
      <c r="H6" s="1325" t="n">
        <f t="shared" ref="H6:H15" si="6">SUM(AG6:AI6)</f>
        <v>7.9489999999999998</v>
      </c>
      <c r="I6" s="1325" t="n">
        <f t="shared" ref="I6:I15" si="7">AJ6</f>
        <v>77.092500000000001</v>
      </c>
      <c r="J6" s="1325" t="n">
        <f t="shared" ref="J6:J15" si="8">AL6</f>
        <v>46.79</v>
      </c>
      <c r="K6" s="1325" t="n">
        <f t="shared" ref="K6:K16" si="9">SUM(AM6:AT6)</f>
        <v>35.671000000000006</v>
      </c>
      <c r="L6" s="1329" t="n">
        <v>0</v>
      </c>
      <c r="M6" s="1325" t="n">
        <f t="shared" si="0"/>
        <v>56.412999999999997</v>
      </c>
      <c r="N6" s="1325" t="n">
        <f t="shared" ref="N6:N15" si="10">AK6</f>
        <v>5.0999999999999996</v>
      </c>
      <c r="O6" s="1353" t="n">
        <v>55</v>
      </c>
      <c r="P6" s="1346" t="n">
        <v>15.61</v>
      </c>
      <c r="Q6" s="1347" t="n">
        <v>17.465</v>
      </c>
      <c r="R6" s="1355" t="n">
        <v>0.317</v>
      </c>
      <c r="S6" s="1355" t="n">
        <v>3.7919999999999998</v>
      </c>
      <c r="T6" s="1347" t="n">
        <v>2.5950000000000002</v>
      </c>
      <c r="U6" s="1345" t="n">
        <v>14.5</v>
      </c>
      <c r="V6" s="1347" t="n">
        <v>25.070999999999998</v>
      </c>
      <c r="W6" s="1318" t="n">
        <v>1.952</v>
      </c>
      <c r="X6" s="1318" t="n">
        <v>0.61399999999999999</v>
      </c>
      <c r="Y6" s="1345" t="n">
        <v>0</v>
      </c>
      <c r="Z6" s="1345" t="n">
        <v>2.2999999999999998</v>
      </c>
      <c r="AA6" s="1345" t="n">
        <v>1.6</v>
      </c>
      <c r="AB6" s="1345" t="n">
        <v>6.2</v>
      </c>
      <c r="AC6" s="1347" t="n">
        <v>0</v>
      </c>
      <c r="AD6" s="1347" t="n">
        <v>1.31</v>
      </c>
      <c r="AE6" s="1347" t="n">
        <v>8.61</v>
      </c>
      <c r="AF6" s="1347" t="n">
        <v>0.7</v>
      </c>
      <c r="AG6" s="1355" t="n">
        <v>7.782</v>
      </c>
      <c r="AH6" s="1347" t="n">
        <v>0.12</v>
      </c>
      <c r="AI6" s="1347" t="n">
        <v>4.7E-2</v>
      </c>
      <c r="AJ6" s="1347" t="n">
        <v>77.092500000000001</v>
      </c>
      <c r="AK6" s="1345" t="n">
        <v>5.0999999999999996</v>
      </c>
      <c r="AL6" s="1345" t="n">
        <v>46.79</v>
      </c>
      <c r="AM6" s="1309" t="n">
        <v>0.30499999999999999</v>
      </c>
      <c r="AN6" s="1345" t="n">
        <v>4.3</v>
      </c>
      <c r="AO6" s="1318" t="n">
        <v>1.1000000000000001</v>
      </c>
      <c r="AP6" s="1345" t="n">
        <v>1.575</v>
      </c>
      <c r="AQ6" s="1357" t="n">
        <v>10</v>
      </c>
      <c r="AR6" s="1345" t="n">
        <v>4.5</v>
      </c>
      <c r="AS6" s="1345" t="n">
        <v>1.9810000000000001</v>
      </c>
      <c r="AT6" s="1347" t="n">
        <v>11.91</v>
      </c>
      <c r="AU6" s="1347" t="n">
        <v>0</v>
      </c>
      <c r="AV6" s="1345" t="n">
        <v>3.927</v>
      </c>
      <c r="AW6" s="1345" t="n">
        <v>4.2880000000000003</v>
      </c>
      <c r="AX6" s="1345" t="n">
        <v>3.7</v>
      </c>
      <c r="AY6" s="1347" t="n">
        <v>-1.34</v>
      </c>
      <c r="AZ6" s="1345" t="n">
        <v>45.838000000000001</v>
      </c>
      <c r="BA6" s="1347" t="n">
        <v>0</v>
      </c>
      <c r="BB6" s="1345" t="n">
        <v>11.3</v>
      </c>
      <c r="BC6" s="1345" t="n">
        <v>0</v>
      </c>
      <c r="BD6" s="1345" t="n">
        <v>1.1000000000000001</v>
      </c>
      <c r="BE6" s="1355" t="n">
        <v>1.75</v>
      </c>
      <c r="BF6" s="1318" t="n">
        <v>1.7330000000000001</v>
      </c>
      <c r="BG6" s="1318" t="n">
        <v>7.1440000000000001</v>
      </c>
      <c r="BH6" s="1310" t="n">
        <v>81.608999999999995</v>
      </c>
      <c r="BI6" s="1345" t="n">
        <v>5.6120000000000001</v>
      </c>
      <c r="BJ6" s="1334" t="n">
        <v>4.2</v>
      </c>
    </row>
    <row r="7">
      <c r="A7" s="1323" t="n">
        <v>2023</v>
      </c>
      <c r="B7" s="1325" t="n">
        <f t="shared" si="1"/>
        <v>0.48599999999999999</v>
      </c>
      <c r="C7" s="1325" t="n">
        <f t="shared" si="2"/>
        <v>0</v>
      </c>
      <c r="D7" s="1325" t="n">
        <f t="shared" si="3"/>
        <v>0.93700000000000006</v>
      </c>
      <c r="E7" s="1325" t="n">
        <f t="shared" si="4"/>
        <v>1.4159999999999999</v>
      </c>
      <c r="F7" s="1325" t="n">
        <f t="shared" ref="F7:F15" si="11">SUM(T7:AF7)-C7-L7-D7</f>
        <v>12</v>
      </c>
      <c r="G7" s="1325" t="n">
        <f t="shared" si="5"/>
        <v>12.726000000000001</v>
      </c>
      <c r="H7" s="1325" t="n">
        <f t="shared" si="6"/>
        <v>4.7519999999999998</v>
      </c>
      <c r="I7" s="1325" t="n">
        <f t="shared" si="7"/>
        <v>1</v>
      </c>
      <c r="J7" s="1325" t="n">
        <f t="shared" si="8"/>
        <v>38.595999999999997</v>
      </c>
      <c r="K7" s="1325" t="n">
        <f t="shared" si="9"/>
        <v>24.216000000000001</v>
      </c>
      <c r="L7" s="1329" t="n">
        <v>0</v>
      </c>
      <c r="M7" s="1325" t="n">
        <f t="shared" si="0"/>
        <v>15.652999999999999</v>
      </c>
      <c r="N7" s="1325" t="n">
        <f t="shared" si="10"/>
        <v>0</v>
      </c>
      <c r="O7" s="1353" t="n">
        <v>0.7</v>
      </c>
      <c r="P7" s="1346" t="n">
        <v>0.96</v>
      </c>
      <c r="Q7" s="1347" t="n">
        <v>0.48599999999999999</v>
      </c>
      <c r="R7" s="1355" t="n">
        <v>0.45600000000000002</v>
      </c>
      <c r="S7" s="1347" t="n">
        <v>0</v>
      </c>
      <c r="T7" s="1311" t="n">
        <v>0.93700000000000006</v>
      </c>
      <c r="U7" s="1345" t="n">
        <v>3</v>
      </c>
      <c r="V7" s="1355" t="n">
        <v>7.891</v>
      </c>
      <c r="W7" s="1318" t="n">
        <v>0.61699999999999999</v>
      </c>
      <c r="X7" s="1318" t="n">
        <v>8.4000000000000005E-2</v>
      </c>
      <c r="Y7" s="1345" t="n">
        <v>0</v>
      </c>
      <c r="Z7" s="1345" t="n">
        <v>0</v>
      </c>
      <c r="AA7" s="1345" t="n">
        <v>0</v>
      </c>
      <c r="AB7" s="1345" t="n">
        <v>0</v>
      </c>
      <c r="AC7" s="1347" t="n">
        <v>0</v>
      </c>
      <c r="AD7" s="1347" t="n">
        <v>0.318</v>
      </c>
      <c r="AE7" s="1355" t="n">
        <v>-0.11000000000000001</v>
      </c>
      <c r="AF7" s="1347" t="n">
        <v>0.2</v>
      </c>
      <c r="AG7" s="1355" t="n">
        <v>4.6749999999999998</v>
      </c>
      <c r="AH7" s="1347" t="n">
        <v>0.06</v>
      </c>
      <c r="AI7" s="1347" t="n">
        <v>1.7000000000000001E-2</v>
      </c>
      <c r="AJ7" s="1347" t="n">
        <v>1</v>
      </c>
      <c r="AK7" s="1345" t="n">
        <v>0</v>
      </c>
      <c r="AL7" s="1345" t="n">
        <v>38.595999999999997</v>
      </c>
      <c r="AM7" s="1347" t="n">
        <v>0.14899999999999999</v>
      </c>
      <c r="AN7" s="1345" t="n">
        <v>1.2</v>
      </c>
      <c r="AO7" s="1318" t="n">
        <v>0.53</v>
      </c>
      <c r="AP7" s="1345" t="n">
        <v>0.38100000000000001</v>
      </c>
      <c r="AQ7" s="1357" t="n">
        <v>8</v>
      </c>
      <c r="AR7" s="1345" t="n">
        <v>4.5</v>
      </c>
      <c r="AS7" s="1345" t="n">
        <v>0.76600000000000001</v>
      </c>
      <c r="AT7" s="1347" t="n">
        <v>8.69</v>
      </c>
      <c r="AU7" s="1347" t="n">
        <v>0</v>
      </c>
      <c r="AV7" s="1345" t="n">
        <v>1.93</v>
      </c>
      <c r="AW7" s="1345" t="n">
        <v>1.4379999999999999</v>
      </c>
      <c r="AX7" s="1345" t="n">
        <v>2.6</v>
      </c>
      <c r="AY7" s="1318" t="n">
        <v>-2.48</v>
      </c>
      <c r="AZ7" s="1345" t="n">
        <v>12.164999999999999</v>
      </c>
      <c r="BA7" s="1318" t="n">
        <v>0</v>
      </c>
      <c r="BB7" s="1345" t="n">
        <v>8.4</v>
      </c>
      <c r="BC7" s="1345" t="n">
        <v>0</v>
      </c>
      <c r="BD7" s="1345" t="n">
        <v>0.3</v>
      </c>
      <c r="BE7" s="1355" t="n">
        <v>1.8</v>
      </c>
      <c r="BF7" s="1318" t="n">
        <v>0</v>
      </c>
      <c r="BG7" s="1318" t="n">
        <v>0</v>
      </c>
      <c r="BH7" s="1309" t="n">
        <v>1.3759999999999999</v>
      </c>
      <c r="BI7" s="1345" t="n">
        <v>0.85</v>
      </c>
      <c r="BJ7" s="1334" t="n">
        <v>2.7</v>
      </c>
    </row>
    <row r="8">
      <c r="A8" s="1323" t="n">
        <v>2024</v>
      </c>
      <c r="B8" s="1325" t="n">
        <f t="shared" si="1"/>
        <v>0</v>
      </c>
      <c r="C8" s="1325" t="n">
        <f t="shared" si="2"/>
        <v>0</v>
      </c>
      <c r="D8" s="1325" t="n">
        <f t="shared" si="3"/>
        <v>0.16</v>
      </c>
      <c r="E8" s="1325" t="n">
        <f t="shared" si="4"/>
        <v>1.4790000000000001</v>
      </c>
      <c r="F8" s="1325" t="n">
        <f t="shared" si="11"/>
        <v>4.2219999999999995</v>
      </c>
      <c r="G8" s="1325" t="n">
        <f t="shared" si="5"/>
        <v>1.365</v>
      </c>
      <c r="H8" s="1325" t="n">
        <f t="shared" si="6"/>
        <v>4.637999999999999</v>
      </c>
      <c r="I8" s="1325" t="n">
        <f t="shared" si="7"/>
        <v>0</v>
      </c>
      <c r="J8" s="1325" t="n">
        <f t="shared" si="8"/>
        <v>31.911000000000001</v>
      </c>
      <c r="K8" s="1325" t="n">
        <f t="shared" si="9"/>
        <v>9.6430000000000007</v>
      </c>
      <c r="L8" s="1329" t="n">
        <v>0</v>
      </c>
      <c r="M8" s="1325" t="n">
        <f t="shared" si="0"/>
        <v>3.9320000000000004</v>
      </c>
      <c r="N8" s="1325" t="n">
        <f t="shared" si="10"/>
        <v>0</v>
      </c>
      <c r="O8" s="1353" t="n">
        <v>0.7</v>
      </c>
      <c r="P8" s="1346" t="n">
        <v>0.96</v>
      </c>
      <c r="Q8" s="1345" t="n">
        <v>0</v>
      </c>
      <c r="R8" s="1355" t="n">
        <v>0.51900000000000002</v>
      </c>
      <c r="S8" s="1347" t="n">
        <v>0</v>
      </c>
      <c r="T8" s="1312" t="n">
        <v>0.16</v>
      </c>
      <c r="U8" s="1345" t="n">
        <v>2.8</v>
      </c>
      <c r="V8" s="1347" t="n">
        <v>0.504</v>
      </c>
      <c r="W8" s="1318" t="n">
        <v>0.47199999999999998</v>
      </c>
      <c r="X8" s="1318" t="n">
        <v>2E-3</v>
      </c>
      <c r="Y8" s="1345" t="n">
        <v>0</v>
      </c>
      <c r="Z8" s="1345" t="n">
        <v>0</v>
      </c>
      <c r="AA8" s="1345" t="n">
        <v>0</v>
      </c>
      <c r="AB8" s="1345" t="n">
        <v>0</v>
      </c>
      <c r="AC8" s="1347" t="n">
        <v>0</v>
      </c>
      <c r="AD8" s="1347" t="n">
        <v>0.34399999999999997</v>
      </c>
      <c r="AE8" s="1355" t="n">
        <v>0</v>
      </c>
      <c r="AF8" s="1355" t="n">
        <v>0.1</v>
      </c>
      <c r="AG8" s="1355" t="n">
        <v>4.5739999999999998</v>
      </c>
      <c r="AH8" s="1347" t="n">
        <v>0.06</v>
      </c>
      <c r="AI8" s="1347" t="n">
        <v>4.0000000000000001E-3</v>
      </c>
      <c r="AJ8" s="1347" t="n">
        <v>0</v>
      </c>
      <c r="AK8" s="1345" t="n">
        <v>0</v>
      </c>
      <c r="AL8" s="1345" t="n">
        <v>31.911000000000001</v>
      </c>
      <c r="AM8" s="1347" t="n">
        <v>4.1000000000000002E-2</v>
      </c>
      <c r="AN8" s="1345" t="n">
        <v>0.4</v>
      </c>
      <c r="AO8" s="1318" t="n">
        <v>0.41</v>
      </c>
      <c r="AP8" s="1345" t="n">
        <v>0.13100000000000001</v>
      </c>
      <c r="AQ8" s="1357" t="n">
        <v>0</v>
      </c>
      <c r="AR8" s="1345" t="n">
        <v>3</v>
      </c>
      <c r="AS8" s="1345" t="n">
        <v>0.30099999999999999</v>
      </c>
      <c r="AT8" s="1318" t="n">
        <v>5.36</v>
      </c>
      <c r="AU8" s="1347" t="n">
        <v>0</v>
      </c>
      <c r="AV8" s="1345" t="n">
        <v>0.79600000000000004</v>
      </c>
      <c r="AW8" s="1345" t="n">
        <v>0.27500000000000002</v>
      </c>
      <c r="AX8" s="1345" t="n">
        <v>1</v>
      </c>
      <c r="AY8" s="1318" t="n">
        <v>-2.6</v>
      </c>
      <c r="AZ8" s="1345" t="n">
        <v>4.4610000000000003</v>
      </c>
      <c r="BA8" s="1318" t="n">
        <v>0</v>
      </c>
      <c r="BB8" s="1345" t="n">
        <v>0.2</v>
      </c>
      <c r="BC8" s="1345" t="n">
        <v>0</v>
      </c>
      <c r="BD8" s="1345" t="n">
        <v>0</v>
      </c>
      <c r="BE8" s="1355" t="n">
        <v>1.95</v>
      </c>
      <c r="BF8" s="1318" t="n">
        <v>0</v>
      </c>
      <c r="BG8" s="1318" t="n">
        <v>0</v>
      </c>
      <c r="BH8" s="1309" t="n">
        <v>-0.875</v>
      </c>
      <c r="BI8" s="1345" t="n">
        <v>0.09</v>
      </c>
      <c r="BJ8" s="1335" t="n">
        <v>0.87</v>
      </c>
    </row>
    <row r="9">
      <c r="A9" s="1323" t="n">
        <v>2025</v>
      </c>
      <c r="B9" s="1325" t="n">
        <f t="shared" si="1"/>
        <v>0</v>
      </c>
      <c r="C9" s="1325" t="n">
        <f t="shared" si="2"/>
        <v>0</v>
      </c>
      <c r="D9" s="1325" t="n">
        <f t="shared" si="3"/>
        <v>3.3000000000000002E-2</v>
      </c>
      <c r="E9" s="1325" t="n">
        <f t="shared" si="4"/>
        <v>1.63</v>
      </c>
      <c r="F9" s="1325" t="n">
        <f t="shared" si="11"/>
        <v>2.3719999999999999</v>
      </c>
      <c r="G9" s="1325" t="n">
        <f t="shared" si="5"/>
        <v>-0.90100000000000025</v>
      </c>
      <c r="H9" s="1325" t="n">
        <f t="shared" si="6"/>
        <v>1.8800000000000001</v>
      </c>
      <c r="I9" s="1325" t="n">
        <f t="shared" si="7"/>
        <v>0</v>
      </c>
      <c r="J9" s="1325" t="n">
        <f t="shared" si="8"/>
        <v>23.099</v>
      </c>
      <c r="K9" s="1325" t="n">
        <f t="shared" si="9"/>
        <v>4.5789999999999997</v>
      </c>
      <c r="L9" s="1329" t="n">
        <v>0</v>
      </c>
      <c r="M9" s="1325" t="n">
        <f t="shared" si="0"/>
        <v>-0.74299999999999988</v>
      </c>
      <c r="N9" s="1325" t="n">
        <f t="shared" si="10"/>
        <v>0</v>
      </c>
      <c r="O9" s="1353" t="n">
        <v>0.7</v>
      </c>
      <c r="P9" s="1346" t="n">
        <v>1.06</v>
      </c>
      <c r="Q9" s="1345" t="n">
        <v>0</v>
      </c>
      <c r="R9" s="1355" t="n">
        <v>0.56999999999999995</v>
      </c>
      <c r="S9" s="1347" t="n">
        <v>0</v>
      </c>
      <c r="T9" s="1313" t="n">
        <v>3.3000000000000002E-2</v>
      </c>
      <c r="U9" s="1345" t="n">
        <v>2</v>
      </c>
      <c r="V9" s="1313" t="n">
        <v>0</v>
      </c>
      <c r="W9" s="1318" t="n">
        <v>0.21299999999999999</v>
      </c>
      <c r="X9" s="1318" t="n">
        <v>2E-3</v>
      </c>
      <c r="Y9" s="1345" t="n">
        <v>0</v>
      </c>
      <c r="Z9" s="1345" t="n">
        <v>0</v>
      </c>
      <c r="AA9" s="1345" t="n">
        <v>0</v>
      </c>
      <c r="AB9" s="1345" t="n">
        <v>0</v>
      </c>
      <c r="AC9" s="1347" t="n">
        <v>0</v>
      </c>
      <c r="AD9" s="1347" t="n">
        <v>0.157</v>
      </c>
      <c r="AE9" s="1355" t="n">
        <v>0</v>
      </c>
      <c r="AF9" s="1355" t="n">
        <v>0</v>
      </c>
      <c r="AG9" s="1347" t="n">
        <v>1.81</v>
      </c>
      <c r="AH9" s="1347" t="n">
        <v>7.0000000000000007E-2</v>
      </c>
      <c r="AI9" s="1347" t="n">
        <v>0</v>
      </c>
      <c r="AJ9" s="1345" t="n">
        <v>0</v>
      </c>
      <c r="AK9" s="1345" t="n">
        <v>0</v>
      </c>
      <c r="AL9" s="1345" t="n">
        <v>23.099</v>
      </c>
      <c r="AM9" s="1347" t="n">
        <v>1.2999999999999999E-2</v>
      </c>
      <c r="AN9" s="1345" t="n">
        <v>0.3</v>
      </c>
      <c r="AO9" s="1343" t="n">
        <v>0.15</v>
      </c>
      <c r="AP9" s="1345" t="n">
        <v>0.112</v>
      </c>
      <c r="AQ9" s="1357" t="n">
        <v>0</v>
      </c>
      <c r="AR9" s="1345" t="n">
        <v>0.2</v>
      </c>
      <c r="AS9" s="1345" t="n">
        <v>7.3999999999999996E-2</v>
      </c>
      <c r="AT9" s="1318" t="n">
        <v>3.73</v>
      </c>
      <c r="AU9" s="1347" t="n">
        <v>0</v>
      </c>
      <c r="AV9" s="1345" t="n">
        <v>5.3999999999999999E-2</v>
      </c>
      <c r="AW9" s="1345" t="n">
        <v>0.13100000000000001</v>
      </c>
      <c r="AX9" s="1345" t="n">
        <v>0</v>
      </c>
      <c r="AY9" s="1318" t="n">
        <v>-2.71</v>
      </c>
      <c r="AZ9" s="1345" t="n">
        <v>1.782</v>
      </c>
      <c r="BA9" s="1318" t="n">
        <v>0</v>
      </c>
      <c r="BB9" s="1345" t="n">
        <v>0</v>
      </c>
      <c r="BC9" s="1345" t="n">
        <v>0</v>
      </c>
      <c r="BD9" s="1345" t="n">
        <v>0</v>
      </c>
      <c r="BE9" s="1355" t="n">
        <v>1.43</v>
      </c>
      <c r="BF9" s="1318" t="n">
        <v>0</v>
      </c>
      <c r="BG9" s="1318" t="n">
        <v>0</v>
      </c>
      <c r="BH9" s="1309" t="n">
        <v>-2.3410000000000002</v>
      </c>
      <c r="BI9" s="1345" t="n">
        <v>0.01</v>
      </c>
      <c r="BJ9" s="1335" t="n">
        <v>0.33</v>
      </c>
    </row>
    <row r="10">
      <c r="A10" s="1323" t="n">
        <v>2026</v>
      </c>
      <c r="B10" s="1325" t="n">
        <f t="shared" si="1"/>
        <v>0</v>
      </c>
      <c r="C10" s="1325" t="n">
        <f t="shared" si="2"/>
        <v>0</v>
      </c>
      <c r="D10" s="1325" t="n">
        <f t="shared" si="3"/>
        <v>3.2000000000000001E-2</v>
      </c>
      <c r="E10" s="1325" t="n">
        <f t="shared" si="4"/>
        <v>1.671</v>
      </c>
      <c r="F10" s="1325" t="n">
        <f t="shared" si="11"/>
        <v>0.49</v>
      </c>
      <c r="G10" s="1325" t="n">
        <f t="shared" si="5"/>
        <v>-2.1500000000000004</v>
      </c>
      <c r="H10" s="1325" t="n">
        <f t="shared" si="6"/>
        <v>1.446</v>
      </c>
      <c r="I10" s="1325" t="n">
        <f t="shared" si="7"/>
        <v>0</v>
      </c>
      <c r="J10" s="1325" t="n">
        <f t="shared" si="8"/>
        <v>10.766999999999999</v>
      </c>
      <c r="K10" s="1325" t="n">
        <f t="shared" si="9"/>
        <v>2.9130000000000003</v>
      </c>
      <c r="L10" s="1329"/>
      <c r="M10" s="1325" t="n">
        <f t="shared" si="0"/>
        <v>-21.606000000000002</v>
      </c>
      <c r="N10" s="1325" t="n">
        <f t="shared" si="10"/>
        <v>0</v>
      </c>
      <c r="O10" s="1353" t="n">
        <v>0.7</v>
      </c>
      <c r="P10" s="1346" t="n">
        <v>1.07</v>
      </c>
      <c r="Q10" s="1345" t="n">
        <v>0</v>
      </c>
      <c r="R10" s="1355" t="n">
        <v>0.60099999999999998</v>
      </c>
      <c r="S10" s="1347" t="n">
        <v>0</v>
      </c>
      <c r="T10" s="1309" t="n">
        <v>3.2000000000000001E-2</v>
      </c>
      <c r="U10" s="1345" t="n">
        <v>0.3</v>
      </c>
      <c r="V10" s="1355" t="n">
        <v>0</v>
      </c>
      <c r="W10" s="1318" t="n">
        <v>0.188</v>
      </c>
      <c r="X10" s="1318" t="n">
        <v>2E-3</v>
      </c>
      <c r="Y10" s="1345" t="n">
        <v>0</v>
      </c>
      <c r="Z10" s="1345" t="n">
        <v>0</v>
      </c>
      <c r="AA10" s="1345" t="n">
        <v>0</v>
      </c>
      <c r="AB10" s="1345" t="n">
        <v>0</v>
      </c>
      <c r="AC10" s="1347" t="n">
        <v>0</v>
      </c>
      <c r="AD10" s="1347" t="n">
        <v>0</v>
      </c>
      <c r="AE10" s="1347" t="n">
        <v>0</v>
      </c>
      <c r="AF10" s="1355" t="n">
        <v>0</v>
      </c>
      <c r="AG10" s="1347" t="n">
        <v>1.3759999999999999</v>
      </c>
      <c r="AH10" s="1347" t="n">
        <v>7.0000000000000007E-2</v>
      </c>
      <c r="AI10" s="1347" t="n">
        <v>0</v>
      </c>
      <c r="AJ10" s="1314" t="n">
        <v>0</v>
      </c>
      <c r="AK10" s="1345" t="n">
        <v>0</v>
      </c>
      <c r="AL10" s="1345" t="n">
        <v>10.766999999999999</v>
      </c>
      <c r="AM10" s="1347" t="n">
        <v>3.0000000000000001E-3</v>
      </c>
      <c r="AN10" s="1345" t="n">
        <v>0.2</v>
      </c>
      <c r="AO10" s="1343" t="n">
        <v>0.1</v>
      </c>
      <c r="AP10" s="1345" t="n">
        <v>0.05</v>
      </c>
      <c r="AQ10" s="1357" t="n">
        <v>0</v>
      </c>
      <c r="AR10" s="1345" t="n">
        <v>0</v>
      </c>
      <c r="AS10" s="1345" t="n">
        <v>0</v>
      </c>
      <c r="AT10" s="1318" t="n">
        <v>2.56</v>
      </c>
      <c r="AU10" s="1347" t="n">
        <v>0</v>
      </c>
      <c r="AV10" s="1345" t="n">
        <v>3.7999999999999999E-2</v>
      </c>
      <c r="AW10" s="1345" t="n">
        <v>2.5999999999999999E-2</v>
      </c>
      <c r="AX10" s="1345" t="n">
        <v>0</v>
      </c>
      <c r="AY10" s="1318" t="n">
        <v>-2.6700000000000004</v>
      </c>
      <c r="AZ10" s="1345" t="n">
        <v>0</v>
      </c>
      <c r="BA10" s="1318" t="n">
        <v>-19</v>
      </c>
      <c r="BB10" s="1345" t="n">
        <v>0</v>
      </c>
      <c r="BC10" s="1345" t="n">
        <v>0</v>
      </c>
      <c r="BD10" s="1345" t="n">
        <v>0</v>
      </c>
      <c r="BE10" s="1318" t="n">
        <v>0.88</v>
      </c>
      <c r="BF10" s="1318" t="n">
        <v>0</v>
      </c>
      <c r="BG10" s="1318" t="n">
        <v>0</v>
      </c>
      <c r="BH10" s="1347" t="n">
        <v>-2.8200000000000003</v>
      </c>
      <c r="BI10" s="1345" t="n">
        <v>-0.21</v>
      </c>
      <c r="BJ10" s="1335" t="n">
        <v>0.17</v>
      </c>
    </row>
    <row r="11">
      <c r="A11" s="1323" t="n">
        <v>2027</v>
      </c>
      <c r="B11" s="1325" t="n">
        <f t="shared" si="1"/>
        <v>0</v>
      </c>
      <c r="C11" s="1325" t="n">
        <f t="shared" si="2"/>
        <v>0</v>
      </c>
      <c r="D11" s="1325" t="n">
        <f t="shared" si="3"/>
        <v>3.2000000000000001E-2</v>
      </c>
      <c r="E11" s="1325" t="n">
        <f t="shared" si="4"/>
        <v>1.7130000000000001</v>
      </c>
      <c r="F11" s="1325" t="n">
        <f t="shared" si="11"/>
        <v>0</v>
      </c>
      <c r="G11" s="1325" t="n">
        <f t="shared" si="5"/>
        <v>-4.8169999999999993</v>
      </c>
      <c r="H11" s="1325" t="n">
        <f t="shared" si="6"/>
        <v>0.65699999999999992</v>
      </c>
      <c r="I11" s="1325" t="n">
        <f t="shared" si="7"/>
        <v>0</v>
      </c>
      <c r="J11" s="1325" t="n">
        <f t="shared" si="8"/>
        <v>4.0789999999999997</v>
      </c>
      <c r="K11" s="1325" t="n">
        <f t="shared" si="9"/>
        <v>2.46</v>
      </c>
      <c r="L11" s="1329"/>
      <c r="M11" s="1325" t="n">
        <f t="shared" si="0"/>
        <v>-14.713000000000001</v>
      </c>
      <c r="N11" s="1325" t="n">
        <f t="shared" si="10"/>
        <v>0</v>
      </c>
      <c r="O11" s="1353" t="n">
        <v>0.3</v>
      </c>
      <c r="P11" s="1346" t="n">
        <v>1.08</v>
      </c>
      <c r="Q11" s="1345" t="n">
        <v>0</v>
      </c>
      <c r="R11" s="1355" t="n">
        <v>0.63300000000000001</v>
      </c>
      <c r="S11" s="1312" t="n">
        <v>0</v>
      </c>
      <c r="T11" s="1345" t="n">
        <v>3.2000000000000001E-2</v>
      </c>
      <c r="U11" s="1345" t="n">
        <v>0</v>
      </c>
      <c r="V11" s="1347" t="n">
        <v>0</v>
      </c>
      <c r="W11" s="1318" t="n">
        <v>0</v>
      </c>
      <c r="X11" s="1318" t="n">
        <v>0</v>
      </c>
      <c r="Y11" s="1345" t="n">
        <v>0</v>
      </c>
      <c r="Z11" s="1345" t="n">
        <v>0</v>
      </c>
      <c r="AA11" s="1345" t="n">
        <v>0</v>
      </c>
      <c r="AB11" s="1345" t="n">
        <v>0</v>
      </c>
      <c r="AC11" s="1347" t="n">
        <v>0</v>
      </c>
      <c r="AD11" s="1355" t="n">
        <v>0</v>
      </c>
      <c r="AE11" s="1347" t="n">
        <v>0</v>
      </c>
      <c r="AF11" s="1355" t="n">
        <v>0</v>
      </c>
      <c r="AG11" s="1347" t="n">
        <v>0.57699999999999996</v>
      </c>
      <c r="AH11" s="1347" t="n">
        <v>0.08</v>
      </c>
      <c r="AI11" s="1347" t="n">
        <v>0</v>
      </c>
      <c r="AJ11" s="1347" t="n">
        <v>0</v>
      </c>
      <c r="AK11" s="1345" t="n">
        <v>0</v>
      </c>
      <c r="AL11" s="1345" t="n">
        <v>4.0789999999999997</v>
      </c>
      <c r="AM11" s="1345" t="n">
        <v>0</v>
      </c>
      <c r="AN11" s="1345" t="n">
        <v>0.1</v>
      </c>
      <c r="AO11" s="1343" t="n">
        <v>0.1</v>
      </c>
      <c r="AP11" s="1345" t="n">
        <v>0.03</v>
      </c>
      <c r="AQ11" s="1357" t="n">
        <v>0</v>
      </c>
      <c r="AR11" s="1345" t="n">
        <v>0</v>
      </c>
      <c r="AS11" s="1345" t="n">
        <v>0</v>
      </c>
      <c r="AT11" s="1343" t="n">
        <v>2.23</v>
      </c>
      <c r="AU11" s="1347" t="n">
        <v>0</v>
      </c>
      <c r="AV11" s="1345" t="n">
        <v>1.7000000000000001E-2</v>
      </c>
      <c r="AW11" s="1345" t="n">
        <v>0</v>
      </c>
      <c r="AX11" s="1345" t="n">
        <v>0</v>
      </c>
      <c r="AY11" s="1318" t="n">
        <v>-2.73</v>
      </c>
      <c r="AZ11" s="1345" t="n">
        <v>0</v>
      </c>
      <c r="BA11" s="1318" t="n">
        <v>-12</v>
      </c>
      <c r="BB11" s="1345" t="n">
        <v>0</v>
      </c>
      <c r="BC11" s="1345" t="n">
        <v>0</v>
      </c>
      <c r="BD11" s="1345" t="n">
        <v>0</v>
      </c>
      <c r="BE11" s="1318" t="n">
        <v>0.28000000000000003</v>
      </c>
      <c r="BF11" s="1318" t="n">
        <v>0</v>
      </c>
      <c r="BG11" s="1318" t="n">
        <v>0</v>
      </c>
      <c r="BH11" s="1313" t="n">
        <v>-5.0069999999999997</v>
      </c>
      <c r="BI11" s="1345" t="n">
        <v>-0.09</v>
      </c>
      <c r="BJ11" s="1336" t="n">
        <v>0.06</v>
      </c>
    </row>
    <row r="12">
      <c r="A12" s="1323" t="n">
        <v>2028</v>
      </c>
      <c r="B12" s="1325" t="n">
        <f t="shared" si="1"/>
        <v>0</v>
      </c>
      <c r="C12" s="1325" t="n">
        <f t="shared" si="2"/>
        <v>0</v>
      </c>
      <c r="D12" s="1325" t="n">
        <f t="shared" si="3"/>
        <v>3.3000000000000002E-2</v>
      </c>
      <c r="E12" s="1325" t="n">
        <f t="shared" si="4"/>
        <v>1.7130000000000001</v>
      </c>
      <c r="F12" s="1325" t="n">
        <f t="shared" si="11"/>
        <v>0</v>
      </c>
      <c r="G12" s="1325" t="n">
        <f t="shared" si="5"/>
        <v>-5.0590000000000002</v>
      </c>
      <c r="H12" s="1325" t="n">
        <f t="shared" si="6"/>
        <v>-1.071</v>
      </c>
      <c r="I12" s="1325" t="n">
        <f t="shared" si="7"/>
        <v>0</v>
      </c>
      <c r="J12" s="1325" t="n">
        <f t="shared" si="8"/>
        <v>1.635</v>
      </c>
      <c r="K12" s="1325" t="n">
        <f t="shared" si="9"/>
        <v>1.81</v>
      </c>
      <c r="L12" s="1329"/>
      <c r="M12" s="1325" t="n">
        <f t="shared" si="0"/>
        <v>-2.7690000000000001</v>
      </c>
      <c r="N12" s="1325" t="n">
        <f t="shared" si="10"/>
        <v>0</v>
      </c>
      <c r="O12" s="1353" t="n">
        <v>0.3</v>
      </c>
      <c r="P12" s="1346" t="n">
        <v>1.08</v>
      </c>
      <c r="Q12" s="1345" t="n">
        <v>0</v>
      </c>
      <c r="R12" s="1355" t="n">
        <v>0.63300000000000001</v>
      </c>
      <c r="S12" s="1312" t="n">
        <v>0</v>
      </c>
      <c r="T12" s="1315" t="n">
        <v>3.3000000000000002E-2</v>
      </c>
      <c r="U12" s="1345" t="n">
        <v>0</v>
      </c>
      <c r="V12" s="1347" t="n">
        <v>0</v>
      </c>
      <c r="W12" s="1318" t="n">
        <v>0</v>
      </c>
      <c r="X12" s="1318" t="n">
        <v>0</v>
      </c>
      <c r="Y12" s="1345" t="n">
        <v>0</v>
      </c>
      <c r="Z12" s="1345" t="n">
        <v>0</v>
      </c>
      <c r="AA12" s="1345" t="n">
        <v>0</v>
      </c>
      <c r="AB12" s="1345" t="n">
        <v>0</v>
      </c>
      <c r="AC12" s="1347" t="n">
        <v>0</v>
      </c>
      <c r="AD12" s="1347" t="n">
        <v>0</v>
      </c>
      <c r="AE12" s="1347" t="n">
        <v>0</v>
      </c>
      <c r="AF12" s="1347" t="n">
        <v>0</v>
      </c>
      <c r="AG12" s="1347" t="n">
        <v>-1.151</v>
      </c>
      <c r="AH12" s="1347" t="n">
        <v>0.08</v>
      </c>
      <c r="AI12" s="1347" t="n">
        <v>0</v>
      </c>
      <c r="AJ12" s="1347" t="n">
        <v>0</v>
      </c>
      <c r="AK12" s="1345" t="n">
        <v>0</v>
      </c>
      <c r="AL12" s="1345" t="n">
        <v>1.635</v>
      </c>
      <c r="AM12" s="1345" t="n">
        <v>0</v>
      </c>
      <c r="AN12" s="1345" t="n">
        <v>0.1</v>
      </c>
      <c r="AO12" s="1318" t="n">
        <v>0</v>
      </c>
      <c r="AP12" s="1345" t="n">
        <v>0</v>
      </c>
      <c r="AQ12" s="1357" t="n">
        <v>0</v>
      </c>
      <c r="AR12" s="1345" t="n">
        <v>0</v>
      </c>
      <c r="AS12" s="1345" t="n">
        <v>0</v>
      </c>
      <c r="AT12" s="1343" t="n">
        <v>1.71</v>
      </c>
      <c r="AU12" s="1347" t="n">
        <v>0</v>
      </c>
      <c r="AV12" s="1345" t="n">
        <v>1E-3</v>
      </c>
      <c r="AW12" s="1345" t="n">
        <v>0</v>
      </c>
      <c r="AX12" s="1345" t="n">
        <v>0</v>
      </c>
      <c r="AY12" s="1318" t="n">
        <v>-2.77</v>
      </c>
      <c r="AZ12" s="1345" t="n">
        <v>0</v>
      </c>
      <c r="BA12" s="1318" t="n">
        <v>0</v>
      </c>
      <c r="BB12" s="1345" t="n">
        <v>0</v>
      </c>
      <c r="BC12" s="1345" t="n">
        <v>0</v>
      </c>
      <c r="BD12" s="1345" t="n">
        <v>0</v>
      </c>
      <c r="BE12" s="1318" t="n">
        <v>0.1</v>
      </c>
      <c r="BF12" s="1318" t="n">
        <v>0</v>
      </c>
      <c r="BG12" s="1318" t="n">
        <v>0</v>
      </c>
      <c r="BH12" s="1313" t="n">
        <v>-5.069</v>
      </c>
      <c r="BI12" s="1345" t="n">
        <v>-0.09</v>
      </c>
      <c r="BJ12" s="1336" t="n">
        <v>0.03</v>
      </c>
    </row>
    <row r="13">
      <c r="A13" s="1323" t="n">
        <v>2029</v>
      </c>
      <c r="B13" s="1325" t="n">
        <f t="shared" si="1"/>
        <v>0</v>
      </c>
      <c r="C13" s="1325" t="n">
        <f t="shared" si="2"/>
        <v>0</v>
      </c>
      <c r="D13" s="1325" t="n">
        <f t="shared" si="3"/>
        <v>3.3000000000000002E-2</v>
      </c>
      <c r="E13" s="1325" t="n">
        <f t="shared" si="4"/>
        <v>1.7130000000000001</v>
      </c>
      <c r="F13" s="1325" t="n">
        <f t="shared" si="11"/>
        <v>0</v>
      </c>
      <c r="G13" s="1325" t="n">
        <f t="shared" si="5"/>
        <v>-5.218</v>
      </c>
      <c r="H13" s="1325" t="n">
        <f t="shared" si="6"/>
        <v>-1.964</v>
      </c>
      <c r="I13" s="1325" t="n">
        <f t="shared" si="7"/>
        <v>0</v>
      </c>
      <c r="J13" s="1325" t="n">
        <f t="shared" si="8"/>
        <v>-1.7000000000000001E-2</v>
      </c>
      <c r="K13" s="1325" t="n">
        <f t="shared" si="9"/>
        <v>1</v>
      </c>
      <c r="L13" s="1329"/>
      <c r="M13" s="1325" t="n">
        <f t="shared" si="0"/>
        <v>-2.75</v>
      </c>
      <c r="N13" s="1325" t="n">
        <f t="shared" si="10"/>
        <v>0</v>
      </c>
      <c r="O13" s="1353" t="n">
        <v>0.3</v>
      </c>
      <c r="P13" s="1346" t="n">
        <v>1.08</v>
      </c>
      <c r="Q13" s="1345" t="n">
        <v>0</v>
      </c>
      <c r="R13" s="1355" t="n">
        <v>0.63300000000000001</v>
      </c>
      <c r="S13" s="1312" t="n">
        <v>0</v>
      </c>
      <c r="T13" s="1347" t="n">
        <v>3.3000000000000002E-2</v>
      </c>
      <c r="U13" s="1345" t="n">
        <v>0</v>
      </c>
      <c r="V13" s="1347" t="n">
        <v>0</v>
      </c>
      <c r="W13" s="1318" t="n">
        <v>0</v>
      </c>
      <c r="X13" s="1318" t="n">
        <v>0</v>
      </c>
      <c r="Y13" s="1345" t="n">
        <v>0</v>
      </c>
      <c r="Z13" s="1345" t="n">
        <v>0</v>
      </c>
      <c r="AA13" s="1345" t="n">
        <v>0</v>
      </c>
      <c r="AB13" s="1345" t="n">
        <v>0</v>
      </c>
      <c r="AC13" s="1347" t="n">
        <v>0</v>
      </c>
      <c r="AD13" s="1347" t="n">
        <v>0</v>
      </c>
      <c r="AE13" s="1347" t="n">
        <v>0</v>
      </c>
      <c r="AF13" s="1347" t="n">
        <v>0</v>
      </c>
      <c r="AG13" s="1345" t="n">
        <v>-2.044</v>
      </c>
      <c r="AH13" s="1347" t="n">
        <v>0.08</v>
      </c>
      <c r="AI13" s="1347" t="n">
        <v>0</v>
      </c>
      <c r="AJ13" s="1316" t="n">
        <v>0</v>
      </c>
      <c r="AK13" s="1345" t="n">
        <v>0</v>
      </c>
      <c r="AL13" s="1345" t="n">
        <v>-1.7000000000000001E-2</v>
      </c>
      <c r="AM13" s="1345" t="n">
        <v>0</v>
      </c>
      <c r="AN13" s="1345" t="n">
        <v>0</v>
      </c>
      <c r="AO13" s="1318" t="n">
        <v>0</v>
      </c>
      <c r="AP13" s="1345" t="n">
        <v>0</v>
      </c>
      <c r="AQ13" s="1357" t="n">
        <v>0</v>
      </c>
      <c r="AR13" s="1345" t="n">
        <v>0</v>
      </c>
      <c r="AS13" s="1345" t="n">
        <v>0</v>
      </c>
      <c r="AT13" s="1343" t="n">
        <v>1</v>
      </c>
      <c r="AU13" s="1347" t="n">
        <v>0</v>
      </c>
      <c r="AV13" s="1345" t="n">
        <v>0</v>
      </c>
      <c r="AW13" s="1345" t="n">
        <v>0</v>
      </c>
      <c r="AX13" s="1345" t="n">
        <v>0</v>
      </c>
      <c r="AY13" s="1318" t="n">
        <v>-2.75</v>
      </c>
      <c r="AZ13" s="1345" t="n">
        <v>0</v>
      </c>
      <c r="BA13" s="1318" t="n">
        <v>0</v>
      </c>
      <c r="BB13" s="1345" t="n">
        <v>0</v>
      </c>
      <c r="BC13" s="1345" t="n">
        <v>0</v>
      </c>
      <c r="BD13" s="1345" t="n">
        <v>0</v>
      </c>
      <c r="BE13" s="1318" t="n">
        <v>0</v>
      </c>
      <c r="BF13" s="1317" t="n">
        <v>0</v>
      </c>
      <c r="BG13" s="1318" t="n">
        <v>0</v>
      </c>
      <c r="BH13" s="1313" t="n">
        <v>-5.1180000000000003</v>
      </c>
      <c r="BI13" s="1345" t="n">
        <v>-0.1</v>
      </c>
      <c r="BJ13" s="1336" t="n">
        <v>0.01</v>
      </c>
    </row>
    <row r="14">
      <c r="A14" s="1323" t="n">
        <v>2030</v>
      </c>
      <c r="B14" s="1325" t="n">
        <f t="shared" si="1"/>
        <v>0</v>
      </c>
      <c r="C14" s="1325" t="n">
        <f t="shared" si="2"/>
        <v>0</v>
      </c>
      <c r="D14" s="1325" t="n">
        <f t="shared" si="3"/>
        <v>3.3000000000000002E-2</v>
      </c>
      <c r="E14" s="1325" t="n">
        <f t="shared" si="4"/>
        <v>1.8130000000000002</v>
      </c>
      <c r="F14" s="1325" t="n">
        <f t="shared" si="11"/>
        <v>0</v>
      </c>
      <c r="G14" s="1325" t="n">
        <f t="shared" si="5"/>
        <v>-5.9420000000000002</v>
      </c>
      <c r="H14" s="1325" t="n">
        <f t="shared" si="6"/>
        <v>-2.0210000000000004</v>
      </c>
      <c r="I14" s="1325" t="n">
        <f t="shared" si="7"/>
        <v>0</v>
      </c>
      <c r="J14" s="1325" t="n">
        <f t="shared" si="8"/>
        <v>-1.9E-2</v>
      </c>
      <c r="K14" s="1325" t="n">
        <f t="shared" si="9"/>
        <v>0.8</v>
      </c>
      <c r="L14" s="1329"/>
      <c r="M14" s="1325" t="n">
        <f t="shared" si="0"/>
        <v>-8.1189999999999998</v>
      </c>
      <c r="N14" s="1325" t="n">
        <f t="shared" si="10"/>
        <v>0</v>
      </c>
      <c r="O14" s="1353" t="n">
        <v>0.3</v>
      </c>
      <c r="P14" s="1346" t="n">
        <v>1.1800000000000002</v>
      </c>
      <c r="Q14" s="1345" t="n">
        <v>0</v>
      </c>
      <c r="R14" s="1355" t="n">
        <v>0.63300000000000001</v>
      </c>
      <c r="S14" s="1312" t="n">
        <v>0</v>
      </c>
      <c r="T14" s="1347" t="n">
        <v>3.3000000000000002E-2</v>
      </c>
      <c r="U14" s="1345" t="n">
        <v>0</v>
      </c>
      <c r="V14" s="1347" t="n">
        <v>0</v>
      </c>
      <c r="W14" s="1318" t="n">
        <v>0</v>
      </c>
      <c r="X14" s="1318" t="n">
        <v>0</v>
      </c>
      <c r="Y14" s="1345" t="n">
        <v>0</v>
      </c>
      <c r="Z14" s="1345" t="n">
        <v>0</v>
      </c>
      <c r="AA14" s="1345" t="n">
        <v>0</v>
      </c>
      <c r="AB14" s="1345" t="n">
        <v>0</v>
      </c>
      <c r="AC14" s="1347" t="n">
        <v>0</v>
      </c>
      <c r="AD14" s="1355" t="n">
        <v>0</v>
      </c>
      <c r="AE14" s="1345" t="n">
        <v>0</v>
      </c>
      <c r="AF14" s="1347" t="n">
        <v>0</v>
      </c>
      <c r="AG14" s="1347" t="n">
        <v>-2.1110000000000002</v>
      </c>
      <c r="AH14" s="1347" t="n">
        <v>0.09</v>
      </c>
      <c r="AI14" s="1347" t="n">
        <v>0</v>
      </c>
      <c r="AJ14" s="1319" t="n">
        <v>0</v>
      </c>
      <c r="AK14" s="1345" t="n">
        <v>0</v>
      </c>
      <c r="AL14" s="1345" t="n">
        <v>-1.9E-2</v>
      </c>
      <c r="AM14" s="1345" t="n">
        <v>0</v>
      </c>
      <c r="AN14" s="1345" t="n">
        <v>0</v>
      </c>
      <c r="AO14" s="1318" t="n">
        <v>0</v>
      </c>
      <c r="AP14" s="1345" t="n">
        <v>0</v>
      </c>
      <c r="AQ14" s="1357" t="n">
        <v>0</v>
      </c>
      <c r="AR14" s="1345" t="n">
        <v>0</v>
      </c>
      <c r="AS14" s="1345" t="n">
        <v>0</v>
      </c>
      <c r="AT14" s="1318" t="n">
        <v>0.8</v>
      </c>
      <c r="AU14" s="1347" t="n">
        <v>-5.4089999999999998</v>
      </c>
      <c r="AV14" s="1345" t="n">
        <v>0</v>
      </c>
      <c r="AW14" s="1345" t="n">
        <v>0</v>
      </c>
      <c r="AX14" s="1345" t="n">
        <v>0</v>
      </c>
      <c r="AY14" s="1318" t="n">
        <v>-2.71</v>
      </c>
      <c r="AZ14" s="1345" t="n">
        <v>0</v>
      </c>
      <c r="BA14" s="1318" t="n">
        <v>0</v>
      </c>
      <c r="BB14" s="1345" t="n">
        <v>0</v>
      </c>
      <c r="BC14" s="1345" t="n">
        <v>0</v>
      </c>
      <c r="BD14" s="1345" t="n">
        <v>0</v>
      </c>
      <c r="BE14" s="1345" t="n">
        <v>0</v>
      </c>
      <c r="BF14" s="1318" t="n">
        <v>0</v>
      </c>
      <c r="BG14" s="1318" t="n">
        <v>0</v>
      </c>
      <c r="BH14" s="1347" t="n">
        <v>-5.8319999999999999</v>
      </c>
      <c r="BI14" s="1345" t="n">
        <v>-0.11</v>
      </c>
      <c r="BJ14" s="1335" t="n">
        <v>0.01</v>
      </c>
    </row>
    <row r="15" ht="17.25" customHeight="1">
      <c r="A15" s="1323" t="n">
        <v>2031</v>
      </c>
      <c r="B15" s="1325" t="n">
        <f t="shared" si="1"/>
        <v>0</v>
      </c>
      <c r="C15" s="1325" t="n">
        <f t="shared" si="2"/>
        <v>0</v>
      </c>
      <c r="D15" s="1325" t="n">
        <f t="shared" si="3"/>
        <v>0</v>
      </c>
      <c r="E15" s="1325" t="n">
        <f t="shared" si="4"/>
        <v>1.8230000000000002</v>
      </c>
      <c r="F15" s="1325" t="n">
        <f t="shared" si="11"/>
        <v>0</v>
      </c>
      <c r="G15" s="1325" t="n">
        <f t="shared" si="5"/>
        <v>-7.7250000000000005</v>
      </c>
      <c r="H15" s="1325" t="n">
        <f t="shared" si="6"/>
        <v>-2.4630000000000001</v>
      </c>
      <c r="I15" s="1325" t="n">
        <f t="shared" si="7"/>
        <v>0</v>
      </c>
      <c r="J15" s="1325" t="n">
        <f t="shared" si="8"/>
        <v>-1.9E-2</v>
      </c>
      <c r="K15" s="1325" t="n">
        <f t="shared" si="9"/>
        <v>0</v>
      </c>
      <c r="L15" s="1329"/>
      <c r="M15" s="1325" t="n">
        <f t="shared" si="0"/>
        <v>-3.0390000000000001</v>
      </c>
      <c r="N15" s="1325" t="n">
        <f t="shared" si="10"/>
        <v>0</v>
      </c>
      <c r="O15" s="1353" t="n">
        <v>0.3</v>
      </c>
      <c r="P15" s="1346" t="n">
        <v>1.1900000000000002</v>
      </c>
      <c r="Q15" s="1345" t="n">
        <v>0</v>
      </c>
      <c r="R15" s="1355" t="n">
        <v>0.63300000000000001</v>
      </c>
      <c r="S15" s="1312" t="n">
        <v>0</v>
      </c>
      <c r="T15" s="1318" t="n">
        <v>0</v>
      </c>
      <c r="U15" s="1345" t="n">
        <v>0</v>
      </c>
      <c r="V15" s="1345" t="n">
        <v>0</v>
      </c>
      <c r="W15" s="1318" t="n">
        <v>0</v>
      </c>
      <c r="X15" s="1318" t="n">
        <v>0</v>
      </c>
      <c r="Y15" s="1345" t="n">
        <v>0</v>
      </c>
      <c r="Z15" s="1345" t="n">
        <v>0</v>
      </c>
      <c r="AA15" s="1345" t="n">
        <v>0</v>
      </c>
      <c r="AB15" s="1345" t="n">
        <v>0</v>
      </c>
      <c r="AC15" s="1347" t="n">
        <v>0</v>
      </c>
      <c r="AD15" s="1345" t="n">
        <v>0</v>
      </c>
      <c r="AE15" s="1347" t="n">
        <v>0</v>
      </c>
      <c r="AF15" s="1347" t="n">
        <v>0</v>
      </c>
      <c r="AG15" s="1347" t="n">
        <v>-2.5529999999999999</v>
      </c>
      <c r="AH15" s="1347" t="n">
        <v>0.09</v>
      </c>
      <c r="AI15" s="1347" t="n">
        <v>0</v>
      </c>
      <c r="AJ15" s="1320" t="n">
        <v>0</v>
      </c>
      <c r="AK15" s="1345" t="n">
        <v>0</v>
      </c>
      <c r="AL15" s="1345" t="n">
        <v>-1.9E-2</v>
      </c>
      <c r="AM15" s="1345" t="n">
        <v>0</v>
      </c>
      <c r="AN15" s="1345" t="n">
        <v>0</v>
      </c>
      <c r="AO15" s="1318" t="n">
        <v>0</v>
      </c>
      <c r="AP15" s="1345" t="n">
        <v>0</v>
      </c>
      <c r="AQ15" s="1357" t="n">
        <v>0</v>
      </c>
      <c r="AR15" s="1345" t="n">
        <v>0</v>
      </c>
      <c r="AS15" s="1345" t="n">
        <v>0</v>
      </c>
      <c r="AT15" s="1318" t="n">
        <v>0</v>
      </c>
      <c r="AU15" s="1347" t="n">
        <v>-0.26900000000000002</v>
      </c>
      <c r="AV15" s="1345" t="n">
        <v>0</v>
      </c>
      <c r="AW15" s="1345" t="n">
        <v>0</v>
      </c>
      <c r="AX15" s="1345" t="n">
        <v>0</v>
      </c>
      <c r="AY15" s="1318" t="n">
        <v>-2.77</v>
      </c>
      <c r="AZ15" s="1345" t="n">
        <v>0</v>
      </c>
      <c r="BA15" s="1318" t="n">
        <v>0</v>
      </c>
      <c r="BB15" s="1345" t="n">
        <v>0</v>
      </c>
      <c r="BC15" s="1345" t="n">
        <v>0</v>
      </c>
      <c r="BD15" s="1345" t="n">
        <v>0</v>
      </c>
      <c r="BE15" s="1345" t="n">
        <v>0</v>
      </c>
      <c r="BF15" s="1318" t="n">
        <v>0</v>
      </c>
      <c r="BG15" s="1318" t="n">
        <v>0</v>
      </c>
      <c r="BH15" s="1347" t="n">
        <v>-5.4350000000000005</v>
      </c>
      <c r="BI15" s="1345" t="n">
        <v>-2.29</v>
      </c>
      <c r="BJ15" s="1335" t="n">
        <v>0</v>
      </c>
    </row>
    <row r="16">
      <c r="A16" s="1324" t="s">
        <v>359</v>
      </c>
      <c r="B16" s="1324" t="n">
        <f>SUM(B5:B15)</f>
        <v>412.15299999999996</v>
      </c>
      <c r="C16" s="1324" t="n">
        <f>SUM(C5:C15)</f>
        <v>205.79999999999998</v>
      </c>
      <c r="D16" s="1324" t="n">
        <f>SUM(D5:D15)</f>
        <v>22.711000000000006</v>
      </c>
      <c r="E16" s="1324" t="n">
        <f t="shared" ref="E16:H16" si="12">SUM(E5:E15)</f>
        <v>35.466000000000015</v>
      </c>
      <c r="F16" s="1324" t="n">
        <f t="shared" si="12"/>
        <v>91.563000000000002</v>
      </c>
      <c r="G16" s="1325" t="n">
        <f t="shared" si="5"/>
        <v>174.17</v>
      </c>
      <c r="H16" s="1324" t="n">
        <f t="shared" si="12"/>
        <v>21.600999999999996</v>
      </c>
      <c r="I16" s="1329" t="n">
        <f t="shared" ref="I16" si="13">SUM(I5:I15)</f>
        <v>362.04999999999995</v>
      </c>
      <c r="J16" s="1329" t="n">
        <f t="shared" ref="J16" si="14">SUM(J5:J15)</f>
        <v>169.16899999999998</v>
      </c>
      <c r="K16" s="1325" t="n">
        <f t="shared" si="9"/>
        <v>112.72</v>
      </c>
      <c r="L16" s="1329" t="n">
        <f>SUM(L5:L15)</f>
        <v>25.75</v>
      </c>
      <c r="M16" s="1325" t="n">
        <f t="shared" si="0"/>
        <v>85.197999999999993</v>
      </c>
      <c r="N16" s="1325" t="n">
        <f>AK16</f>
        <v>8.5</v>
      </c>
      <c r="O16" s="1354" t="n">
        <f t="shared" ref="O16:BI16" si="15">SUM(O5:O15)</f>
        <v>109.3</v>
      </c>
      <c r="P16" s="1345" t="n">
        <f t="shared" si="15"/>
        <v>25.819999999999997</v>
      </c>
      <c r="Q16" s="1345" t="n">
        <f t="shared" si="15"/>
        <v>412.15299999999996</v>
      </c>
      <c r="R16" s="1345" t="n">
        <f t="shared" si="15"/>
        <v>5.774</v>
      </c>
      <c r="S16" s="1345" t="n">
        <f t="shared" si="15"/>
        <v>3.8719999999999999</v>
      </c>
      <c r="T16" s="1345" t="n">
        <f t="shared" si="15"/>
        <v>22.711000000000006</v>
      </c>
      <c r="U16" s="1345" t="n">
        <f t="shared" si="15"/>
        <v>41.599999999999994</v>
      </c>
      <c r="V16" s="1345" t="n">
        <f t="shared" si="15"/>
        <v>44.947999999999993</v>
      </c>
      <c r="W16" s="1345" t="n">
        <f t="shared" si="15"/>
        <v>5</v>
      </c>
      <c r="X16" s="1345" t="n">
        <f t="shared" si="15"/>
        <v>1.4440000000000002</v>
      </c>
      <c r="Y16" s="1345" t="n">
        <f t="shared" si="15"/>
        <v>0.2</v>
      </c>
      <c r="Z16" s="1345" t="n">
        <f t="shared" si="15"/>
        <v>45.4</v>
      </c>
      <c r="AA16" s="1345" t="n">
        <f t="shared" si="15"/>
        <v>35.5</v>
      </c>
      <c r="AB16" s="1345" t="n">
        <f t="shared" si="15"/>
        <v>124.7</v>
      </c>
      <c r="AC16" s="1345" t="n">
        <f t="shared" si="15"/>
        <v>28</v>
      </c>
      <c r="AD16" s="1345" t="n">
        <f t="shared" si="15"/>
        <v>9.100000000000022E-2</v>
      </c>
      <c r="AE16" s="1345" t="n">
        <f t="shared" si="15"/>
        <v>22.810000000000002</v>
      </c>
      <c r="AF16" s="1345" t="n">
        <f t="shared" si="15"/>
        <v>1.42</v>
      </c>
      <c r="AG16" s="1345" t="n">
        <f t="shared" si="15"/>
        <v>20.662999999999997</v>
      </c>
      <c r="AH16" s="1345" t="n">
        <f t="shared" si="15"/>
        <v>0.86999999999999988</v>
      </c>
      <c r="AI16" s="1345" t="n">
        <f t="shared" si="15"/>
        <v>6.8000000000000005E-2</v>
      </c>
      <c r="AJ16" s="1345" t="n">
        <f t="shared" si="15"/>
        <v>362.04999999999995</v>
      </c>
      <c r="AK16" s="1345" t="n">
        <f t="shared" ref="AK16:AO16" si="16">SUM(AK5:AK15)</f>
        <v>8.5</v>
      </c>
      <c r="AL16" s="1345" t="n">
        <f t="shared" si="16"/>
        <v>169.16899999999998</v>
      </c>
      <c r="AM16" s="1327" t="n">
        <f t="shared" si="16"/>
        <v>0.79700000000000004</v>
      </c>
      <c r="AN16" s="1345" t="n">
        <f t="shared" si="16"/>
        <v>8.6</v>
      </c>
      <c r="AO16" s="1345" t="n">
        <f t="shared" si="16"/>
        <v>3.2000000000000006</v>
      </c>
      <c r="AP16" s="1345" t="n">
        <f t="shared" si="15"/>
        <v>2.8000000000000003</v>
      </c>
      <c r="AQ16" s="1330" t="n">
        <f>SUM(AQ5:AQ15)</f>
        <v>28</v>
      </c>
      <c r="AR16" s="1345" t="n">
        <f>SUM(AR5:AR15)</f>
        <v>14.899999999999999</v>
      </c>
      <c r="AS16" s="1345" t="n">
        <f>SUM(AS5:AS15)</f>
        <v>3.8730000000000002</v>
      </c>
      <c r="AT16" s="1345" t="n">
        <f t="shared" ref="AT16" si="17">SUM(AT5:AT15)</f>
        <v>50.54999999999999</v>
      </c>
      <c r="AU16" s="1345" t="n">
        <f t="shared" si="15"/>
        <v>-5.6779999999999999</v>
      </c>
      <c r="AV16" s="1345" t="n">
        <f t="shared" si="15"/>
        <v>8.177999999999999</v>
      </c>
      <c r="AW16" s="1345" t="n">
        <f t="shared" si="15"/>
        <v>16.667999999999999</v>
      </c>
      <c r="AX16" s="1345" t="n">
        <f t="shared" si="15"/>
        <v>9.9</v>
      </c>
      <c r="AY16" s="1345" t="n">
        <f t="shared" si="15"/>
        <v>-25.860000000000003</v>
      </c>
      <c r="AZ16" s="1345" t="n">
        <f t="shared" si="15"/>
        <v>81.99</v>
      </c>
      <c r="BA16" s="1345" t="n">
        <v>0</v>
      </c>
      <c r="BB16" s="1345" t="n">
        <f t="shared" si="15"/>
        <v>24</v>
      </c>
      <c r="BC16" s="1345" t="n">
        <f t="shared" si="15"/>
        <v>7.25</v>
      </c>
      <c r="BD16" s="1345" t="n">
        <f t="shared" si="15"/>
        <v>49.8</v>
      </c>
      <c r="BE16" s="1345" t="n">
        <f t="shared" si="15"/>
        <v>9.02</v>
      </c>
      <c r="BF16" s="1345" t="n">
        <f t="shared" si="15"/>
        <v>6.2439999999999998</v>
      </c>
      <c r="BG16" s="1345" t="n">
        <f t="shared" si="15"/>
        <v>10.218</v>
      </c>
      <c r="BH16" s="1345" t="n">
        <f t="shared" si="15"/>
        <v>50.203999999999979</v>
      </c>
      <c r="BI16" s="1345" t="n">
        <f t="shared" si="15"/>
        <v>24.684000000000005</v>
      </c>
      <c r="BJ16" s="1337" t="n">
        <f>SUM(BJ5:BJ15)</f>
        <v>9.5399999999999991</v>
      </c>
    </row>
    <row r="17">
      <c r="R17" s="1355"/>
      <c r="S17" s="1355"/>
      <c r="W17" s="1355"/>
      <c r="X17" s="1355"/>
      <c r="AE17" s="1355"/>
      <c r="AF17" s="1355"/>
      <c r="AV17" s="1355"/>
      <c r="AW17" s="1355"/>
      <c r="AX17" s="1355"/>
      <c r="AY17" s="1355"/>
      <c r="AZ17" s="1355"/>
      <c r="BA17" s="1355"/>
      <c r="BC17" s="1355"/>
      <c r="BE17" s="1355"/>
      <c r="BF17" s="1355"/>
      <c r="BG17" s="1355"/>
    </row>
    <row r="18">
      <c r="R18" s="1355"/>
      <c r="S18" s="1355"/>
      <c r="W18" s="1355"/>
      <c r="X18" s="1355"/>
      <c r="AE18" s="1355"/>
      <c r="AF18" s="1355"/>
      <c r="AV18" s="1355"/>
      <c r="AW18" s="1355"/>
      <c r="AX18" s="1355"/>
      <c r="AY18" s="1355"/>
      <c r="AZ18" s="1355"/>
      <c r="BA18" s="1355"/>
      <c r="BC18" s="1355" t="s">
        <v>777</v>
      </c>
      <c r="BD18" s="1355" t="s">
        <v>777</v>
      </c>
      <c r="BE18" s="1355"/>
      <c r="BF18" s="1355" t="s">
        <v>777</v>
      </c>
      <c r="BG18" s="1355" t="s">
        <v>777</v>
      </c>
      <c r="BI18" s="1355" t="s">
        <v>777</v>
      </c>
    </row>
    <row r="19">
      <c r="B19" s="1136"/>
      <c r="C19" s="1136"/>
      <c r="D19" s="1136"/>
      <c r="E19" s="1136"/>
      <c r="F19" s="1136"/>
      <c r="H19" s="1136"/>
      <c r="I19" s="1136"/>
      <c r="J19" s="1136"/>
      <c r="K19" s="1136"/>
      <c r="M19" s="1136"/>
      <c r="N19" s="1136"/>
      <c r="R19" s="1355"/>
      <c r="S19" s="1355"/>
      <c r="W19" s="1355"/>
      <c r="X19" s="1355"/>
      <c r="AE19" s="1355"/>
      <c r="AF19" s="1355"/>
      <c r="AV19" s="1355"/>
      <c r="AW19" s="1355"/>
      <c r="AX19" s="1355"/>
      <c r="AY19" s="1355"/>
      <c r="AZ19" s="1355"/>
      <c r="BA19" s="1355"/>
      <c r="BC19" s="1355"/>
      <c r="BD19" t="s">
        <v>778</v>
      </c>
      <c r="BE19" s="1355"/>
      <c r="BF19" s="1355"/>
      <c r="BG19" s="1355"/>
    </row>
    <row r="20">
      <c r="R20" s="1355"/>
      <c r="S20" s="1355"/>
      <c r="W20" s="1355"/>
      <c r="X20" s="1355"/>
      <c r="AE20" s="1355"/>
      <c r="AF20" s="1355"/>
      <c r="AV20" s="1355"/>
      <c r="AW20" s="1355"/>
      <c r="AX20" s="1355"/>
      <c r="AY20" s="1355"/>
      <c r="AZ20" s="1355"/>
      <c r="BA20" s="1355"/>
      <c r="BC20" s="1355"/>
      <c r="BE20" s="1355"/>
      <c r="BF20" s="1355"/>
      <c r="BG20" s="1355"/>
    </row>
    <row r="21">
      <c r="R21" s="1355"/>
      <c r="S21" s="1355"/>
      <c r="W21" s="1355"/>
      <c r="X21" s="1355"/>
      <c r="AE21" s="1355"/>
      <c r="AF21" s="1355"/>
      <c r="AV21" s="1355"/>
      <c r="AW21" s="1355"/>
      <c r="AX21" s="1355"/>
      <c r="AY21" s="1355"/>
      <c r="AZ21" s="1355"/>
      <c r="BA21" s="1355"/>
      <c r="BC21" s="1355"/>
      <c r="BE21" s="1355"/>
      <c r="BF21" s="1355"/>
      <c r="BG21" s="1355"/>
    </row>
    <row r="22">
      <c r="B22" s="1136"/>
      <c r="R22" s="1355"/>
      <c r="S22" s="1355"/>
      <c r="W22" s="1355"/>
      <c r="X22" s="1355"/>
      <c r="AE22" s="1355"/>
      <c r="AF22" s="1355"/>
      <c r="AV22" s="1355"/>
      <c r="AW22" s="1355"/>
      <c r="AX22" s="1355"/>
      <c r="AY22" s="1355"/>
      <c r="AZ22" s="1355"/>
      <c r="BA22" s="1355"/>
      <c r="BC22" s="1355"/>
      <c r="BE22" s="1355"/>
      <c r="BF22" s="1355"/>
      <c r="BG22" s="1355"/>
    </row>
    <row r="23">
      <c r="B23" s="1136"/>
      <c r="R23" s="1355"/>
      <c r="S23" s="1355"/>
      <c r="W23" s="1355"/>
      <c r="X23" s="1355"/>
      <c r="AE23" s="1355"/>
      <c r="AF23" s="1355"/>
      <c r="AV23" s="1355"/>
      <c r="AW23" s="1355"/>
      <c r="AX23" s="1355"/>
      <c r="AY23" s="1355"/>
      <c r="AZ23" s="1355"/>
      <c r="BA23" s="1355"/>
      <c r="BC23" s="1355"/>
      <c r="BE23" s="1355"/>
      <c r="BF23" s="1355"/>
      <c r="BG23" s="1355"/>
    </row>
    <row r="24">
      <c r="B24" s="1136"/>
      <c r="R24" s="1355"/>
      <c r="S24" s="1355"/>
      <c r="W24" s="1355"/>
      <c r="X24" s="1355"/>
      <c r="AE24" s="1355"/>
      <c r="AF24" s="1355"/>
      <c r="AV24" s="1355"/>
      <c r="AW24" s="1355"/>
      <c r="AX24" s="1355"/>
      <c r="AY24" s="1355"/>
      <c r="AZ24" s="1355"/>
      <c r="BA24" s="1355"/>
      <c r="BC24" s="1355"/>
      <c r="BE24" s="1355"/>
      <c r="BF24" s="1355"/>
      <c r="BG24" s="1355"/>
    </row>
    <row r="25">
      <c r="B25" s="1136"/>
      <c r="R25" s="1355"/>
      <c r="S25" s="1355"/>
      <c r="W25" s="1355"/>
      <c r="X25" s="1355"/>
      <c r="AE25" s="1355"/>
      <c r="AF25" s="1355"/>
      <c r="AV25" s="1355"/>
      <c r="AW25" s="1355"/>
      <c r="AX25" s="1355"/>
      <c r="AY25" s="1355"/>
      <c r="AZ25" s="1355"/>
      <c r="BA25" s="1355"/>
      <c r="BC25" s="1355"/>
      <c r="BE25" s="1355"/>
      <c r="BF25" s="1355"/>
      <c r="BG25" s="1355"/>
    </row>
    <row r="26">
      <c r="B26" s="1136"/>
      <c r="R26" s="1355"/>
      <c r="S26" s="1355"/>
      <c r="W26" s="1355"/>
      <c r="X26" s="1355"/>
      <c r="AE26" s="1355"/>
      <c r="AF26" s="1355"/>
      <c r="AV26" s="1355"/>
      <c r="AW26" s="1355"/>
      <c r="AX26" s="1355"/>
      <c r="AY26" s="1355"/>
      <c r="AZ26" s="1355"/>
      <c r="BA26" s="1355"/>
      <c r="BC26" s="1355"/>
      <c r="BE26" s="1355"/>
      <c r="BF26" s="1355"/>
      <c r="BG26" s="1355"/>
    </row>
    <row r="27">
      <c r="B27" s="1136"/>
      <c r="R27" s="1355"/>
      <c r="S27" s="1355"/>
      <c r="W27" s="1355"/>
      <c r="X27" s="1355"/>
      <c r="AE27" s="1355"/>
      <c r="AF27" s="1355"/>
      <c r="AV27" s="1355"/>
      <c r="AW27" s="1355"/>
      <c r="AX27" s="1355"/>
      <c r="AY27" s="1355"/>
      <c r="AZ27" s="1355"/>
      <c r="BA27" s="1355"/>
      <c r="BC27" s="1355"/>
      <c r="BE27" s="1355"/>
      <c r="BF27" s="1355"/>
      <c r="BG27" s="1355"/>
    </row>
    <row r="28">
      <c r="B28" s="1136"/>
      <c r="R28" s="1355"/>
      <c r="S28" s="1355"/>
      <c r="W28" s="1355"/>
      <c r="X28" s="1355"/>
      <c r="AE28" s="1355"/>
      <c r="AF28" s="1355"/>
      <c r="AV28" s="1355"/>
      <c r="AW28" s="1355"/>
      <c r="AX28" s="1355"/>
      <c r="AY28" s="1355"/>
      <c r="AZ28" s="1355"/>
      <c r="BA28" s="1355"/>
      <c r="BC28" s="1355"/>
      <c r="BE28" s="1355"/>
      <c r="BF28" s="1355"/>
      <c r="BG28" s="1355"/>
    </row>
    <row r="29">
      <c r="R29" s="1355"/>
      <c r="S29" s="1355"/>
      <c r="W29" s="1355"/>
      <c r="X29" s="1355"/>
      <c r="AE29" s="1355"/>
      <c r="AF29" s="1355"/>
      <c r="AV29" s="1355"/>
      <c r="AW29" s="1355"/>
      <c r="AX29" s="1355"/>
      <c r="AY29" s="1355"/>
      <c r="AZ29" s="1355"/>
      <c r="BA29" s="1355"/>
      <c r="BC29" s="1355"/>
      <c r="BE29" s="1355"/>
      <c r="BF29" s="1355"/>
      <c r="BG29" s="1355"/>
    </row>
    <row r="30">
      <c r="R30" s="1355"/>
      <c r="S30" s="1355"/>
      <c r="W30" s="1355"/>
      <c r="X30" s="1355"/>
      <c r="AE30" s="1355"/>
      <c r="AF30" s="1355"/>
      <c r="AV30" s="1355"/>
      <c r="AW30" s="1355"/>
      <c r="AX30" s="1355"/>
      <c r="AY30" s="1355"/>
      <c r="AZ30" s="1355"/>
      <c r="BA30" s="1355"/>
      <c r="BC30" s="1355"/>
      <c r="BE30" s="1355"/>
      <c r="BF30" s="1355"/>
      <c r="BG30" s="1355"/>
    </row>
    <row r="31">
      <c r="R31" s="1355"/>
      <c r="S31" s="1355"/>
      <c r="W31" s="1355"/>
      <c r="X31" s="1355"/>
      <c r="AE31" s="1355"/>
      <c r="AF31" s="1355"/>
      <c r="AV31" s="1355"/>
      <c r="AW31" s="1355"/>
      <c r="AX31" s="1355"/>
      <c r="AY31" s="1355"/>
      <c r="AZ31" s="1355"/>
      <c r="BA31" s="1355"/>
      <c r="BC31" s="1355"/>
      <c r="BE31" s="1355"/>
      <c r="BF31" s="1355"/>
      <c r="BG31" s="1355"/>
    </row>
    <row r="32">
      <c r="R32" s="1355"/>
      <c r="S32" s="1355"/>
      <c r="W32" s="1355"/>
      <c r="X32" s="1355"/>
      <c r="AE32" s="1355"/>
      <c r="AF32" s="1355"/>
      <c r="AV32" s="1355"/>
      <c r="AW32" s="1355"/>
      <c r="AX32" s="1355"/>
      <c r="AY32" s="1355"/>
      <c r="AZ32" s="1355"/>
      <c r="BA32" s="1355"/>
      <c r="BC32" s="1355"/>
      <c r="BE32" s="1355"/>
      <c r="BF32" s="1355"/>
      <c r="BG32" s="1355"/>
    </row>
    <row r="33">
      <c r="R33" s="1355"/>
      <c r="S33" s="1355"/>
      <c r="W33" s="1355"/>
      <c r="X33" s="1355"/>
      <c r="AE33" s="1355"/>
      <c r="AF33" s="1355"/>
      <c r="AV33" s="1355"/>
      <c r="AW33" s="1355"/>
      <c r="AX33" s="1355"/>
      <c r="AY33" s="1355"/>
      <c r="AZ33" s="1355"/>
      <c r="BA33" s="1355"/>
      <c r="BC33" s="1355"/>
      <c r="BE33" s="1355"/>
      <c r="BF33" s="1355"/>
      <c r="BG33" s="1355"/>
    </row>
    <row r="34">
      <c r="R34" s="1355"/>
      <c r="S34" s="1355"/>
      <c r="W34" s="1355"/>
      <c r="X34" s="1355"/>
      <c r="AE34" s="1355"/>
      <c r="AF34" s="1355"/>
      <c r="AV34" s="1355"/>
      <c r="AW34" s="1355"/>
      <c r="AX34" s="1355"/>
      <c r="AY34" s="1355"/>
      <c r="AZ34" s="1355"/>
      <c r="BA34" s="1355"/>
      <c r="BC34" s="1355"/>
      <c r="BE34" s="1355"/>
      <c r="BF34" s="1355"/>
      <c r="BG34" s="1355"/>
    </row>
    <row r="35">
      <c r="R35" s="1355"/>
      <c r="S35" s="1355"/>
      <c r="W35" s="1355"/>
      <c r="X35" s="1355"/>
      <c r="AE35" s="1355"/>
      <c r="AF35" s="1355"/>
      <c r="AV35" s="1355"/>
      <c r="AW35" s="1355"/>
      <c r="AX35" s="1355"/>
      <c r="AY35" s="1355"/>
      <c r="AZ35" s="1355"/>
      <c r="BA35" s="1355"/>
      <c r="BC35" s="1355"/>
      <c r="BE35" s="1355"/>
      <c r="BF35" s="1355"/>
      <c r="BG35" s="1355"/>
    </row>
    <row r="36">
      <c r="R36" s="1355"/>
      <c r="S36" s="1355"/>
      <c r="W36" s="1355"/>
      <c r="X36" s="1355"/>
      <c r="AE36" s="1355"/>
      <c r="AF36" s="1355"/>
      <c r="AV36" s="1355"/>
      <c r="AW36" s="1355"/>
      <c r="AX36" s="1355"/>
      <c r="AY36" s="1355"/>
      <c r="AZ36" s="1355"/>
      <c r="BA36" s="1355"/>
      <c r="BC36" s="1355"/>
      <c r="BE36" s="1355"/>
      <c r="BF36" s="1355"/>
      <c r="BG36" s="1355"/>
    </row>
    <row r="37">
      <c r="R37" s="1355"/>
      <c r="S37" s="1355"/>
      <c r="W37" s="1355"/>
      <c r="X37" s="1355"/>
      <c r="AE37" s="1355"/>
      <c r="AF37" s="1355"/>
      <c r="AV37" s="1355"/>
      <c r="AW37" s="1355"/>
      <c r="AX37" s="1355"/>
      <c r="AY37" s="1355"/>
      <c r="AZ37" s="1355"/>
      <c r="BA37" s="1355"/>
      <c r="BC37" s="1355"/>
      <c r="BE37" s="1355"/>
      <c r="BF37" s="1355"/>
      <c r="BG37" s="1355"/>
    </row>
    <row r="38">
      <c r="R38" s="1355"/>
      <c r="S38" s="1355"/>
      <c r="W38" s="1355"/>
      <c r="X38" s="1355"/>
      <c r="AE38" s="1355"/>
      <c r="AF38" s="1355"/>
      <c r="AV38" s="1355"/>
      <c r="AW38" s="1355"/>
      <c r="AX38" s="1355"/>
      <c r="AY38" s="1355"/>
      <c r="AZ38" s="1355"/>
      <c r="BA38" s="1355"/>
      <c r="BC38" s="1355"/>
      <c r="BE38" s="1355"/>
      <c r="BF38" s="1355"/>
      <c r="BG38" s="1355"/>
    </row>
    <row r="39">
      <c r="R39" s="1355"/>
      <c r="S39" s="1355"/>
      <c r="W39" s="1355"/>
      <c r="X39" s="1355"/>
      <c r="AE39" s="1355"/>
      <c r="AF39" s="1355"/>
      <c r="AV39" s="1355"/>
      <c r="AW39" s="1355"/>
      <c r="AX39" s="1355"/>
      <c r="AY39" s="1355"/>
      <c r="AZ39" s="1355"/>
      <c r="BA39" s="1355"/>
      <c r="BC39" s="1355"/>
      <c r="BE39" s="1355"/>
      <c r="BF39" s="1355"/>
      <c r="BG39" s="1355"/>
    </row>
    <row r="40">
      <c r="R40" s="1355"/>
      <c r="S40" s="1355"/>
      <c r="W40" s="1355"/>
      <c r="X40" s="1355"/>
      <c r="AE40" s="1355"/>
      <c r="AF40" s="1355"/>
      <c r="AV40" s="1355"/>
      <c r="AW40" s="1355"/>
      <c r="AX40" s="1355"/>
      <c r="AY40" s="1355"/>
      <c r="AZ40" s="1355"/>
      <c r="BA40" s="1355"/>
      <c r="BC40" s="1355"/>
      <c r="BE40" s="1355"/>
      <c r="BF40" s="1355"/>
      <c r="BG40" s="1355"/>
    </row>
    <row r="41">
      <c r="R41" s="1355"/>
      <c r="S41" s="1355"/>
      <c r="W41" s="1355"/>
      <c r="X41" s="1355"/>
      <c r="AE41" s="1355"/>
      <c r="AF41" s="1355"/>
      <c r="AV41" s="1355"/>
      <c r="AW41" s="1355"/>
      <c r="AX41" s="1355"/>
      <c r="AY41" s="1355"/>
      <c r="AZ41" s="1355"/>
      <c r="BA41" s="1355"/>
      <c r="BC41" s="1355"/>
      <c r="BE41" s="1355"/>
      <c r="BF41" s="1355"/>
      <c r="BG41" s="1355"/>
    </row>
    <row r="42">
      <c r="R42" s="1355"/>
      <c r="S42" s="1355"/>
      <c r="W42" s="1355"/>
      <c r="X42" s="1355"/>
      <c r="AE42" s="1355"/>
      <c r="AF42" s="1355"/>
      <c r="AV42" s="1355"/>
      <c r="AW42" s="1355"/>
      <c r="AX42" s="1355"/>
      <c r="AY42" s="1355"/>
      <c r="AZ42" s="1355"/>
      <c r="BA42" s="1355"/>
      <c r="BC42" s="1355"/>
      <c r="BE42" s="1355"/>
      <c r="BF42" s="1355"/>
      <c r="BG42" s="1355"/>
    </row>
    <row r="43">
      <c r="R43" s="1355"/>
      <c r="S43" s="1355"/>
      <c r="W43" s="1355"/>
      <c r="X43" s="1355"/>
      <c r="AE43" s="1355"/>
      <c r="AF43" s="1355"/>
      <c r="AV43" s="1355"/>
      <c r="AW43" s="1355"/>
      <c r="AX43" s="1355"/>
      <c r="AY43" s="1355"/>
      <c r="AZ43" s="1355"/>
      <c r="BA43" s="1355"/>
      <c r="BC43" s="1355"/>
      <c r="BE43" s="1355"/>
      <c r="BF43" s="1355"/>
      <c r="BG43" s="1355"/>
    </row>
    <row r="44">
      <c r="R44" s="1355"/>
      <c r="S44" s="1355"/>
      <c r="W44" s="1355"/>
      <c r="X44" s="1355"/>
      <c r="AE44" s="1355"/>
      <c r="AF44" s="1355"/>
      <c r="AV44" s="1355"/>
      <c r="AW44" s="1355"/>
      <c r="AX44" s="1355"/>
      <c r="AY44" s="1355"/>
      <c r="AZ44" s="1355"/>
      <c r="BA44" s="1355"/>
      <c r="BC44" s="1355"/>
      <c r="BE44" s="1355"/>
      <c r="BF44" s="1355"/>
      <c r="BG44" s="1355"/>
    </row>
    <row r="45">
      <c r="R45" s="1355"/>
      <c r="S45" s="1355"/>
      <c r="W45" s="1355"/>
      <c r="X45" s="1355"/>
      <c r="AE45" s="1355"/>
      <c r="AF45" s="1355"/>
      <c r="AV45" s="1355"/>
      <c r="AW45" s="1355"/>
      <c r="AX45" s="1355"/>
      <c r="AY45" s="1355"/>
      <c r="AZ45" s="1355"/>
      <c r="BA45" s="1355"/>
      <c r="BC45" s="1355"/>
      <c r="BE45" s="1355"/>
      <c r="BF45" s="1355"/>
      <c r="BG45" s="1355"/>
    </row>
    <row r="46">
      <c r="R46" s="1355"/>
      <c r="S46" s="1355"/>
      <c r="W46" s="1355"/>
      <c r="X46" s="1355"/>
      <c r="AE46" s="1355"/>
      <c r="AF46" s="1355"/>
      <c r="AV46" s="1355"/>
      <c r="AW46" s="1355"/>
      <c r="AX46" s="1355"/>
      <c r="AY46" s="1355"/>
      <c r="AZ46" s="1355"/>
      <c r="BA46" s="1355"/>
      <c r="BC46" s="1355"/>
      <c r="BE46" s="1355"/>
      <c r="BF46" s="1355"/>
      <c r="BG46" s="1355"/>
    </row>
    <row r="47">
      <c r="R47" s="1355"/>
      <c r="S47" s="1355"/>
      <c r="W47" s="1355"/>
      <c r="X47" s="1355"/>
      <c r="AE47" s="1355"/>
      <c r="AF47" s="1355"/>
      <c r="AV47" s="1355"/>
      <c r="AW47" s="1355"/>
      <c r="AX47" s="1355"/>
      <c r="AY47" s="1355"/>
      <c r="AZ47" s="1355"/>
      <c r="BA47" s="1355"/>
      <c r="BC47" s="1355"/>
      <c r="BE47" s="1355"/>
      <c r="BF47" s="1355"/>
      <c r="BG47" s="1355"/>
    </row>
    <row r="48">
      <c r="R48" s="1355"/>
      <c r="S48" s="1355"/>
      <c r="W48" s="1355"/>
      <c r="X48" s="1355"/>
      <c r="AE48" s="1355"/>
      <c r="AF48" s="1355"/>
      <c r="AV48" s="1355"/>
      <c r="AW48" s="1355"/>
      <c r="AX48" s="1355"/>
      <c r="AY48" s="1355"/>
      <c r="AZ48" s="1355"/>
      <c r="BA48" s="1355"/>
      <c r="BC48" s="1355"/>
      <c r="BE48" s="1355"/>
      <c r="BF48" s="1355"/>
      <c r="BG48" s="1355"/>
    </row>
    <row r="49">
      <c r="R49" s="1355"/>
      <c r="S49" s="1355"/>
      <c r="W49" s="1355"/>
      <c r="X49" s="1355"/>
      <c r="AE49" s="1355"/>
      <c r="AF49" s="1355"/>
      <c r="AV49" s="1355"/>
      <c r="AW49" s="1355"/>
      <c r="AX49" s="1355"/>
      <c r="AY49" s="1355"/>
      <c r="AZ49" s="1355"/>
      <c r="BA49" s="1355"/>
      <c r="BC49" s="1355"/>
      <c r="BE49" s="1355"/>
      <c r="BF49" s="1355"/>
      <c r="BG49" s="1355"/>
    </row>
    <row r="50">
      <c r="R50" s="1355"/>
      <c r="S50" s="1355"/>
      <c r="W50" s="1355"/>
      <c r="X50" s="1355"/>
      <c r="AE50" s="1355"/>
      <c r="AF50" s="1355"/>
      <c r="AV50" s="1355"/>
      <c r="AW50" s="1355"/>
      <c r="AX50" s="1355"/>
      <c r="AY50" s="1355"/>
      <c r="AZ50" s="1355"/>
      <c r="BA50" s="1355"/>
      <c r="BC50" s="1355"/>
      <c r="BE50" s="1355"/>
      <c r="BF50" s="1355"/>
      <c r="BG50" s="1355"/>
    </row>
    <row r="51">
      <c r="R51" s="1355"/>
      <c r="S51" s="1355"/>
      <c r="W51" s="1355"/>
      <c r="X51" s="1355"/>
      <c r="AE51" s="1355"/>
      <c r="AF51" s="1355"/>
      <c r="AV51" s="1355"/>
      <c r="AW51" s="1355"/>
      <c r="AX51" s="1355"/>
      <c r="AY51" s="1355"/>
      <c r="AZ51" s="1355"/>
      <c r="BA51" s="1355"/>
      <c r="BC51" s="1355"/>
      <c r="BE51" s="1355"/>
      <c r="BF51" s="1355"/>
      <c r="BG51" s="1355"/>
    </row>
    <row r="52">
      <c r="R52" s="1355"/>
      <c r="S52" s="1355"/>
      <c r="W52" s="1355"/>
      <c r="X52" s="1355"/>
      <c r="AE52" s="1355"/>
      <c r="AF52" s="1355"/>
      <c r="AV52" s="1355"/>
      <c r="AW52" s="1355"/>
      <c r="AX52" s="1355"/>
      <c r="AY52" s="1355"/>
      <c r="AZ52" s="1355"/>
      <c r="BA52" s="1355"/>
      <c r="BC52" s="1355"/>
      <c r="BE52" s="1355"/>
      <c r="BF52" s="1355"/>
      <c r="BG52" s="1355"/>
    </row>
    <row r="53">
      <c r="R53" s="1355"/>
      <c r="S53" s="1355"/>
      <c r="W53" s="1355"/>
      <c r="X53" s="1355"/>
      <c r="AE53" s="1355"/>
      <c r="AF53" s="1355"/>
      <c r="AV53" s="1355"/>
      <c r="AW53" s="1355"/>
      <c r="AX53" s="1355"/>
      <c r="AY53" s="1355"/>
      <c r="AZ53" s="1355"/>
      <c r="BA53" s="1355"/>
      <c r="BC53" s="1355"/>
      <c r="BE53" s="1355"/>
      <c r="BF53" s="1355"/>
      <c r="BG53" s="1355"/>
    </row>
    <row r="54">
      <c r="R54" s="1355"/>
      <c r="S54" s="1355"/>
      <c r="W54" s="1355"/>
      <c r="X54" s="1355"/>
      <c r="AE54" s="1355"/>
      <c r="AF54" s="1355"/>
      <c r="AV54" s="1355"/>
      <c r="AW54" s="1355"/>
      <c r="AX54" s="1355"/>
      <c r="AY54" s="1355"/>
      <c r="AZ54" s="1355"/>
      <c r="BA54" s="1355"/>
      <c r="BC54" s="1355"/>
      <c r="BE54" s="1355"/>
      <c r="BF54" s="1355"/>
      <c r="BG54" s="1355"/>
    </row>
    <row r="55">
      <c r="R55" s="1355"/>
      <c r="S55" s="1355"/>
      <c r="W55" s="1355"/>
      <c r="X55" s="1355"/>
      <c r="AE55" s="1355"/>
      <c r="AF55" s="1355"/>
      <c r="AV55" s="1355"/>
      <c r="AW55" s="1355"/>
      <c r="AX55" s="1355"/>
      <c r="AY55" s="1355"/>
      <c r="AZ55" s="1355"/>
      <c r="BA55" s="1355"/>
      <c r="BC55" s="1355"/>
      <c r="BE55" s="1355"/>
      <c r="BF55" s="1355"/>
      <c r="BG55" s="1355"/>
    </row>
    <row r="56">
      <c r="R56" s="1355"/>
      <c r="S56" s="1355"/>
      <c r="W56" s="1355"/>
      <c r="X56" s="1355"/>
      <c r="AE56" s="1355"/>
      <c r="AF56" s="1355"/>
      <c r="AV56" s="1355"/>
      <c r="AW56" s="1355"/>
      <c r="AX56" s="1355"/>
      <c r="AY56" s="1355"/>
      <c r="AZ56" s="1355"/>
      <c r="BA56" s="1355"/>
      <c r="BC56" s="1355"/>
      <c r="BE56" s="1355"/>
      <c r="BF56" s="1355"/>
      <c r="BG56" s="1355"/>
    </row>
    <row r="57">
      <c r="R57" s="1355"/>
      <c r="S57" s="1355"/>
      <c r="W57" s="1355"/>
      <c r="X57" s="1355"/>
      <c r="AE57" s="1355"/>
      <c r="AF57" s="1355"/>
      <c r="AV57" s="1355"/>
      <c r="AW57" s="1355"/>
      <c r="AX57" s="1355"/>
      <c r="AY57" s="1355"/>
      <c r="AZ57" s="1355"/>
      <c r="BA57" s="1355"/>
      <c r="BC57" s="1355"/>
      <c r="BE57" s="1355"/>
      <c r="BF57" s="1355"/>
      <c r="BG57" s="1355"/>
    </row>
    <row r="58">
      <c r="R58" s="1355"/>
      <c r="S58" s="1355"/>
      <c r="W58" s="1355"/>
      <c r="X58" s="1355"/>
      <c r="AE58" s="1355"/>
      <c r="AF58" s="1355"/>
      <c r="AV58" s="1355"/>
      <c r="AW58" s="1355"/>
      <c r="AX58" s="1355"/>
      <c r="AY58" s="1355"/>
      <c r="AZ58" s="1355"/>
      <c r="BA58" s="1355"/>
      <c r="BC58" s="1355"/>
      <c r="BE58" s="1355"/>
      <c r="BF58" s="1355"/>
      <c r="BG58" s="1355"/>
    </row>
    <row r="59">
      <c r="R59" s="1355"/>
      <c r="S59" s="1355"/>
      <c r="W59" s="1355"/>
      <c r="X59" s="1355"/>
      <c r="AE59" s="1355"/>
      <c r="AF59" s="1355"/>
      <c r="AV59" s="1355"/>
      <c r="AW59" s="1355"/>
      <c r="AX59" s="1355"/>
      <c r="AY59" s="1355"/>
      <c r="AZ59" s="1355"/>
      <c r="BA59" s="1355"/>
      <c r="BC59" s="1355"/>
      <c r="BE59" s="1355"/>
      <c r="BF59" s="1355"/>
      <c r="BG59" s="1355"/>
    </row>
    <row r="60">
      <c r="R60" s="1355"/>
      <c r="S60" s="1355"/>
      <c r="W60" s="1355"/>
      <c r="X60" s="1355"/>
      <c r="AE60" s="1355"/>
      <c r="AF60" s="1355"/>
      <c r="AV60" s="1355"/>
      <c r="AW60" s="1355"/>
      <c r="AX60" s="1355"/>
      <c r="AY60" s="1355"/>
      <c r="AZ60" s="1355"/>
      <c r="BA60" s="1355"/>
      <c r="BC60" s="1355"/>
      <c r="BE60" s="1355"/>
      <c r="BF60" s="1355"/>
      <c r="BG60" s="1355"/>
    </row>
    <row r="61">
      <c r="R61" s="1355"/>
      <c r="S61" s="1355"/>
      <c r="W61" s="1355"/>
      <c r="X61" s="1355"/>
      <c r="AE61" s="1355"/>
      <c r="AF61" s="1355"/>
      <c r="AV61" s="1355"/>
      <c r="AW61" s="1355"/>
      <c r="AX61" s="1355"/>
      <c r="AY61" s="1355"/>
      <c r="AZ61" s="1355"/>
      <c r="BA61" s="1355"/>
      <c r="BC61" s="1355"/>
      <c r="BE61" s="1355"/>
      <c r="BF61" s="1355"/>
      <c r="BG61" s="1355"/>
    </row>
    <row r="62">
      <c r="R62" s="1355"/>
      <c r="S62" s="1355"/>
      <c r="W62" s="1355"/>
      <c r="X62" s="1355"/>
      <c r="AE62" s="1355"/>
      <c r="AF62" s="1355"/>
      <c r="AV62" s="1355"/>
      <c r="AW62" s="1355"/>
      <c r="AX62" s="1355"/>
      <c r="AY62" s="1355"/>
      <c r="AZ62" s="1355"/>
      <c r="BA62" s="1355"/>
      <c r="BC62" s="1355"/>
      <c r="BE62" s="1355"/>
      <c r="BF62" s="1355"/>
      <c r="BG62" s="1355"/>
    </row>
    <row r="63">
      <c r="R63" s="1355"/>
      <c r="S63" s="1355"/>
      <c r="W63" s="1355"/>
      <c r="X63" s="1355"/>
      <c r="AE63" s="1355"/>
      <c r="AF63" s="1355"/>
      <c r="AV63" s="1355"/>
      <c r="AW63" s="1355"/>
      <c r="AX63" s="1355"/>
      <c r="AY63" s="1355"/>
      <c r="AZ63" s="1355"/>
      <c r="BA63" s="1355"/>
      <c r="BC63" s="1355"/>
      <c r="BE63" s="1355"/>
      <c r="BF63" s="1355"/>
      <c r="BG63" s="1355"/>
    </row>
    <row r="64">
      <c r="R64" s="1355"/>
      <c r="S64" s="1355"/>
      <c r="W64" s="1355"/>
      <c r="X64" s="1355"/>
      <c r="AE64" s="1355"/>
      <c r="AF64" s="1355"/>
      <c r="AV64" s="1355"/>
      <c r="AW64" s="1355"/>
      <c r="AX64" s="1355"/>
      <c r="AY64" s="1355"/>
      <c r="AZ64" s="1355"/>
      <c r="BA64" s="1355"/>
      <c r="BC64" s="1355"/>
      <c r="BE64" s="1355"/>
      <c r="BF64" s="1355"/>
      <c r="BG64" s="1355"/>
    </row>
    <row r="65">
      <c r="R65" s="1355"/>
      <c r="S65" s="1355"/>
      <c r="W65" s="1355"/>
      <c r="X65" s="1355"/>
      <c r="AE65" s="1355"/>
      <c r="AF65" s="1355"/>
      <c r="AV65" s="1355"/>
      <c r="AW65" s="1355"/>
      <c r="AX65" s="1355"/>
      <c r="AY65" s="1355"/>
      <c r="AZ65" s="1355"/>
      <c r="BA65" s="1355"/>
      <c r="BC65" s="1355"/>
      <c r="BE65" s="1355"/>
      <c r="BF65" s="1355"/>
      <c r="BG65" s="1355"/>
    </row>
    <row r="66">
      <c r="R66" s="1355"/>
      <c r="S66" s="1355"/>
      <c r="W66" s="1355"/>
      <c r="X66" s="1355"/>
      <c r="AE66" s="1355"/>
      <c r="AF66" s="1355"/>
      <c r="AV66" s="1355"/>
      <c r="AW66" s="1355"/>
      <c r="AX66" s="1355"/>
      <c r="AY66" s="1355"/>
      <c r="AZ66" s="1355"/>
      <c r="BA66" s="1355"/>
      <c r="BC66" s="1355"/>
      <c r="BE66" s="1355"/>
      <c r="BF66" s="1355"/>
      <c r="BG66" s="1355"/>
    </row>
    <row r="67">
      <c r="R67" s="1355"/>
      <c r="S67" s="1355"/>
      <c r="W67" s="1355"/>
      <c r="X67" s="1355"/>
      <c r="AE67" s="1355"/>
      <c r="AF67" s="1355"/>
      <c r="AV67" s="1355"/>
      <c r="AW67" s="1355"/>
      <c r="AX67" s="1355"/>
      <c r="AY67" s="1355"/>
      <c r="AZ67" s="1355"/>
      <c r="BA67" s="1355"/>
      <c r="BC67" s="1355"/>
      <c r="BE67" s="1355"/>
      <c r="BF67" s="1355"/>
      <c r="BG67" s="1355"/>
    </row>
    <row r="68">
      <c r="R68" s="1355"/>
      <c r="S68" s="1355"/>
      <c r="W68" s="1355"/>
      <c r="X68" s="1355"/>
      <c r="AE68" s="1355"/>
      <c r="AF68" s="1355"/>
      <c r="AV68" s="1355"/>
      <c r="AW68" s="1355"/>
      <c r="AX68" s="1355"/>
      <c r="AY68" s="1355"/>
      <c r="AZ68" s="1355"/>
      <c r="BA68" s="1355"/>
      <c r="BC68" s="1355"/>
      <c r="BE68" s="1355"/>
      <c r="BF68" s="1355"/>
      <c r="BG68" s="1355"/>
    </row>
    <row r="69">
      <c r="R69" s="1355"/>
      <c r="S69" s="1355"/>
      <c r="W69" s="1355"/>
      <c r="X69" s="1355"/>
      <c r="AE69" s="1355"/>
      <c r="AF69" s="1355"/>
      <c r="AV69" s="1355"/>
      <c r="AW69" s="1355"/>
      <c r="AX69" s="1355"/>
      <c r="AY69" s="1355"/>
      <c r="AZ69" s="1355"/>
      <c r="BA69" s="1355"/>
      <c r="BC69" s="1355"/>
      <c r="BE69" s="1355"/>
      <c r="BF69" s="1355"/>
      <c r="BG69" s="1355"/>
    </row>
    <row r="70">
      <c r="R70" s="1355"/>
      <c r="S70" s="1355"/>
      <c r="W70" s="1355"/>
      <c r="X70" s="1355"/>
      <c r="AE70" s="1355"/>
      <c r="AF70" s="1355"/>
      <c r="AV70" s="1355"/>
      <c r="AW70" s="1355"/>
      <c r="AX70" s="1355"/>
      <c r="AY70" s="1355"/>
      <c r="AZ70" s="1355"/>
      <c r="BA70" s="1355"/>
      <c r="BC70" s="1355"/>
      <c r="BE70" s="1355"/>
      <c r="BF70" s="1355"/>
      <c r="BG70" s="1355"/>
    </row>
    <row r="71">
      <c r="R71" s="1355"/>
      <c r="S71" s="1355"/>
      <c r="W71" s="1355"/>
      <c r="X71" s="1355"/>
      <c r="AE71" s="1355"/>
      <c r="AF71" s="1355"/>
      <c r="AV71" s="1355"/>
      <c r="AW71" s="1355"/>
      <c r="AX71" s="1355"/>
      <c r="AY71" s="1355"/>
      <c r="AZ71" s="1355"/>
      <c r="BA71" s="1355"/>
      <c r="BC71" s="1355"/>
      <c r="BE71" s="1355"/>
      <c r="BF71" s="1355"/>
      <c r="BG71" s="1355"/>
    </row>
    <row r="72">
      <c r="R72" s="1355"/>
      <c r="S72" s="1355"/>
      <c r="W72" s="1355"/>
      <c r="X72" s="1355"/>
      <c r="AE72" s="1355"/>
      <c r="AF72" s="1355"/>
      <c r="AV72" s="1355"/>
      <c r="AW72" s="1355"/>
      <c r="AX72" s="1355"/>
      <c r="AY72" s="1355"/>
      <c r="AZ72" s="1355"/>
      <c r="BA72" s="1355"/>
      <c r="BC72" s="1355"/>
      <c r="BE72" s="1355"/>
      <c r="BF72" s="1355"/>
      <c r="BG72" s="1355"/>
    </row>
    <row r="73">
      <c r="R73" s="1355"/>
      <c r="S73" s="1355"/>
      <c r="W73" s="1355"/>
      <c r="X73" s="1355"/>
      <c r="AE73" s="1355"/>
      <c r="AF73" s="1355"/>
      <c r="AV73" s="1355"/>
      <c r="AW73" s="1355"/>
      <c r="AX73" s="1355"/>
      <c r="AY73" s="1355"/>
      <c r="AZ73" s="1355"/>
      <c r="BA73" s="1355"/>
      <c r="BC73" s="1355"/>
      <c r="BE73" s="1355"/>
      <c r="BF73" s="1355"/>
      <c r="BG73" s="1355"/>
    </row>
    <row r="74">
      <c r="R74" s="1355"/>
      <c r="S74" s="1355"/>
      <c r="W74" s="1355"/>
      <c r="X74" s="1355"/>
      <c r="AE74" s="1355"/>
      <c r="AF74" s="1355"/>
      <c r="AV74" s="1355"/>
      <c r="AW74" s="1355"/>
      <c r="AX74" s="1355"/>
      <c r="AY74" s="1355"/>
      <c r="AZ74" s="1355"/>
      <c r="BA74" s="1355"/>
      <c r="BC74" s="1355"/>
      <c r="BE74" s="1355"/>
      <c r="BF74" s="1355"/>
      <c r="BG74" s="1355"/>
    </row>
    <row r="75">
      <c r="R75" s="1355"/>
      <c r="S75" s="1355"/>
      <c r="W75" s="1355"/>
      <c r="X75" s="1355"/>
      <c r="AE75" s="1355"/>
      <c r="AF75" s="1355"/>
      <c r="AV75" s="1355"/>
      <c r="AW75" s="1355"/>
      <c r="AX75" s="1355"/>
      <c r="AY75" s="1355"/>
      <c r="AZ75" s="1355"/>
      <c r="BA75" s="1355"/>
      <c r="BC75" s="1355"/>
      <c r="BE75" s="1355"/>
      <c r="BF75" s="1355"/>
      <c r="BG75" s="1355"/>
    </row>
    <row r="76">
      <c r="R76" s="1355"/>
      <c r="S76" s="1355"/>
      <c r="W76" s="1355"/>
      <c r="X76" s="1355"/>
      <c r="AE76" s="1355"/>
      <c r="AF76" s="1355"/>
      <c r="AV76" s="1355"/>
      <c r="AW76" s="1355"/>
      <c r="AX76" s="1355"/>
      <c r="AY76" s="1355"/>
      <c r="AZ76" s="1355"/>
      <c r="BA76" s="1355"/>
      <c r="BC76" s="1355"/>
      <c r="BE76" s="1355"/>
      <c r="BF76" s="1355"/>
      <c r="BG76" s="1355"/>
    </row>
    <row r="77">
      <c r="R77" s="1355"/>
      <c r="S77" s="1355"/>
      <c r="W77" s="1355"/>
      <c r="X77" s="1355"/>
      <c r="AE77" s="1355"/>
      <c r="AF77" s="1355"/>
      <c r="AV77" s="1355"/>
      <c r="AW77" s="1355"/>
      <c r="AX77" s="1355"/>
      <c r="AY77" s="1355"/>
      <c r="AZ77" s="1355"/>
      <c r="BA77" s="1355"/>
      <c r="BC77" s="1355"/>
      <c r="BE77" s="1355"/>
      <c r="BF77" s="1355"/>
      <c r="BG77" s="1355"/>
    </row>
    <row r="78">
      <c r="R78" s="1355"/>
      <c r="S78" s="1355"/>
      <c r="W78" s="1355"/>
      <c r="X78" s="1355"/>
      <c r="AE78" s="1355"/>
      <c r="AF78" s="1355"/>
      <c r="AV78" s="1355"/>
      <c r="AW78" s="1355"/>
      <c r="AX78" s="1355"/>
      <c r="AY78" s="1355"/>
      <c r="AZ78" s="1355"/>
      <c r="BA78" s="1355"/>
      <c r="BC78" s="1355"/>
      <c r="BE78" s="1355"/>
      <c r="BF78" s="1355"/>
      <c r="BG78" s="1355"/>
    </row>
    <row r="79">
      <c r="R79" s="1355"/>
      <c r="S79" s="1355"/>
      <c r="W79" s="1355"/>
      <c r="X79" s="1355"/>
      <c r="AE79" s="1355"/>
      <c r="AF79" s="1355"/>
      <c r="AV79" s="1355"/>
      <c r="AW79" s="1355"/>
      <c r="AX79" s="1355"/>
      <c r="AY79" s="1355"/>
      <c r="AZ79" s="1355"/>
      <c r="BA79" s="1355"/>
      <c r="BC79" s="1355"/>
      <c r="BE79" s="1355"/>
      <c r="BF79" s="1355"/>
      <c r="BG79" s="1355"/>
    </row>
    <row r="80">
      <c r="R80" s="1355"/>
      <c r="S80" s="1355"/>
      <c r="W80" s="1355"/>
      <c r="X80" s="1355"/>
      <c r="AE80" s="1355"/>
      <c r="AF80" s="1355"/>
      <c r="AV80" s="1355"/>
      <c r="AW80" s="1355"/>
      <c r="AX80" s="1355"/>
      <c r="AY80" s="1355"/>
      <c r="AZ80" s="1355"/>
      <c r="BA80" s="1355"/>
      <c r="BC80" s="1355"/>
      <c r="BE80" s="1355"/>
      <c r="BF80" s="1355"/>
      <c r="BG80" s="1355"/>
    </row>
    <row r="81">
      <c r="R81" s="1355"/>
      <c r="S81" s="1355"/>
      <c r="W81" s="1355"/>
      <c r="X81" s="1355"/>
      <c r="AE81" s="1355"/>
      <c r="AF81" s="1355"/>
      <c r="AV81" s="1355"/>
      <c r="AW81" s="1355"/>
      <c r="AX81" s="1355"/>
      <c r="AY81" s="1355"/>
      <c r="AZ81" s="1355"/>
      <c r="BA81" s="1355"/>
      <c r="BC81" s="1355"/>
      <c r="BE81" s="1355"/>
      <c r="BF81" s="1355"/>
      <c r="BG81" s="1355"/>
    </row>
    <row r="82">
      <c r="R82" s="1355"/>
      <c r="S82" s="1355"/>
      <c r="W82" s="1355"/>
      <c r="X82" s="1355"/>
      <c r="AE82" s="1355"/>
      <c r="AF82" s="1355"/>
      <c r="AV82" s="1355"/>
      <c r="AW82" s="1355"/>
      <c r="AX82" s="1355"/>
      <c r="AY82" s="1355"/>
      <c r="AZ82" s="1355"/>
      <c r="BA82" s="1355"/>
      <c r="BC82" s="1355"/>
      <c r="BE82" s="1355"/>
      <c r="BF82" s="1355"/>
      <c r="BG82" s="1355"/>
    </row>
    <row r="83">
      <c r="R83" s="1355"/>
      <c r="S83" s="1355"/>
      <c r="W83" s="1355"/>
      <c r="X83" s="1355"/>
      <c r="AE83" s="1355"/>
      <c r="AF83" s="1355"/>
      <c r="AV83" s="1355"/>
      <c r="AW83" s="1355"/>
      <c r="AX83" s="1355"/>
      <c r="AY83" s="1355"/>
      <c r="AZ83" s="1355"/>
      <c r="BA83" s="1355"/>
      <c r="BC83" s="1355"/>
      <c r="BE83" s="1355"/>
      <c r="BF83" s="1355"/>
      <c r="BG83" s="1355"/>
    </row>
    <row r="84">
      <c r="R84" s="1355"/>
      <c r="S84" s="1355"/>
      <c r="W84" s="1355"/>
      <c r="X84" s="1355"/>
      <c r="AE84" s="1355"/>
      <c r="AF84" s="1355"/>
      <c r="AV84" s="1355"/>
      <c r="AW84" s="1355"/>
      <c r="AX84" s="1355"/>
      <c r="AY84" s="1355"/>
      <c r="AZ84" s="1355"/>
      <c r="BA84" s="1355"/>
      <c r="BC84" s="1355"/>
      <c r="BE84" s="1355"/>
      <c r="BF84" s="1355"/>
      <c r="BG84" s="1355"/>
    </row>
    <row r="85">
      <c r="R85" s="1355"/>
      <c r="S85" s="1355"/>
      <c r="W85" s="1355"/>
      <c r="X85" s="1355"/>
      <c r="AE85" s="1355"/>
      <c r="AF85" s="1355"/>
      <c r="AV85" s="1355"/>
      <c r="AW85" s="1355"/>
      <c r="AX85" s="1355"/>
      <c r="AY85" s="1355"/>
      <c r="AZ85" s="1355"/>
      <c r="BA85" s="1355"/>
      <c r="BC85" s="1355"/>
      <c r="BE85" s="1355"/>
      <c r="BF85" s="1355"/>
      <c r="BG85" s="1355"/>
    </row>
    <row r="86">
      <c r="R86" s="1355"/>
      <c r="S86" s="1355"/>
      <c r="W86" s="1355"/>
      <c r="X86" s="1355"/>
      <c r="AE86" s="1355"/>
      <c r="AF86" s="1355"/>
      <c r="AV86" s="1355"/>
      <c r="AW86" s="1355"/>
      <c r="AX86" s="1355"/>
      <c r="AY86" s="1355"/>
      <c r="AZ86" s="1355"/>
      <c r="BA86" s="1355"/>
      <c r="BC86" s="1355"/>
      <c r="BE86" s="1355"/>
      <c r="BF86" s="1355"/>
      <c r="BG86" s="1355"/>
    </row>
    <row r="87">
      <c r="R87" s="1355"/>
      <c r="S87" s="1355"/>
      <c r="W87" s="1355"/>
      <c r="X87" s="1355"/>
      <c r="AE87" s="1355"/>
      <c r="AF87" s="1355"/>
      <c r="AV87" s="1355"/>
      <c r="AW87" s="1355"/>
      <c r="AX87" s="1355"/>
      <c r="AY87" s="1355"/>
      <c r="AZ87" s="1355"/>
      <c r="BA87" s="1355"/>
      <c r="BC87" s="1355"/>
      <c r="BE87" s="1355"/>
      <c r="BF87" s="1355"/>
      <c r="BG87" s="1355"/>
    </row>
    <row r="88">
      <c r="R88" s="1355"/>
      <c r="S88" s="1355"/>
      <c r="W88" s="1355"/>
      <c r="X88" s="1355"/>
      <c r="AE88" s="1355"/>
      <c r="AF88" s="1355"/>
      <c r="AV88" s="1355"/>
      <c r="AW88" s="1355"/>
      <c r="AX88" s="1355"/>
      <c r="AY88" s="1355"/>
      <c r="AZ88" s="1355"/>
      <c r="BA88" s="1355"/>
      <c r="BC88" s="1355"/>
      <c r="BE88" s="1355"/>
      <c r="BF88" s="1355"/>
      <c r="BG88" s="1355"/>
    </row>
    <row r="89">
      <c r="R89" s="1355"/>
      <c r="S89" s="1355"/>
      <c r="W89" s="1355"/>
      <c r="X89" s="1355"/>
      <c r="AE89" s="1355"/>
      <c r="AF89" s="1355"/>
      <c r="AV89" s="1355"/>
      <c r="AW89" s="1355"/>
      <c r="AX89" s="1355"/>
      <c r="AY89" s="1355"/>
      <c r="AZ89" s="1355"/>
      <c r="BA89" s="1355"/>
      <c r="BC89" s="1355"/>
      <c r="BE89" s="1355"/>
      <c r="BF89" s="1355"/>
      <c r="BG89" s="1355"/>
    </row>
    <row r="90">
      <c r="R90" s="1355"/>
      <c r="S90" s="1355"/>
      <c r="W90" s="1355"/>
      <c r="X90" s="1355"/>
      <c r="AE90" s="1355"/>
      <c r="AF90" s="1355"/>
      <c r="AV90" s="1355"/>
      <c r="AW90" s="1355"/>
      <c r="AX90" s="1355"/>
      <c r="AY90" s="1355"/>
      <c r="AZ90" s="1355"/>
      <c r="BA90" s="1355"/>
      <c r="BC90" s="1355"/>
      <c r="BE90" s="1355"/>
      <c r="BF90" s="1355"/>
      <c r="BG90" s="1355"/>
    </row>
    <row r="91">
      <c r="R91" s="1355"/>
      <c r="S91" s="1355"/>
      <c r="W91" s="1355"/>
      <c r="X91" s="1355"/>
      <c r="AE91" s="1355"/>
      <c r="AF91" s="1355"/>
      <c r="AV91" s="1355"/>
      <c r="AW91" s="1355"/>
      <c r="AX91" s="1355"/>
      <c r="AY91" s="1355"/>
      <c r="AZ91" s="1355"/>
      <c r="BA91" s="1355"/>
      <c r="BC91" s="1355"/>
      <c r="BE91" s="1355"/>
      <c r="BF91" s="1355"/>
      <c r="BG91" s="1355"/>
    </row>
    <row r="92">
      <c r="R92" s="1355"/>
      <c r="S92" s="1355"/>
      <c r="W92" s="1355"/>
      <c r="X92" s="1355"/>
      <c r="AE92" s="1355"/>
      <c r="AF92" s="1355"/>
      <c r="AV92" s="1355"/>
      <c r="AW92" s="1355"/>
      <c r="AX92" s="1355"/>
      <c r="AY92" s="1355"/>
      <c r="AZ92" s="1355"/>
      <c r="BA92" s="1355"/>
      <c r="BC92" s="1355"/>
      <c r="BE92" s="1355"/>
      <c r="BF92" s="1355"/>
      <c r="BG92" s="1355"/>
    </row>
    <row r="93">
      <c r="R93" s="1355"/>
      <c r="S93" s="1355"/>
      <c r="W93" s="1355"/>
      <c r="X93" s="1355"/>
      <c r="AE93" s="1355"/>
      <c r="AF93" s="1355"/>
      <c r="AV93" s="1355"/>
      <c r="AW93" s="1355"/>
      <c r="AX93" s="1355"/>
      <c r="AY93" s="1355"/>
      <c r="AZ93" s="1355"/>
      <c r="BA93" s="1355"/>
      <c r="BC93" s="1355"/>
      <c r="BE93" s="1355"/>
      <c r="BF93" s="1355"/>
      <c r="BG93" s="1355"/>
    </row>
    <row r="94">
      <c r="R94" s="1355"/>
      <c r="S94" s="1355"/>
      <c r="W94" s="1355"/>
      <c r="X94" s="1355"/>
      <c r="AE94" s="1355"/>
      <c r="AF94" s="1355"/>
      <c r="AV94" s="1355"/>
      <c r="AW94" s="1355"/>
      <c r="AX94" s="1355"/>
      <c r="AY94" s="1355"/>
      <c r="AZ94" s="1355"/>
      <c r="BA94" s="1355"/>
      <c r="BC94" s="1355"/>
      <c r="BE94" s="1355"/>
      <c r="BF94" s="1355"/>
      <c r="BG94" s="1355"/>
    </row>
    <row r="95">
      <c r="R95" s="1355"/>
      <c r="S95" s="1355"/>
      <c r="W95" s="1355"/>
      <c r="X95" s="1355"/>
      <c r="AE95" s="1355"/>
      <c r="AF95" s="1355"/>
      <c r="AV95" s="1355"/>
      <c r="AW95" s="1355"/>
      <c r="AX95" s="1355"/>
      <c r="AY95" s="1355"/>
      <c r="AZ95" s="1355"/>
      <c r="BA95" s="1355"/>
      <c r="BC95" s="1355"/>
      <c r="BE95" s="1355"/>
      <c r="BF95" s="1355"/>
      <c r="BG95" s="1355"/>
    </row>
    <row r="96">
      <c r="R96" s="1355"/>
      <c r="S96" s="1355"/>
      <c r="W96" s="1355"/>
      <c r="X96" s="1355"/>
      <c r="AE96" s="1355"/>
      <c r="AF96" s="1355"/>
      <c r="AV96" s="1355"/>
      <c r="AW96" s="1355"/>
      <c r="AX96" s="1355"/>
      <c r="AY96" s="1355"/>
      <c r="AZ96" s="1355"/>
      <c r="BA96" s="1355"/>
      <c r="BC96" s="1355"/>
      <c r="BE96" s="1355"/>
      <c r="BF96" s="1355"/>
      <c r="BG96" s="1355"/>
    </row>
    <row r="97">
      <c r="R97" s="1355"/>
      <c r="S97" s="1355"/>
      <c r="W97" s="1355"/>
      <c r="X97" s="1355"/>
      <c r="AE97" s="1355"/>
      <c r="AF97" s="1355"/>
      <c r="AV97" s="1355"/>
      <c r="AW97" s="1355"/>
      <c r="AX97" s="1355"/>
      <c r="AY97" s="1355"/>
      <c r="AZ97" s="1355"/>
      <c r="BA97" s="1355"/>
      <c r="BC97" s="1355"/>
      <c r="BE97" s="1355"/>
      <c r="BF97" s="1355"/>
      <c r="BG97" s="1355"/>
    </row>
    <row r="98">
      <c r="R98" s="1355"/>
      <c r="S98" s="1355"/>
      <c r="W98" s="1355"/>
      <c r="X98" s="1355"/>
      <c r="AE98" s="1355"/>
      <c r="AF98" s="1355"/>
      <c r="AV98" s="1355"/>
      <c r="AW98" s="1355"/>
      <c r="AX98" s="1355"/>
      <c r="AY98" s="1355"/>
      <c r="AZ98" s="1355"/>
      <c r="BA98" s="1355"/>
      <c r="BC98" s="1355"/>
      <c r="BE98" s="1355"/>
      <c r="BF98" s="1355"/>
      <c r="BG98" s="1355"/>
    </row>
    <row r="99">
      <c r="R99" s="1355"/>
      <c r="S99" s="1355"/>
      <c r="W99" s="1355"/>
      <c r="X99" s="1355"/>
      <c r="AE99" s="1355"/>
      <c r="AF99" s="1355"/>
      <c r="AV99" s="1355"/>
      <c r="AW99" s="1355"/>
      <c r="AX99" s="1355"/>
      <c r="AY99" s="1355"/>
      <c r="AZ99" s="1355"/>
      <c r="BA99" s="1355"/>
      <c r="BC99" s="1355"/>
      <c r="BE99" s="1355"/>
      <c r="BF99" s="1355"/>
      <c r="BG99" s="1355"/>
    </row>
    <row r="100">
      <c r="R100" s="1355"/>
      <c r="S100" s="1355"/>
      <c r="W100" s="1355"/>
      <c r="X100" s="1355"/>
      <c r="AE100" s="1355"/>
      <c r="AF100" s="1355"/>
      <c r="AV100" s="1355"/>
      <c r="AW100" s="1355"/>
      <c r="AX100" s="1355"/>
      <c r="AY100" s="1355"/>
      <c r="AZ100" s="1355"/>
      <c r="BA100" s="1355"/>
      <c r="BC100" s="1355"/>
      <c r="BE100" s="1355"/>
      <c r="BF100" s="1355"/>
      <c r="BG100" s="1355"/>
    </row>
    <row r="101">
      <c r="R101" s="1355"/>
      <c r="S101" s="1355"/>
      <c r="W101" s="1355"/>
      <c r="X101" s="1355"/>
      <c r="AE101" s="1355"/>
      <c r="AF101" s="1355"/>
      <c r="AV101" s="1355"/>
      <c r="AW101" s="1355"/>
      <c r="AX101" s="1355"/>
      <c r="AY101" s="1355"/>
      <c r="AZ101" s="1355"/>
      <c r="BA101" s="1355"/>
      <c r="BC101" s="1355"/>
      <c r="BE101" s="1355"/>
      <c r="BF101" s="1355"/>
      <c r="BG101" s="1355"/>
    </row>
    <row r="102">
      <c r="R102" s="1355"/>
      <c r="S102" s="1355"/>
      <c r="W102" s="1355"/>
      <c r="X102" s="1355"/>
      <c r="AE102" s="1355"/>
      <c r="AF102" s="1355"/>
      <c r="AV102" s="1355"/>
      <c r="AW102" s="1355"/>
      <c r="AX102" s="1355"/>
      <c r="AY102" s="1355"/>
      <c r="AZ102" s="1355"/>
      <c r="BA102" s="1355"/>
      <c r="BC102" s="1355"/>
      <c r="BE102" s="1355"/>
      <c r="BF102" s="1355"/>
      <c r="BG102" s="1355"/>
    </row>
    <row r="103">
      <c r="R103" s="1355"/>
      <c r="S103" s="1355"/>
      <c r="W103" s="1355"/>
      <c r="X103" s="1355"/>
      <c r="AE103" s="1355"/>
      <c r="AF103" s="1355"/>
      <c r="AV103" s="1355"/>
      <c r="AW103" s="1355"/>
      <c r="AX103" s="1355"/>
      <c r="AY103" s="1355"/>
      <c r="AZ103" s="1355"/>
      <c r="BA103" s="1355"/>
      <c r="BC103" s="1355"/>
      <c r="BE103" s="1355"/>
      <c r="BF103" s="1355"/>
      <c r="BG103" s="1355"/>
    </row>
    <row r="104">
      <c r="R104" s="1355"/>
      <c r="S104" s="1355"/>
      <c r="W104" s="1355"/>
      <c r="X104" s="1355"/>
      <c r="AE104" s="1355"/>
      <c r="AF104" s="1355"/>
      <c r="AV104" s="1355"/>
      <c r="AW104" s="1355"/>
      <c r="AX104" s="1355"/>
      <c r="AY104" s="1355"/>
      <c r="AZ104" s="1355"/>
      <c r="BA104" s="1355"/>
      <c r="BC104" s="1355"/>
      <c r="BE104" s="1355"/>
      <c r="BF104" s="1355"/>
      <c r="BG104" s="1355"/>
    </row>
    <row r="105">
      <c r="R105" s="1355"/>
      <c r="S105" s="1355"/>
      <c r="W105" s="1355"/>
      <c r="X105" s="1355"/>
      <c r="AE105" s="1355"/>
      <c r="AF105" s="1355"/>
      <c r="AV105" s="1355"/>
      <c r="AW105" s="1355"/>
      <c r="AX105" s="1355"/>
      <c r="AY105" s="1355"/>
      <c r="AZ105" s="1355"/>
      <c r="BA105" s="1355"/>
      <c r="BC105" s="1355"/>
      <c r="BE105" s="1355"/>
      <c r="BF105" s="1355"/>
      <c r="BG105" s="1355"/>
    </row>
    <row r="106">
      <c r="R106" s="1355"/>
      <c r="S106" s="1355"/>
      <c r="W106" s="1355"/>
      <c r="X106" s="1355"/>
      <c r="AE106" s="1355"/>
      <c r="AF106" s="1355"/>
      <c r="AV106" s="1355"/>
      <c r="AW106" s="1355"/>
      <c r="AX106" s="1355"/>
      <c r="AY106" s="1355"/>
      <c r="AZ106" s="1355"/>
      <c r="BA106" s="1355"/>
      <c r="BC106" s="1355"/>
      <c r="BE106" s="1355"/>
      <c r="BF106" s="1355"/>
      <c r="BG106" s="1355"/>
    </row>
    <row r="107">
      <c r="R107" s="1355"/>
      <c r="S107" s="1355"/>
      <c r="W107" s="1355"/>
      <c r="X107" s="1355"/>
      <c r="AE107" s="1355"/>
      <c r="AF107" s="1355"/>
      <c r="AV107" s="1355"/>
      <c r="AW107" s="1355"/>
      <c r="AX107" s="1355"/>
      <c r="AY107" s="1355"/>
      <c r="AZ107" s="1355"/>
      <c r="BA107" s="1355"/>
      <c r="BC107" s="1355"/>
      <c r="BE107" s="1355"/>
      <c r="BF107" s="1355"/>
      <c r="BG107" s="1355"/>
    </row>
    <row r="108">
      <c r="R108" s="1355"/>
      <c r="S108" s="1355"/>
      <c r="W108" s="1355"/>
      <c r="X108" s="1355"/>
      <c r="AE108" s="1355"/>
      <c r="AF108" s="1355"/>
      <c r="AV108" s="1355"/>
      <c r="AW108" s="1355"/>
      <c r="AX108" s="1355"/>
      <c r="AY108" s="1355"/>
      <c r="AZ108" s="1355"/>
      <c r="BA108" s="1355"/>
      <c r="BC108" s="1355"/>
      <c r="BE108" s="1355"/>
      <c r="BF108" s="1355"/>
      <c r="BG108" s="1355"/>
    </row>
    <row r="109">
      <c r="R109" s="1355"/>
      <c r="S109" s="1355"/>
      <c r="W109" s="1355"/>
      <c r="X109" s="1355"/>
      <c r="AE109" s="1355"/>
      <c r="AF109" s="1355"/>
      <c r="AV109" s="1355"/>
      <c r="AW109" s="1355"/>
      <c r="AX109" s="1355"/>
      <c r="AY109" s="1355"/>
      <c r="AZ109" s="1355"/>
      <c r="BA109" s="1355"/>
      <c r="BC109" s="1355"/>
      <c r="BE109" s="1355"/>
      <c r="BF109" s="1355"/>
      <c r="BG109" s="1355"/>
    </row>
    <row r="110">
      <c r="R110" s="1355"/>
      <c r="S110" s="1355"/>
      <c r="W110" s="1355"/>
      <c r="X110" s="1355"/>
      <c r="AE110" s="1355"/>
      <c r="AF110" s="1355"/>
      <c r="AV110" s="1355"/>
      <c r="AW110" s="1355"/>
      <c r="AX110" s="1355"/>
      <c r="AY110" s="1355"/>
      <c r="AZ110" s="1355"/>
      <c r="BA110" s="1355"/>
      <c r="BC110" s="1355"/>
      <c r="BE110" s="1355"/>
      <c r="BF110" s="1355"/>
      <c r="BG110" s="1355"/>
    </row>
    <row r="111">
      <c r="R111" s="1355"/>
      <c r="S111" s="1355"/>
      <c r="W111" s="1355"/>
      <c r="X111" s="1355"/>
      <c r="AE111" s="1355"/>
      <c r="AF111" s="1355"/>
      <c r="AV111" s="1355"/>
      <c r="AW111" s="1355"/>
      <c r="AX111" s="1355"/>
      <c r="AY111" s="1355"/>
      <c r="AZ111" s="1355"/>
      <c r="BA111" s="1355"/>
      <c r="BC111" s="1355"/>
      <c r="BE111" s="1355"/>
      <c r="BF111" s="1355"/>
      <c r="BG111" s="1355"/>
    </row>
    <row r="112">
      <c r="R112" s="1355"/>
      <c r="S112" s="1355"/>
      <c r="W112" s="1355"/>
      <c r="X112" s="1355"/>
      <c r="AE112" s="1355"/>
      <c r="AF112" s="1355"/>
      <c r="AV112" s="1355"/>
      <c r="AW112" s="1355"/>
      <c r="AX112" s="1355"/>
      <c r="AY112" s="1355"/>
      <c r="AZ112" s="1355"/>
      <c r="BA112" s="1355"/>
      <c r="BC112" s="1355"/>
      <c r="BE112" s="1355"/>
      <c r="BF112" s="1355"/>
      <c r="BG112" s="1355"/>
    </row>
    <row r="113">
      <c r="R113" s="1355"/>
      <c r="S113" s="1355"/>
      <c r="W113" s="1355"/>
      <c r="X113" s="1355"/>
      <c r="AE113" s="1355"/>
      <c r="AF113" s="1355"/>
      <c r="AV113" s="1355"/>
      <c r="AW113" s="1355"/>
      <c r="AX113" s="1355"/>
      <c r="AY113" s="1355"/>
      <c r="AZ113" s="1355"/>
      <c r="BA113" s="1355"/>
      <c r="BC113" s="1355"/>
      <c r="BE113" s="1355"/>
      <c r="BF113" s="1355"/>
      <c r="BG113" s="1355"/>
    </row>
    <row r="114">
      <c r="R114" s="1355"/>
      <c r="S114" s="1355"/>
      <c r="W114" s="1355"/>
      <c r="X114" s="1355"/>
      <c r="AE114" s="1355"/>
      <c r="AF114" s="1355"/>
      <c r="AV114" s="1355"/>
      <c r="AW114" s="1355"/>
      <c r="AX114" s="1355"/>
      <c r="AY114" s="1355"/>
      <c r="AZ114" s="1355"/>
      <c r="BA114" s="1355"/>
      <c r="BC114" s="1355"/>
      <c r="BE114" s="1355"/>
      <c r="BF114" s="1355"/>
      <c r="BG114" s="1355"/>
    </row>
    <row r="115">
      <c r="R115" s="1355"/>
      <c r="S115" s="1355"/>
      <c r="W115" s="1355"/>
      <c r="X115" s="1355"/>
      <c r="AE115" s="1355"/>
      <c r="AF115" s="1355"/>
      <c r="AV115" s="1355"/>
      <c r="AW115" s="1355"/>
      <c r="AX115" s="1355"/>
      <c r="AY115" s="1355"/>
      <c r="AZ115" s="1355"/>
      <c r="BA115" s="1355"/>
      <c r="BC115" s="1355"/>
      <c r="BE115" s="1355"/>
      <c r="BF115" s="1355"/>
      <c r="BG115" s="1355"/>
    </row>
    <row r="116">
      <c r="R116" s="1355"/>
      <c r="S116" s="1355"/>
      <c r="W116" s="1355"/>
      <c r="X116" s="1355"/>
      <c r="AE116" s="1355"/>
      <c r="AF116" s="1355"/>
      <c r="AV116" s="1355"/>
      <c r="AW116" s="1355"/>
      <c r="AX116" s="1355"/>
      <c r="AY116" s="1355"/>
      <c r="AZ116" s="1355"/>
      <c r="BA116" s="1355"/>
      <c r="BC116" s="1355"/>
      <c r="BE116" s="1355"/>
      <c r="BF116" s="1355"/>
      <c r="BG116" s="1355"/>
    </row>
    <row r="117">
      <c r="R117" s="1355"/>
      <c r="S117" s="1355"/>
      <c r="W117" s="1355"/>
      <c r="X117" s="1355"/>
      <c r="AE117" s="1355"/>
      <c r="AF117" s="1355"/>
      <c r="AV117" s="1355"/>
      <c r="AW117" s="1355"/>
      <c r="AX117" s="1355"/>
      <c r="AY117" s="1355"/>
      <c r="AZ117" s="1355"/>
      <c r="BA117" s="1355"/>
      <c r="BC117" s="1355"/>
      <c r="BE117" s="1355"/>
      <c r="BF117" s="1355"/>
      <c r="BG117" s="1355"/>
    </row>
    <row r="118">
      <c r="R118" s="1355"/>
      <c r="S118" s="1355"/>
      <c r="W118" s="1355"/>
      <c r="X118" s="1355"/>
      <c r="AE118" s="1355"/>
      <c r="AF118" s="1355"/>
      <c r="AV118" s="1355"/>
      <c r="AW118" s="1355"/>
      <c r="AX118" s="1355"/>
      <c r="AY118" s="1355"/>
      <c r="AZ118" s="1355"/>
      <c r="BA118" s="1355"/>
      <c r="BC118" s="1355"/>
      <c r="BE118" s="1355"/>
      <c r="BF118" s="1355"/>
      <c r="BG118" s="1355"/>
    </row>
    <row r="119">
      <c r="R119" s="1355"/>
      <c r="S119" s="1355"/>
      <c r="W119" s="1355"/>
      <c r="X119" s="1355"/>
      <c r="AE119" s="1355"/>
      <c r="AF119" s="1355"/>
      <c r="AV119" s="1355"/>
      <c r="AW119" s="1355"/>
      <c r="AX119" s="1355"/>
      <c r="AY119" s="1355"/>
      <c r="AZ119" s="1355"/>
      <c r="BA119" s="1355"/>
      <c r="BC119" s="1355"/>
      <c r="BE119" s="1355"/>
      <c r="BF119" s="1355"/>
      <c r="BG119" s="1355"/>
    </row>
    <row r="120">
      <c r="R120" s="1355"/>
      <c r="S120" s="1355"/>
      <c r="W120" s="1355"/>
      <c r="X120" s="1355"/>
      <c r="AE120" s="1355"/>
      <c r="AF120" s="1355"/>
      <c r="AV120" s="1355"/>
      <c r="AW120" s="1355"/>
      <c r="AX120" s="1355"/>
      <c r="AY120" s="1355"/>
      <c r="AZ120" s="1355"/>
      <c r="BA120" s="1355"/>
      <c r="BC120" s="1355"/>
      <c r="BE120" s="1355"/>
      <c r="BF120" s="1355"/>
      <c r="BG120" s="1355"/>
    </row>
    <row r="121">
      <c r="R121" s="1355"/>
      <c r="S121" s="1355"/>
      <c r="W121" s="1355"/>
      <c r="X121" s="1355"/>
      <c r="AE121" s="1355"/>
      <c r="AF121" s="1355"/>
      <c r="AV121" s="1355"/>
      <c r="AW121" s="1355"/>
      <c r="AX121" s="1355"/>
      <c r="AY121" s="1355"/>
      <c r="AZ121" s="1355"/>
      <c r="BA121" s="1355"/>
      <c r="BC121" s="1355"/>
      <c r="BE121" s="1355"/>
      <c r="BF121" s="1355"/>
      <c r="BG121" s="1355"/>
    </row>
    <row r="122">
      <c r="R122" s="1355"/>
      <c r="S122" s="1355"/>
      <c r="W122" s="1355"/>
      <c r="X122" s="1355"/>
      <c r="AE122" s="1355"/>
      <c r="AF122" s="1355"/>
      <c r="AV122" s="1355"/>
      <c r="AW122" s="1355"/>
      <c r="AX122" s="1355"/>
      <c r="AY122" s="1355"/>
      <c r="AZ122" s="1355"/>
      <c r="BA122" s="1355"/>
      <c r="BC122" s="1355"/>
      <c r="BE122" s="1355"/>
      <c r="BF122" s="1355"/>
      <c r="BG122" s="1355"/>
    </row>
    <row r="123">
      <c r="R123" s="1355"/>
      <c r="S123" s="1355"/>
      <c r="W123" s="1355"/>
      <c r="X123" s="1355"/>
      <c r="AE123" s="1355"/>
      <c r="AF123" s="1355"/>
      <c r="AV123" s="1355"/>
      <c r="AW123" s="1355"/>
      <c r="AX123" s="1355"/>
      <c r="AY123" s="1355"/>
      <c r="AZ123" s="1355"/>
      <c r="BA123" s="1355"/>
      <c r="BC123" s="1355"/>
      <c r="BE123" s="1355"/>
      <c r="BF123" s="1355"/>
      <c r="BG123" s="1355"/>
    </row>
    <row r="124">
      <c r="R124" s="1355"/>
      <c r="S124" s="1355"/>
      <c r="W124" s="1355"/>
      <c r="X124" s="1355"/>
      <c r="AE124" s="1355"/>
      <c r="AF124" s="1355"/>
      <c r="AV124" s="1355"/>
      <c r="AW124" s="1355"/>
      <c r="AX124" s="1355"/>
      <c r="AY124" s="1355"/>
      <c r="AZ124" s="1355"/>
      <c r="BA124" s="1355"/>
      <c r="BC124" s="1355"/>
      <c r="BE124" s="1355"/>
      <c r="BF124" s="1355"/>
      <c r="BG124" s="1355"/>
    </row>
    <row r="125">
      <c r="R125" s="1355"/>
      <c r="S125" s="1355"/>
      <c r="W125" s="1355"/>
      <c r="X125" s="1355"/>
      <c r="AE125" s="1355"/>
      <c r="AF125" s="1355"/>
      <c r="AV125" s="1355"/>
      <c r="AW125" s="1355"/>
      <c r="AX125" s="1355"/>
      <c r="AY125" s="1355"/>
      <c r="AZ125" s="1355"/>
      <c r="BA125" s="1355"/>
      <c r="BC125" s="1355"/>
      <c r="BE125" s="1355"/>
      <c r="BF125" s="1355"/>
      <c r="BG125" s="1355"/>
    </row>
    <row r="126">
      <c r="R126" s="1355"/>
      <c r="S126" s="1355"/>
      <c r="W126" s="1355"/>
      <c r="X126" s="1355"/>
      <c r="AE126" s="1355"/>
      <c r="AF126" s="1355"/>
      <c r="AV126" s="1355"/>
      <c r="AW126" s="1355"/>
      <c r="AX126" s="1355"/>
      <c r="AY126" s="1355"/>
      <c r="AZ126" s="1355"/>
      <c r="BA126" s="1355"/>
      <c r="BC126" s="1355"/>
      <c r="BE126" s="1355"/>
      <c r="BF126" s="1355"/>
      <c r="BG126" s="1355"/>
    </row>
    <row r="127">
      <c r="R127" s="1355"/>
      <c r="S127" s="1355"/>
      <c r="W127" s="1355"/>
      <c r="X127" s="1355"/>
      <c r="AE127" s="1355"/>
      <c r="AF127" s="1355"/>
      <c r="AV127" s="1355"/>
      <c r="AW127" s="1355"/>
      <c r="AX127" s="1355"/>
      <c r="AY127" s="1355"/>
      <c r="AZ127" s="1355"/>
      <c r="BA127" s="1355"/>
      <c r="BC127" s="1355"/>
      <c r="BE127" s="1355"/>
      <c r="BF127" s="1355"/>
      <c r="BG127" s="1355"/>
    </row>
    <row r="128">
      <c r="R128" s="1355"/>
      <c r="S128" s="1355"/>
      <c r="W128" s="1355"/>
      <c r="X128" s="1355"/>
      <c r="AE128" s="1355"/>
      <c r="AF128" s="1355"/>
      <c r="AV128" s="1355"/>
      <c r="AW128" s="1355"/>
      <c r="AX128" s="1355"/>
      <c r="AY128" s="1355"/>
      <c r="AZ128" s="1355"/>
      <c r="BA128" s="1355"/>
      <c r="BC128" s="1355"/>
      <c r="BE128" s="1355"/>
      <c r="BF128" s="1355"/>
      <c r="BG128" s="1355"/>
    </row>
    <row r="129">
      <c r="R129" s="1355"/>
      <c r="S129" s="1355"/>
      <c r="W129" s="1355"/>
      <c r="X129" s="1355"/>
      <c r="AE129" s="1355"/>
      <c r="AF129" s="1355"/>
      <c r="AV129" s="1355"/>
      <c r="AW129" s="1355"/>
      <c r="AX129" s="1355"/>
      <c r="AY129" s="1355"/>
      <c r="AZ129" s="1355"/>
      <c r="BA129" s="1355"/>
      <c r="BC129" s="1355"/>
      <c r="BE129" s="1355"/>
      <c r="BF129" s="1355"/>
      <c r="BG129" s="1355"/>
    </row>
    <row r="130">
      <c r="R130" s="1355"/>
      <c r="S130" s="1355"/>
      <c r="W130" s="1355"/>
      <c r="X130" s="1355"/>
      <c r="AE130" s="1355"/>
      <c r="AF130" s="1355"/>
      <c r="AV130" s="1355"/>
      <c r="AW130" s="1355"/>
      <c r="AX130" s="1355"/>
      <c r="AY130" s="1355"/>
      <c r="AZ130" s="1355"/>
      <c r="BA130" s="1355"/>
      <c r="BC130" s="1355"/>
      <c r="BE130" s="1355"/>
      <c r="BF130" s="1355"/>
      <c r="BG130" s="1355"/>
    </row>
    <row r="131">
      <c r="R131" s="1355"/>
      <c r="S131" s="1355"/>
      <c r="W131" s="1355"/>
      <c r="X131" s="1355"/>
      <c r="AE131" s="1355"/>
      <c r="AF131" s="1355"/>
      <c r="AV131" s="1355"/>
      <c r="AW131" s="1355"/>
      <c r="AX131" s="1355"/>
      <c r="AY131" s="1355"/>
      <c r="AZ131" s="1355"/>
      <c r="BA131" s="1355"/>
      <c r="BC131" s="1355"/>
      <c r="BE131" s="1355"/>
      <c r="BF131" s="1355"/>
      <c r="BG131" s="1355"/>
    </row>
    <row r="132">
      <c r="R132" s="1355"/>
      <c r="S132" s="1355"/>
      <c r="W132" s="1355"/>
      <c r="X132" s="1355"/>
      <c r="AE132" s="1355"/>
      <c r="AF132" s="1355"/>
      <c r="AV132" s="1355"/>
      <c r="AW132" s="1355"/>
      <c r="AX132" s="1355"/>
      <c r="AY132" s="1355"/>
      <c r="AZ132" s="1355"/>
      <c r="BA132" s="1355"/>
      <c r="BC132" s="1355"/>
      <c r="BE132" s="1355"/>
      <c r="BF132" s="1355"/>
      <c r="BG132" s="1355"/>
    </row>
    <row r="133">
      <c r="R133" s="1355"/>
      <c r="S133" s="1355"/>
      <c r="W133" s="1355"/>
      <c r="X133" s="1355"/>
      <c r="AE133" s="1355"/>
      <c r="AF133" s="1355"/>
      <c r="AV133" s="1355"/>
      <c r="AW133" s="1355"/>
      <c r="AX133" s="1355"/>
      <c r="AY133" s="1355"/>
      <c r="AZ133" s="1355"/>
      <c r="BA133" s="1355"/>
      <c r="BC133" s="1355"/>
      <c r="BE133" s="1355"/>
      <c r="BF133" s="1355"/>
      <c r="BG133" s="1355"/>
    </row>
    <row r="134">
      <c r="R134" s="1355"/>
      <c r="S134" s="1355"/>
      <c r="W134" s="1355"/>
      <c r="X134" s="1355"/>
      <c r="AE134" s="1355"/>
      <c r="AF134" s="1355"/>
      <c r="AV134" s="1355"/>
      <c r="AW134" s="1355"/>
      <c r="AX134" s="1355"/>
      <c r="AY134" s="1355"/>
      <c r="AZ134" s="1355"/>
      <c r="BA134" s="1355"/>
      <c r="BC134" s="1355"/>
      <c r="BE134" s="1355"/>
      <c r="BF134" s="1355"/>
      <c r="BG134" s="1355"/>
    </row>
    <row r="135">
      <c r="R135" s="1355"/>
      <c r="S135" s="1355"/>
      <c r="W135" s="1355"/>
      <c r="X135" s="1355"/>
      <c r="AE135" s="1355"/>
      <c r="AF135" s="1355"/>
      <c r="AV135" s="1355"/>
      <c r="AW135" s="1355"/>
      <c r="AX135" s="1355"/>
      <c r="AY135" s="1355"/>
      <c r="AZ135" s="1355"/>
      <c r="BA135" s="1355"/>
      <c r="BC135" s="1355"/>
      <c r="BE135" s="1355"/>
      <c r="BF135" s="1355"/>
      <c r="BG135" s="1355"/>
    </row>
    <row r="136">
      <c r="R136" s="1355"/>
      <c r="S136" s="1355"/>
      <c r="W136" s="1355"/>
      <c r="X136" s="1355"/>
      <c r="AE136" s="1355"/>
      <c r="AF136" s="1355"/>
      <c r="AV136" s="1355"/>
      <c r="AW136" s="1355"/>
      <c r="AX136" s="1355"/>
      <c r="AY136" s="1355"/>
      <c r="AZ136" s="1355"/>
      <c r="BA136" s="1355"/>
      <c r="BC136" s="1355"/>
      <c r="BE136" s="1355"/>
      <c r="BF136" s="1355"/>
      <c r="BG136" s="1355"/>
    </row>
    <row r="137">
      <c r="R137" s="1355"/>
      <c r="S137" s="1355"/>
      <c r="W137" s="1355"/>
      <c r="X137" s="1355"/>
      <c r="AE137" s="1355"/>
      <c r="AF137" s="1355"/>
      <c r="AV137" s="1355"/>
      <c r="AW137" s="1355"/>
      <c r="AX137" s="1355"/>
      <c r="AY137" s="1355"/>
      <c r="AZ137" s="1355"/>
      <c r="BA137" s="1355"/>
      <c r="BC137" s="1355"/>
      <c r="BE137" s="1355"/>
      <c r="BF137" s="1355"/>
      <c r="BG137" s="1355"/>
    </row>
    <row r="138">
      <c r="R138" s="1355"/>
      <c r="S138" s="1355"/>
      <c r="W138" s="1355"/>
      <c r="X138" s="1355"/>
      <c r="AE138" s="1355"/>
      <c r="AF138" s="1355"/>
      <c r="AV138" s="1355"/>
      <c r="AW138" s="1355"/>
      <c r="AX138" s="1355"/>
      <c r="AY138" s="1355"/>
      <c r="AZ138" s="1355"/>
      <c r="BA138" s="1355"/>
      <c r="BC138" s="1355"/>
      <c r="BE138" s="1355"/>
      <c r="BF138" s="1355"/>
      <c r="BG138" s="1355"/>
    </row>
    <row r="139">
      <c r="R139" s="1355"/>
      <c r="S139" s="1355"/>
      <c r="W139" s="1355"/>
      <c r="X139" s="1355"/>
      <c r="AE139" s="1355"/>
      <c r="AF139" s="1355"/>
      <c r="AV139" s="1355"/>
      <c r="AW139" s="1355"/>
      <c r="AX139" s="1355"/>
      <c r="AY139" s="1355"/>
      <c r="AZ139" s="1355"/>
      <c r="BA139" s="1355"/>
      <c r="BC139" s="1355"/>
      <c r="BE139" s="1355"/>
      <c r="BF139" s="1355"/>
      <c r="BG139" s="1355"/>
    </row>
    <row r="140">
      <c r="R140" s="1355"/>
      <c r="S140" s="1355"/>
      <c r="W140" s="1355"/>
      <c r="X140" s="1355"/>
      <c r="AE140" s="1355"/>
      <c r="AF140" s="1355"/>
      <c r="AV140" s="1355"/>
      <c r="AW140" s="1355"/>
      <c r="AX140" s="1355"/>
      <c r="AY140" s="1355"/>
      <c r="AZ140" s="1355"/>
      <c r="BA140" s="1355"/>
      <c r="BC140" s="1355"/>
      <c r="BE140" s="1355"/>
      <c r="BF140" s="1355"/>
      <c r="BG140" s="1355"/>
    </row>
    <row r="141">
      <c r="R141" s="1355"/>
      <c r="S141" s="1355"/>
      <c r="W141" s="1355"/>
      <c r="X141" s="1355"/>
      <c r="AE141" s="1355"/>
      <c r="AF141" s="1355"/>
      <c r="AV141" s="1355"/>
      <c r="AW141" s="1355"/>
      <c r="AX141" s="1355"/>
      <c r="AY141" s="1355"/>
      <c r="AZ141" s="1355"/>
      <c r="BA141" s="1355"/>
      <c r="BC141" s="1355"/>
      <c r="BE141" s="1355"/>
      <c r="BF141" s="1355"/>
      <c r="BG141" s="1355"/>
    </row>
    <row r="142">
      <c r="R142" s="1355"/>
      <c r="S142" s="1355"/>
      <c r="W142" s="1355"/>
      <c r="X142" s="1355"/>
      <c r="AE142" s="1355"/>
      <c r="AF142" s="1355"/>
      <c r="AV142" s="1355"/>
      <c r="AW142" s="1355"/>
      <c r="AX142" s="1355"/>
      <c r="AY142" s="1355"/>
      <c r="AZ142" s="1355"/>
      <c r="BA142" s="1355"/>
      <c r="BC142" s="1355"/>
      <c r="BE142" s="1355"/>
      <c r="BF142" s="1355"/>
      <c r="BG142" s="1355"/>
    </row>
    <row r="143">
      <c r="R143" s="1355"/>
      <c r="S143" s="1355"/>
      <c r="W143" s="1355"/>
      <c r="X143" s="1355"/>
      <c r="AE143" s="1355"/>
      <c r="AF143" s="1355"/>
      <c r="AV143" s="1355"/>
      <c r="AW143" s="1355"/>
      <c r="AX143" s="1355"/>
      <c r="AY143" s="1355"/>
      <c r="AZ143" s="1355"/>
      <c r="BA143" s="1355"/>
      <c r="BC143" s="1355"/>
      <c r="BE143" s="1355"/>
      <c r="BF143" s="1355"/>
      <c r="BG143" s="1355"/>
    </row>
    <row r="144">
      <c r="R144" s="1355"/>
      <c r="S144" s="1355"/>
      <c r="W144" s="1355"/>
      <c r="X144" s="1355"/>
      <c r="AE144" s="1355"/>
      <c r="AF144" s="1355"/>
      <c r="AV144" s="1355"/>
      <c r="AW144" s="1355"/>
      <c r="AX144" s="1355"/>
      <c r="AY144" s="1355"/>
      <c r="AZ144" s="1355"/>
      <c r="BA144" s="1355"/>
      <c r="BC144" s="1355"/>
      <c r="BE144" s="1355"/>
      <c r="BF144" s="1355"/>
      <c r="BG144" s="1355"/>
    </row>
    <row r="145">
      <c r="R145" s="1355"/>
      <c r="S145" s="1355"/>
      <c r="W145" s="1355"/>
      <c r="X145" s="1355"/>
      <c r="AE145" s="1355"/>
      <c r="AF145" s="1355"/>
      <c r="AV145" s="1355"/>
      <c r="AW145" s="1355"/>
      <c r="AX145" s="1355"/>
      <c r="AY145" s="1355"/>
      <c r="AZ145" s="1355"/>
      <c r="BA145" s="1355"/>
      <c r="BC145" s="1355"/>
      <c r="BE145" s="1355"/>
      <c r="BF145" s="1355"/>
      <c r="BG145" s="1355"/>
    </row>
    <row r="146">
      <c r="R146" s="1355"/>
      <c r="S146" s="1355"/>
      <c r="W146" s="1355"/>
      <c r="X146" s="1355"/>
      <c r="AE146" s="1355"/>
      <c r="AF146" s="1355"/>
      <c r="AV146" s="1355"/>
      <c r="AW146" s="1355"/>
      <c r="AX146" s="1355"/>
      <c r="AY146" s="1355"/>
      <c r="AZ146" s="1355"/>
      <c r="BA146" s="1355"/>
      <c r="BC146" s="1355"/>
      <c r="BE146" s="1355"/>
      <c r="BF146" s="1355"/>
      <c r="BG146" s="1355"/>
    </row>
    <row r="147">
      <c r="R147" s="1355"/>
      <c r="S147" s="1355"/>
      <c r="W147" s="1355"/>
      <c r="X147" s="1355"/>
      <c r="AE147" s="1355"/>
      <c r="AF147" s="1355"/>
      <c r="AV147" s="1355"/>
      <c r="AW147" s="1355"/>
      <c r="AX147" s="1355"/>
      <c r="AY147" s="1355"/>
      <c r="AZ147" s="1355"/>
      <c r="BA147" s="1355"/>
      <c r="BC147" s="1355"/>
      <c r="BE147" s="1355"/>
      <c r="BF147" s="1355"/>
      <c r="BG147" s="1355"/>
    </row>
    <row r="148">
      <c r="R148" s="1355"/>
      <c r="S148" s="1355"/>
      <c r="W148" s="1355"/>
      <c r="X148" s="1355"/>
      <c r="AE148" s="1355"/>
      <c r="AF148" s="1355"/>
      <c r="AV148" s="1355"/>
      <c r="AW148" s="1355"/>
      <c r="AX148" s="1355"/>
      <c r="AY148" s="1355"/>
      <c r="AZ148" s="1355"/>
      <c r="BA148" s="1355"/>
      <c r="BC148" s="1355"/>
      <c r="BE148" s="1355"/>
      <c r="BF148" s="1355"/>
      <c r="BG148" s="1355"/>
    </row>
    <row r="149">
      <c r="R149" s="1355"/>
      <c r="S149" s="1355"/>
      <c r="W149" s="1355"/>
      <c r="X149" s="1355"/>
      <c r="AE149" s="1355"/>
      <c r="AF149" s="1355"/>
      <c r="AV149" s="1355"/>
      <c r="AW149" s="1355"/>
      <c r="AX149" s="1355"/>
      <c r="AY149" s="1355"/>
      <c r="AZ149" s="1355"/>
      <c r="BA149" s="1355"/>
      <c r="BC149" s="1355"/>
      <c r="BE149" s="1355"/>
      <c r="BF149" s="1355"/>
      <c r="BG149" s="1355"/>
    </row>
    <row r="150">
      <c r="R150" s="1355"/>
      <c r="S150" s="1355"/>
      <c r="W150" s="1355"/>
      <c r="X150" s="1355"/>
      <c r="AE150" s="1355"/>
      <c r="AF150" s="1355"/>
      <c r="AV150" s="1355"/>
      <c r="AW150" s="1355"/>
      <c r="AX150" s="1355"/>
      <c r="AY150" s="1355"/>
      <c r="AZ150" s="1355"/>
      <c r="BA150" s="1355"/>
      <c r="BC150" s="1355"/>
      <c r="BE150" s="1355"/>
      <c r="BF150" s="1355"/>
      <c r="BG150" s="1355"/>
    </row>
    <row r="151">
      <c r="R151" s="1355"/>
      <c r="S151" s="1355"/>
      <c r="W151" s="1355"/>
      <c r="X151" s="1355"/>
      <c r="AE151" s="1355"/>
      <c r="AF151" s="1355"/>
      <c r="AV151" s="1355"/>
      <c r="AW151" s="1355"/>
      <c r="AX151" s="1355"/>
      <c r="AY151" s="1355"/>
      <c r="AZ151" s="1355"/>
      <c r="BA151" s="1355"/>
      <c r="BC151" s="1355"/>
      <c r="BE151" s="1355"/>
      <c r="BF151" s="1355"/>
      <c r="BG151" s="1355"/>
    </row>
    <row r="152">
      <c r="R152" s="1355"/>
      <c r="S152" s="1355"/>
      <c r="W152" s="1355"/>
      <c r="X152" s="1355"/>
      <c r="AE152" s="1355"/>
      <c r="AF152" s="1355"/>
      <c r="AV152" s="1355"/>
      <c r="AW152" s="1355"/>
      <c r="AX152" s="1355"/>
      <c r="AY152" s="1355"/>
      <c r="AZ152" s="1355"/>
      <c r="BA152" s="1355"/>
      <c r="BC152" s="1355"/>
      <c r="BE152" s="1355"/>
      <c r="BF152" s="1355"/>
      <c r="BG152" s="1355"/>
    </row>
    <row r="153">
      <c r="R153" s="1355"/>
      <c r="S153" s="1355"/>
      <c r="W153" s="1355"/>
      <c r="X153" s="1355"/>
      <c r="AE153" s="1355"/>
      <c r="AF153" s="1355"/>
      <c r="AV153" s="1355"/>
      <c r="AW153" s="1355"/>
      <c r="AX153" s="1355"/>
      <c r="AY153" s="1355"/>
      <c r="AZ153" s="1355"/>
      <c r="BA153" s="1355"/>
      <c r="BC153" s="1355"/>
      <c r="BE153" s="1355"/>
      <c r="BF153" s="1355"/>
      <c r="BG153" s="1355"/>
    </row>
    <row r="154">
      <c r="R154" s="1355"/>
      <c r="S154" s="1355"/>
      <c r="W154" s="1355"/>
      <c r="X154" s="1355"/>
      <c r="AE154" s="1355"/>
      <c r="AF154" s="1355"/>
      <c r="AV154" s="1355"/>
      <c r="AW154" s="1355"/>
      <c r="AX154" s="1355"/>
      <c r="AY154" s="1355"/>
      <c r="AZ154" s="1355"/>
      <c r="BA154" s="1355"/>
      <c r="BC154" s="1355"/>
      <c r="BE154" s="1355"/>
      <c r="BF154" s="1355"/>
      <c r="BG154" s="1355"/>
    </row>
    <row r="155">
      <c r="R155" s="1355"/>
      <c r="S155" s="1355"/>
      <c r="W155" s="1355"/>
      <c r="X155" s="1355"/>
      <c r="AE155" s="1355"/>
      <c r="AF155" s="1355"/>
      <c r="AV155" s="1355"/>
      <c r="AW155" s="1355"/>
      <c r="AX155" s="1355"/>
      <c r="AY155" s="1355"/>
      <c r="AZ155" s="1355"/>
      <c r="BA155" s="1355"/>
      <c r="BC155" s="1355"/>
      <c r="BE155" s="1355"/>
      <c r="BF155" s="1355"/>
      <c r="BG155" s="1355"/>
    </row>
    <row r="156">
      <c r="R156" s="1355"/>
      <c r="S156" s="1355"/>
      <c r="W156" s="1355"/>
      <c r="X156" s="1355"/>
      <c r="AE156" s="1355"/>
      <c r="AF156" s="1355"/>
      <c r="AV156" s="1355"/>
      <c r="AW156" s="1355"/>
      <c r="AX156" s="1355"/>
      <c r="AY156" s="1355"/>
      <c r="AZ156" s="1355"/>
      <c r="BA156" s="1355"/>
      <c r="BC156" s="1355"/>
      <c r="BE156" s="1355"/>
      <c r="BF156" s="1355"/>
      <c r="BG156" s="1355"/>
    </row>
    <row r="157">
      <c r="R157" s="1355"/>
      <c r="S157" s="1355"/>
      <c r="W157" s="1355"/>
      <c r="X157" s="1355"/>
      <c r="AE157" s="1355"/>
      <c r="AF157" s="1355"/>
      <c r="AV157" s="1355"/>
      <c r="AW157" s="1355"/>
      <c r="AX157" s="1355"/>
      <c r="AY157" s="1355"/>
      <c r="AZ157" s="1355"/>
      <c r="BA157" s="1355"/>
      <c r="BC157" s="1355"/>
      <c r="BE157" s="1355"/>
      <c r="BF157" s="1355"/>
      <c r="BG157" s="1355"/>
    </row>
    <row r="158">
      <c r="R158" s="1355"/>
      <c r="S158" s="1355"/>
      <c r="W158" s="1355"/>
      <c r="X158" s="1355"/>
      <c r="AE158" s="1355"/>
      <c r="AF158" s="1355"/>
      <c r="AV158" s="1355"/>
      <c r="AW158" s="1355"/>
      <c r="AX158" s="1355"/>
      <c r="AY158" s="1355"/>
      <c r="AZ158" s="1355"/>
      <c r="BA158" s="1355"/>
      <c r="BC158" s="1355"/>
      <c r="BE158" s="1355"/>
      <c r="BF158" s="1355"/>
      <c r="BG158" s="1355"/>
    </row>
    <row r="159">
      <c r="R159" s="1355"/>
      <c r="S159" s="1355"/>
      <c r="W159" s="1355"/>
      <c r="X159" s="1355"/>
      <c r="AE159" s="1355"/>
      <c r="AF159" s="1355"/>
      <c r="AV159" s="1355"/>
      <c r="AW159" s="1355"/>
      <c r="AX159" s="1355"/>
      <c r="AY159" s="1355"/>
      <c r="AZ159" s="1355"/>
      <c r="BA159" s="1355"/>
      <c r="BC159" s="1355"/>
      <c r="BE159" s="1355"/>
      <c r="BF159" s="1355"/>
      <c r="BG159" s="1355"/>
    </row>
    <row r="160">
      <c r="R160" s="1355"/>
      <c r="S160" s="1355"/>
      <c r="W160" s="1355"/>
      <c r="X160" s="1355"/>
      <c r="AE160" s="1355"/>
      <c r="AF160" s="1355"/>
      <c r="AV160" s="1355"/>
      <c r="AW160" s="1355"/>
      <c r="AX160" s="1355"/>
      <c r="AY160" s="1355"/>
      <c r="AZ160" s="1355"/>
      <c r="BA160" s="1355"/>
      <c r="BC160" s="1355"/>
      <c r="BE160" s="1355"/>
      <c r="BF160" s="1355"/>
      <c r="BG160" s="1355"/>
    </row>
    <row r="161">
      <c r="R161" s="1355"/>
      <c r="S161" s="1355"/>
      <c r="W161" s="1355"/>
      <c r="X161" s="1355"/>
      <c r="AE161" s="1355"/>
      <c r="AF161" s="1355"/>
      <c r="AV161" s="1355"/>
      <c r="AW161" s="1355"/>
      <c r="AX161" s="1355"/>
      <c r="AY161" s="1355"/>
      <c r="AZ161" s="1355"/>
      <c r="BA161" s="1355"/>
      <c r="BC161" s="1355"/>
      <c r="BE161" s="1355"/>
      <c r="BF161" s="1355"/>
      <c r="BG161" s="1355"/>
    </row>
    <row r="162">
      <c r="R162" s="1355"/>
      <c r="S162" s="1355"/>
      <c r="W162" s="1355"/>
      <c r="X162" s="1355"/>
      <c r="AE162" s="1355"/>
      <c r="AF162" s="1355"/>
      <c r="AV162" s="1355"/>
      <c r="AW162" s="1355"/>
      <c r="AX162" s="1355"/>
      <c r="AY162" s="1355"/>
      <c r="AZ162" s="1355"/>
      <c r="BA162" s="1355"/>
      <c r="BC162" s="1355"/>
      <c r="BE162" s="1355"/>
      <c r="BF162" s="1355"/>
      <c r="BG162" s="1355"/>
    </row>
    <row r="163">
      <c r="R163" s="1355"/>
      <c r="S163" s="1355"/>
      <c r="W163" s="1355"/>
      <c r="X163" s="1355"/>
      <c r="AE163" s="1355"/>
      <c r="AF163" s="1355"/>
      <c r="AV163" s="1355"/>
      <c r="AW163" s="1355"/>
      <c r="AX163" s="1355"/>
      <c r="AY163" s="1355"/>
      <c r="AZ163" s="1355"/>
      <c r="BA163" s="1355"/>
      <c r="BC163" s="1355"/>
      <c r="BE163" s="1355"/>
      <c r="BF163" s="1355"/>
      <c r="BG163" s="1355"/>
    </row>
    <row r="164">
      <c r="R164" s="1355"/>
      <c r="S164" s="1355"/>
      <c r="W164" s="1355"/>
      <c r="X164" s="1355"/>
      <c r="AE164" s="1355"/>
      <c r="AF164" s="1355"/>
      <c r="AV164" s="1355"/>
      <c r="AW164" s="1355"/>
      <c r="AX164" s="1355"/>
      <c r="AY164" s="1355"/>
      <c r="AZ164" s="1355"/>
      <c r="BA164" s="1355"/>
      <c r="BC164" s="1355"/>
      <c r="BE164" s="1355"/>
      <c r="BF164" s="1355"/>
      <c r="BG164" s="1355"/>
    </row>
    <row r="165">
      <c r="R165" s="1355"/>
      <c r="S165" s="1355"/>
      <c r="W165" s="1355"/>
      <c r="X165" s="1355"/>
      <c r="AE165" s="1355"/>
      <c r="AF165" s="1355"/>
      <c r="AV165" s="1355"/>
      <c r="AW165" s="1355"/>
      <c r="AX165" s="1355"/>
      <c r="AY165" s="1355"/>
      <c r="AZ165" s="1355"/>
      <c r="BA165" s="1355"/>
      <c r="BC165" s="1355"/>
      <c r="BE165" s="1355"/>
      <c r="BF165" s="1355"/>
      <c r="BG165" s="1355"/>
    </row>
    <row r="166">
      <c r="R166" s="1355"/>
      <c r="S166" s="1355"/>
      <c r="W166" s="1355"/>
      <c r="X166" s="1355"/>
      <c r="AE166" s="1355"/>
      <c r="AF166" s="1355"/>
      <c r="AV166" s="1355"/>
      <c r="AW166" s="1355"/>
      <c r="AX166" s="1355"/>
      <c r="AY166" s="1355"/>
      <c r="AZ166" s="1355"/>
      <c r="BA166" s="1355"/>
      <c r="BC166" s="1355"/>
      <c r="BE166" s="1355"/>
      <c r="BF166" s="1355"/>
      <c r="BG166" s="1355"/>
    </row>
    <row r="167">
      <c r="R167" s="1355"/>
      <c r="S167" s="1355"/>
      <c r="W167" s="1355"/>
      <c r="X167" s="1355"/>
      <c r="AE167" s="1355"/>
      <c r="AF167" s="1355"/>
      <c r="AV167" s="1355"/>
      <c r="AW167" s="1355"/>
      <c r="AX167" s="1355"/>
      <c r="AY167" s="1355"/>
      <c r="AZ167" s="1355"/>
      <c r="BA167" s="1355"/>
      <c r="BC167" s="1355"/>
      <c r="BE167" s="1355"/>
      <c r="BF167" s="1355"/>
      <c r="BG167" s="1355"/>
    </row>
    <row r="168">
      <c r="R168" s="1355"/>
      <c r="S168" s="1355"/>
      <c r="W168" s="1355"/>
      <c r="X168" s="1355"/>
      <c r="AE168" s="1355"/>
      <c r="AF168" s="1355"/>
      <c r="AV168" s="1355"/>
      <c r="AW168" s="1355"/>
      <c r="AX168" s="1355"/>
      <c r="AY168" s="1355"/>
      <c r="AZ168" s="1355"/>
      <c r="BA168" s="1355"/>
      <c r="BC168" s="1355"/>
      <c r="BE168" s="1355"/>
      <c r="BF168" s="1355"/>
      <c r="BG168" s="1355"/>
    </row>
    <row r="169">
      <c r="R169" s="1355"/>
      <c r="S169" s="1355"/>
      <c r="W169" s="1355"/>
      <c r="X169" s="1355"/>
      <c r="AE169" s="1355"/>
      <c r="AF169" s="1355"/>
      <c r="AV169" s="1355"/>
      <c r="AW169" s="1355"/>
      <c r="AX169" s="1355"/>
      <c r="AY169" s="1355"/>
      <c r="AZ169" s="1355"/>
      <c r="BA169" s="1355"/>
      <c r="BC169" s="1355"/>
      <c r="BE169" s="1355"/>
      <c r="BF169" s="1355"/>
      <c r="BG169" s="1355"/>
    </row>
    <row r="170">
      <c r="R170" s="1355"/>
      <c r="S170" s="1355"/>
      <c r="W170" s="1355"/>
      <c r="X170" s="1355"/>
      <c r="AE170" s="1355"/>
      <c r="AF170" s="1355"/>
      <c r="AV170" s="1355"/>
      <c r="AW170" s="1355"/>
      <c r="AX170" s="1355"/>
      <c r="AY170" s="1355"/>
      <c r="AZ170" s="1355"/>
      <c r="BA170" s="1355"/>
      <c r="BC170" s="1355"/>
      <c r="BE170" s="1355"/>
      <c r="BF170" s="1355"/>
      <c r="BG170" s="1355"/>
    </row>
    <row r="171">
      <c r="R171" s="1355"/>
      <c r="S171" s="1355"/>
      <c r="W171" s="1355"/>
      <c r="X171" s="1355"/>
      <c r="AE171" s="1355"/>
      <c r="AF171" s="1355"/>
      <c r="AV171" s="1355"/>
      <c r="AW171" s="1355"/>
      <c r="AX171" s="1355"/>
      <c r="AY171" s="1355"/>
      <c r="AZ171" s="1355"/>
      <c r="BA171" s="1355"/>
      <c r="BC171" s="1355"/>
      <c r="BE171" s="1355"/>
      <c r="BF171" s="1355"/>
      <c r="BG171" s="1355"/>
    </row>
    <row r="172">
      <c r="R172" s="1355"/>
      <c r="S172" s="1355"/>
      <c r="W172" s="1355"/>
      <c r="X172" s="1355"/>
      <c r="AE172" s="1355"/>
      <c r="AF172" s="1355"/>
      <c r="AV172" s="1355"/>
      <c r="AW172" s="1355"/>
      <c r="AX172" s="1355"/>
      <c r="AY172" s="1355"/>
      <c r="AZ172" s="1355"/>
      <c r="BA172" s="1355"/>
      <c r="BC172" s="1355"/>
      <c r="BE172" s="1355"/>
      <c r="BF172" s="1355"/>
      <c r="BG172" s="1355"/>
    </row>
    <row r="173">
      <c r="R173" s="1355"/>
      <c r="S173" s="1355"/>
      <c r="W173" s="1355"/>
      <c r="X173" s="1355"/>
      <c r="AE173" s="1355"/>
      <c r="AF173" s="1355"/>
      <c r="AV173" s="1355"/>
      <c r="AW173" s="1355"/>
      <c r="AX173" s="1355"/>
      <c r="AY173" s="1355"/>
      <c r="AZ173" s="1355"/>
      <c r="BA173" s="1355"/>
      <c r="BC173" s="1355"/>
      <c r="BE173" s="1355"/>
      <c r="BF173" s="1355"/>
      <c r="BG173" s="1355"/>
    </row>
    <row r="174">
      <c r="R174" s="1355"/>
      <c r="S174" s="1355"/>
      <c r="W174" s="1355"/>
      <c r="X174" s="1355"/>
      <c r="AE174" s="1355"/>
      <c r="AF174" s="1355"/>
      <c r="AV174" s="1355"/>
      <c r="AW174" s="1355"/>
      <c r="AX174" s="1355"/>
      <c r="AY174" s="1355"/>
      <c r="AZ174" s="1355"/>
      <c r="BA174" s="1355"/>
      <c r="BC174" s="1355"/>
      <c r="BE174" s="1355"/>
      <c r="BF174" s="1355"/>
      <c r="BG174" s="1355"/>
    </row>
    <row r="175">
      <c r="R175" s="1355"/>
      <c r="S175" s="1355"/>
      <c r="W175" s="1355"/>
      <c r="X175" s="1355"/>
      <c r="AE175" s="1355"/>
      <c r="AF175" s="1355"/>
      <c r="AV175" s="1355"/>
      <c r="AW175" s="1355"/>
      <c r="AX175" s="1355"/>
      <c r="AY175" s="1355"/>
      <c r="AZ175" s="1355"/>
      <c r="BA175" s="1355"/>
      <c r="BC175" s="1355"/>
      <c r="BE175" s="1355"/>
      <c r="BF175" s="1355"/>
      <c r="BG175" s="1355"/>
    </row>
    <row r="176">
      <c r="R176" s="1355"/>
      <c r="S176" s="1355"/>
      <c r="W176" s="1355"/>
      <c r="X176" s="1355"/>
      <c r="AE176" s="1355"/>
      <c r="AF176" s="1355"/>
      <c r="AV176" s="1355"/>
      <c r="AW176" s="1355"/>
      <c r="AX176" s="1355"/>
      <c r="AY176" s="1355"/>
      <c r="AZ176" s="1355"/>
      <c r="BA176" s="1355"/>
      <c r="BC176" s="1355"/>
      <c r="BE176" s="1355"/>
      <c r="BF176" s="1355"/>
      <c r="BG176" s="1355"/>
    </row>
    <row r="177">
      <c r="R177" s="1355"/>
      <c r="S177" s="1355"/>
      <c r="W177" s="1355"/>
      <c r="X177" s="1355"/>
      <c r="AE177" s="1355"/>
      <c r="AF177" s="1355"/>
      <c r="AV177" s="1355"/>
      <c r="AW177" s="1355"/>
      <c r="AX177" s="1355"/>
      <c r="AY177" s="1355"/>
      <c r="AZ177" s="1355"/>
      <c r="BA177" s="1355"/>
      <c r="BC177" s="1355"/>
      <c r="BE177" s="1355"/>
      <c r="BF177" s="1355"/>
      <c r="BG177" s="1355"/>
    </row>
    <row r="178">
      <c r="R178" s="1355"/>
      <c r="S178" s="1355"/>
      <c r="W178" s="1355"/>
      <c r="X178" s="1355"/>
      <c r="AE178" s="1355"/>
      <c r="AF178" s="1355"/>
      <c r="AV178" s="1355"/>
      <c r="AW178" s="1355"/>
      <c r="AX178" s="1355"/>
      <c r="AY178" s="1355"/>
      <c r="AZ178" s="1355"/>
      <c r="BA178" s="1355"/>
      <c r="BC178" s="1355"/>
      <c r="BE178" s="1355"/>
      <c r="BF178" s="1355"/>
      <c r="BG178" s="1355"/>
    </row>
    <row r="179">
      <c r="R179" s="1355"/>
      <c r="S179" s="1355"/>
      <c r="W179" s="1355"/>
      <c r="X179" s="1355"/>
      <c r="AE179" s="1355"/>
      <c r="AF179" s="1355"/>
      <c r="AV179" s="1355"/>
      <c r="AW179" s="1355"/>
      <c r="AX179" s="1355"/>
      <c r="AY179" s="1355"/>
      <c r="AZ179" s="1355"/>
      <c r="BA179" s="1355"/>
      <c r="BC179" s="1355"/>
      <c r="BE179" s="1355"/>
      <c r="BF179" s="1355"/>
      <c r="BG179" s="1355"/>
    </row>
    <row r="180">
      <c r="R180" s="1355"/>
      <c r="S180" s="1355"/>
      <c r="W180" s="1355"/>
      <c r="X180" s="1355"/>
      <c r="AE180" s="1355"/>
      <c r="AF180" s="1355"/>
      <c r="AV180" s="1355"/>
      <c r="AW180" s="1355"/>
      <c r="AX180" s="1355"/>
      <c r="AY180" s="1355"/>
      <c r="AZ180" s="1355"/>
      <c r="BA180" s="1355"/>
      <c r="BC180" s="1355"/>
      <c r="BE180" s="1355"/>
      <c r="BF180" s="1355"/>
      <c r="BG180" s="1355"/>
    </row>
    <row r="181">
      <c r="R181" s="1355"/>
      <c r="S181" s="1355"/>
      <c r="W181" s="1355"/>
      <c r="X181" s="1355"/>
      <c r="AE181" s="1355"/>
      <c r="AF181" s="1355"/>
      <c r="AV181" s="1355"/>
      <c r="AW181" s="1355"/>
      <c r="AX181" s="1355"/>
      <c r="AY181" s="1355"/>
      <c r="AZ181" s="1355"/>
      <c r="BA181" s="1355"/>
      <c r="BC181" s="1355"/>
      <c r="BE181" s="1355"/>
      <c r="BF181" s="1355"/>
      <c r="BG181" s="1355"/>
    </row>
    <row r="182">
      <c r="R182" s="1355"/>
      <c r="S182" s="1355"/>
      <c r="W182" s="1355"/>
      <c r="X182" s="1355"/>
      <c r="AE182" s="1355"/>
      <c r="AF182" s="1355"/>
      <c r="AV182" s="1355"/>
      <c r="AW182" s="1355"/>
      <c r="AX182" s="1355"/>
      <c r="AY182" s="1355"/>
      <c r="AZ182" s="1355"/>
      <c r="BA182" s="1355"/>
      <c r="BC182" s="1355"/>
      <c r="BE182" s="1355"/>
      <c r="BF182" s="1355"/>
      <c r="BG182" s="1355"/>
    </row>
    <row r="183">
      <c r="R183" s="1355"/>
      <c r="S183" s="1355"/>
      <c r="W183" s="1355"/>
      <c r="X183" s="1355"/>
      <c r="AE183" s="1355"/>
      <c r="AF183" s="1355"/>
      <c r="AV183" s="1355"/>
      <c r="AW183" s="1355"/>
      <c r="AX183" s="1355"/>
      <c r="AY183" s="1355"/>
      <c r="AZ183" s="1355"/>
      <c r="BA183" s="1355"/>
      <c r="BC183" s="1355"/>
      <c r="BE183" s="1355"/>
      <c r="BF183" s="1355"/>
      <c r="BG183" s="1355"/>
    </row>
    <row r="184">
      <c r="R184" s="1355"/>
      <c r="S184" s="1355"/>
      <c r="W184" s="1355"/>
      <c r="X184" s="1355"/>
      <c r="AE184" s="1355"/>
      <c r="AF184" s="1355"/>
      <c r="AV184" s="1355"/>
      <c r="AW184" s="1355"/>
      <c r="AX184" s="1355"/>
      <c r="AY184" s="1355"/>
      <c r="AZ184" s="1355"/>
      <c r="BA184" s="1355"/>
      <c r="BC184" s="1355"/>
      <c r="BE184" s="1355"/>
      <c r="BF184" s="1355"/>
      <c r="BG184" s="1355"/>
    </row>
    <row r="185">
      <c r="R185" s="1355"/>
      <c r="S185" s="1355"/>
      <c r="W185" s="1355"/>
      <c r="X185" s="1355"/>
      <c r="AE185" s="1355"/>
      <c r="AF185" s="1355"/>
      <c r="AV185" s="1355"/>
      <c r="AW185" s="1355"/>
      <c r="AX185" s="1355"/>
      <c r="AY185" s="1355"/>
      <c r="AZ185" s="1355"/>
      <c r="BA185" s="1355"/>
      <c r="BC185" s="1355"/>
      <c r="BE185" s="1355"/>
      <c r="BF185" s="1355"/>
      <c r="BG185" s="1355"/>
    </row>
    <row r="186">
      <c r="R186" s="1355"/>
      <c r="S186" s="1355"/>
      <c r="W186" s="1355"/>
      <c r="X186" s="1355"/>
      <c r="AE186" s="1355"/>
      <c r="AF186" s="1355"/>
      <c r="AV186" s="1355"/>
      <c r="AW186" s="1355"/>
      <c r="AX186" s="1355"/>
      <c r="AY186" s="1355"/>
      <c r="AZ186" s="1355"/>
      <c r="BA186" s="1355"/>
      <c r="BC186" s="1355"/>
      <c r="BE186" s="1355"/>
      <c r="BF186" s="1355"/>
      <c r="BG186" s="1355"/>
    </row>
    <row r="187">
      <c r="R187" s="1355"/>
      <c r="S187" s="1355"/>
      <c r="W187" s="1355"/>
      <c r="X187" s="1355"/>
      <c r="AE187" s="1355"/>
      <c r="AF187" s="1355"/>
      <c r="AV187" s="1355"/>
      <c r="AW187" s="1355"/>
      <c r="AX187" s="1355"/>
      <c r="AY187" s="1355"/>
      <c r="AZ187" s="1355"/>
      <c r="BA187" s="1355"/>
      <c r="BC187" s="1355"/>
      <c r="BE187" s="1355"/>
      <c r="BF187" s="1355"/>
      <c r="BG187" s="1355"/>
    </row>
    <row r="188">
      <c r="R188" s="1355"/>
      <c r="S188" s="1355"/>
      <c r="W188" s="1355"/>
      <c r="X188" s="1355"/>
      <c r="AE188" s="1355"/>
      <c r="AF188" s="1355"/>
      <c r="AV188" s="1355"/>
      <c r="AW188" s="1355"/>
      <c r="AX188" s="1355"/>
      <c r="AY188" s="1355"/>
      <c r="AZ188" s="1355"/>
      <c r="BA188" s="1355"/>
      <c r="BC188" s="1355"/>
      <c r="BE188" s="1355"/>
      <c r="BF188" s="1355"/>
      <c r="BG188" s="1355"/>
    </row>
    <row r="189">
      <c r="R189" s="1355"/>
      <c r="S189" s="1355"/>
      <c r="W189" s="1355"/>
      <c r="X189" s="1355"/>
      <c r="AE189" s="1355"/>
      <c r="AF189" s="1355"/>
      <c r="AV189" s="1355"/>
      <c r="AW189" s="1355"/>
      <c r="AX189" s="1355"/>
      <c r="AY189" s="1355"/>
      <c r="AZ189" s="1355"/>
      <c r="BA189" s="1355"/>
      <c r="BC189" s="1355"/>
      <c r="BE189" s="1355"/>
      <c r="BF189" s="1355"/>
      <c r="BG189" s="1355"/>
    </row>
    <row r="190">
      <c r="R190" s="1355"/>
      <c r="S190" s="1355"/>
      <c r="W190" s="1355"/>
      <c r="X190" s="1355"/>
      <c r="AE190" s="1355"/>
      <c r="AF190" s="1355"/>
      <c r="AV190" s="1355"/>
      <c r="AW190" s="1355"/>
      <c r="AX190" s="1355"/>
      <c r="AY190" s="1355"/>
      <c r="AZ190" s="1355"/>
      <c r="BA190" s="1355"/>
      <c r="BC190" s="1355"/>
      <c r="BE190" s="1355"/>
      <c r="BF190" s="1355"/>
      <c r="BG190" s="1355"/>
    </row>
    <row r="191">
      <c r="R191" s="1355"/>
      <c r="S191" s="1355"/>
      <c r="W191" s="1355"/>
      <c r="X191" s="1355"/>
      <c r="AE191" s="1355"/>
      <c r="AF191" s="1355"/>
      <c r="AV191" s="1355"/>
      <c r="AW191" s="1355"/>
      <c r="AX191" s="1355"/>
      <c r="AY191" s="1355"/>
      <c r="AZ191" s="1355"/>
      <c r="BA191" s="1355"/>
      <c r="BC191" s="1355"/>
      <c r="BE191" s="1355"/>
      <c r="BF191" s="1355"/>
      <c r="BG191" s="1355"/>
    </row>
    <row r="192">
      <c r="R192" s="1355"/>
      <c r="S192" s="1355"/>
      <c r="W192" s="1355"/>
      <c r="X192" s="1355"/>
      <c r="AE192" s="1355"/>
      <c r="AF192" s="1355"/>
      <c r="AV192" s="1355"/>
      <c r="AW192" s="1355"/>
      <c r="AX192" s="1355"/>
      <c r="AY192" s="1355"/>
      <c r="AZ192" s="1355"/>
      <c r="BA192" s="1355"/>
      <c r="BC192" s="1355"/>
      <c r="BE192" s="1355"/>
      <c r="BF192" s="1355"/>
      <c r="BG192" s="1355"/>
    </row>
    <row r="193">
      <c r="R193" s="1355"/>
      <c r="S193" s="1355"/>
      <c r="W193" s="1355"/>
      <c r="X193" s="1355"/>
      <c r="AE193" s="1355"/>
      <c r="AF193" s="1355"/>
      <c r="AV193" s="1355"/>
      <c r="AW193" s="1355"/>
      <c r="AX193" s="1355"/>
      <c r="AY193" s="1355"/>
      <c r="AZ193" s="1355"/>
      <c r="BA193" s="1355"/>
      <c r="BC193" s="1355"/>
      <c r="BE193" s="1355"/>
      <c r="BF193" s="1355"/>
      <c r="BG193" s="1355"/>
    </row>
    <row r="194">
      <c r="R194" s="1355"/>
      <c r="S194" s="1355"/>
      <c r="W194" s="1355"/>
      <c r="X194" s="1355"/>
      <c r="AE194" s="1355"/>
      <c r="AF194" s="1355"/>
      <c r="AV194" s="1355"/>
      <c r="AW194" s="1355"/>
      <c r="AX194" s="1355"/>
      <c r="AY194" s="1355"/>
      <c r="AZ194" s="1355"/>
      <c r="BA194" s="1355"/>
      <c r="BC194" s="1355"/>
      <c r="BE194" s="1355"/>
      <c r="BF194" s="1355"/>
      <c r="BG194" s="1355"/>
    </row>
    <row r="195">
      <c r="R195" s="1355"/>
      <c r="S195" s="1355"/>
      <c r="W195" s="1355"/>
      <c r="X195" s="1355"/>
      <c r="AE195" s="1355"/>
      <c r="AF195" s="1355"/>
      <c r="AV195" s="1355"/>
      <c r="AW195" s="1355"/>
      <c r="AX195" s="1355"/>
      <c r="AY195" s="1355"/>
      <c r="AZ195" s="1355"/>
      <c r="BA195" s="1355"/>
      <c r="BC195" s="1355"/>
      <c r="BE195" s="1355"/>
      <c r="BF195" s="1355"/>
      <c r="BG195" s="1355"/>
    </row>
    <row r="196">
      <c r="R196" s="1355"/>
      <c r="S196" s="1355"/>
      <c r="W196" s="1355"/>
      <c r="X196" s="1355"/>
      <c r="AE196" s="1355"/>
      <c r="AF196" s="1355"/>
      <c r="AV196" s="1355"/>
      <c r="AW196" s="1355"/>
      <c r="AX196" s="1355"/>
      <c r="AY196" s="1355"/>
      <c r="AZ196" s="1355"/>
      <c r="BA196" s="1355"/>
      <c r="BC196" s="1355"/>
      <c r="BE196" s="1355"/>
      <c r="BF196" s="1355"/>
      <c r="BG196" s="1355"/>
    </row>
    <row r="197">
      <c r="R197" s="1355"/>
      <c r="S197" s="1355"/>
      <c r="W197" s="1355"/>
      <c r="X197" s="1355"/>
      <c r="AE197" s="1355"/>
      <c r="AF197" s="1355"/>
      <c r="AV197" s="1355"/>
      <c r="AW197" s="1355"/>
      <c r="AX197" s="1355"/>
      <c r="AY197" s="1355"/>
      <c r="AZ197" s="1355"/>
      <c r="BA197" s="1355"/>
      <c r="BC197" s="1355"/>
      <c r="BE197" s="1355"/>
      <c r="BF197" s="1355"/>
      <c r="BG197" s="1355"/>
    </row>
    <row r="198">
      <c r="R198" s="1355"/>
      <c r="S198" s="1355"/>
      <c r="W198" s="1355"/>
      <c r="X198" s="1355"/>
      <c r="AE198" s="1355"/>
      <c r="AF198" s="1355"/>
      <c r="AV198" s="1355"/>
      <c r="AW198" s="1355"/>
      <c r="AX198" s="1355"/>
      <c r="AY198" s="1355"/>
      <c r="AZ198" s="1355"/>
      <c r="BA198" s="1355"/>
      <c r="BC198" s="1355"/>
      <c r="BE198" s="1355"/>
      <c r="BF198" s="1355"/>
      <c r="BG198" s="1355"/>
    </row>
    <row r="199">
      <c r="R199" s="1355"/>
      <c r="S199" s="1355"/>
      <c r="W199" s="1355"/>
      <c r="X199" s="1355"/>
      <c r="AE199" s="1355"/>
      <c r="AF199" s="1355"/>
      <c r="AV199" s="1355"/>
      <c r="AW199" s="1355"/>
      <c r="AX199" s="1355"/>
      <c r="AY199" s="1355"/>
      <c r="AZ199" s="1355"/>
      <c r="BA199" s="1355"/>
      <c r="BC199" s="1355"/>
      <c r="BE199" s="1355"/>
      <c r="BF199" s="1355"/>
      <c r="BG199" s="1355"/>
    </row>
    <row r="200">
      <c r="R200" s="1355"/>
      <c r="S200" s="1355"/>
      <c r="W200" s="1355"/>
      <c r="X200" s="1355"/>
      <c r="AE200" s="1355"/>
      <c r="AF200" s="1355"/>
      <c r="AV200" s="1355"/>
      <c r="AW200" s="1355"/>
      <c r="AX200" s="1355"/>
      <c r="AY200" s="1355"/>
      <c r="AZ200" s="1355"/>
      <c r="BA200" s="1355"/>
      <c r="BC200" s="1355"/>
      <c r="BE200" s="1355"/>
      <c r="BF200" s="1355"/>
      <c r="BG200" s="1355"/>
    </row>
    <row r="201">
      <c r="R201" s="1355"/>
      <c r="S201" s="1355"/>
      <c r="W201" s="1355"/>
      <c r="X201" s="1355"/>
      <c r="AE201" s="1355"/>
      <c r="AF201" s="1355"/>
      <c r="AV201" s="1355"/>
      <c r="AW201" s="1355"/>
      <c r="AX201" s="1355"/>
      <c r="AY201" s="1355"/>
      <c r="AZ201" s="1355"/>
      <c r="BA201" s="1355"/>
      <c r="BC201" s="1355"/>
      <c r="BE201" s="1355"/>
      <c r="BF201" s="1355"/>
      <c r="BG201" s="1355"/>
    </row>
    <row r="202">
      <c r="R202" s="1355"/>
      <c r="S202" s="1355"/>
      <c r="W202" s="1355"/>
      <c r="X202" s="1355"/>
      <c r="AE202" s="1355"/>
      <c r="AF202" s="1355"/>
      <c r="AV202" s="1355"/>
      <c r="AW202" s="1355"/>
      <c r="AX202" s="1355"/>
      <c r="AY202" s="1355"/>
      <c r="AZ202" s="1355"/>
      <c r="BA202" s="1355"/>
      <c r="BC202" s="1355"/>
      <c r="BE202" s="1355"/>
      <c r="BF202" s="1355"/>
      <c r="BG202" s="1355"/>
    </row>
    <row r="203">
      <c r="R203" s="1355"/>
      <c r="S203" s="1355"/>
      <c r="W203" s="1355"/>
      <c r="X203" s="1355"/>
      <c r="AE203" s="1355"/>
      <c r="AF203" s="1355"/>
      <c r="AV203" s="1355"/>
      <c r="AW203" s="1355"/>
      <c r="AX203" s="1355"/>
      <c r="AY203" s="1355"/>
      <c r="AZ203" s="1355"/>
      <c r="BA203" s="1355"/>
      <c r="BC203" s="1355"/>
      <c r="BE203" s="1355"/>
      <c r="BF203" s="1355"/>
      <c r="BG203" s="1355"/>
    </row>
    <row r="204">
      <c r="R204" s="1355"/>
      <c r="S204" s="1355"/>
      <c r="W204" s="1355"/>
      <c r="X204" s="1355"/>
      <c r="AE204" s="1355"/>
      <c r="AF204" s="1355"/>
      <c r="AV204" s="1355"/>
      <c r="AW204" s="1355"/>
      <c r="AX204" s="1355"/>
      <c r="AY204" s="1355"/>
      <c r="AZ204" s="1355"/>
      <c r="BA204" s="1355"/>
      <c r="BC204" s="1355"/>
      <c r="BE204" s="1355"/>
      <c r="BF204" s="1355"/>
      <c r="BG204" s="1355"/>
    </row>
    <row r="205">
      <c r="R205" s="1355"/>
      <c r="S205" s="1355"/>
      <c r="W205" s="1355"/>
      <c r="X205" s="1355"/>
      <c r="AE205" s="1355"/>
      <c r="AF205" s="1355"/>
      <c r="AV205" s="1355"/>
      <c r="AW205" s="1355"/>
      <c r="AX205" s="1355"/>
      <c r="AY205" s="1355"/>
      <c r="AZ205" s="1355"/>
      <c r="BA205" s="1355"/>
      <c r="BC205" s="1355"/>
      <c r="BE205" s="1355"/>
      <c r="BF205" s="1355"/>
      <c r="BG205" s="1355"/>
    </row>
    <row r="206">
      <c r="R206" s="1355"/>
      <c r="S206" s="1355"/>
      <c r="W206" s="1355"/>
      <c r="X206" s="1355"/>
      <c r="AE206" s="1355"/>
      <c r="AF206" s="1355"/>
      <c r="AV206" s="1355"/>
      <c r="AW206" s="1355"/>
      <c r="AX206" s="1355"/>
      <c r="AY206" s="1355"/>
      <c r="AZ206" s="1355"/>
      <c r="BA206" s="1355"/>
      <c r="BC206" s="1355"/>
      <c r="BE206" s="1355"/>
      <c r="BF206" s="1355"/>
      <c r="BG206" s="1355"/>
    </row>
    <row r="207">
      <c r="R207" s="1355"/>
      <c r="S207" s="1355"/>
      <c r="W207" s="1355"/>
      <c r="X207" s="1355"/>
      <c r="AE207" s="1355"/>
      <c r="AF207" s="1355"/>
      <c r="AV207" s="1355"/>
      <c r="AW207" s="1355"/>
      <c r="AX207" s="1355"/>
      <c r="AY207" s="1355"/>
      <c r="AZ207" s="1355"/>
      <c r="BA207" s="1355"/>
      <c r="BC207" s="1355"/>
      <c r="BE207" s="1355"/>
      <c r="BF207" s="1355"/>
      <c r="BG207" s="1355"/>
    </row>
    <row r="208">
      <c r="R208" s="1355"/>
      <c r="S208" s="1355"/>
      <c r="W208" s="1355"/>
      <c r="X208" s="1355"/>
      <c r="AE208" s="1355"/>
      <c r="AF208" s="1355"/>
      <c r="AV208" s="1355"/>
      <c r="AW208" s="1355"/>
      <c r="AX208" s="1355"/>
      <c r="AY208" s="1355"/>
      <c r="AZ208" s="1355"/>
      <c r="BA208" s="1355"/>
      <c r="BC208" s="1355"/>
      <c r="BE208" s="1355"/>
      <c r="BF208" s="1355"/>
      <c r="BG208" s="1355"/>
    </row>
    <row r="209">
      <c r="R209" s="1355"/>
      <c r="S209" s="1355"/>
      <c r="W209" s="1355"/>
      <c r="X209" s="1355"/>
      <c r="AE209" s="1355"/>
      <c r="AF209" s="1355"/>
      <c r="AV209" s="1355"/>
      <c r="AW209" s="1355"/>
      <c r="AX209" s="1355"/>
      <c r="AY209" s="1355"/>
      <c r="AZ209" s="1355"/>
      <c r="BA209" s="1355"/>
      <c r="BC209" s="1355"/>
      <c r="BE209" s="1355"/>
      <c r="BF209" s="1355"/>
      <c r="BG209" s="1355"/>
    </row>
    <row r="210">
      <c r="R210" s="1355"/>
      <c r="S210" s="1355"/>
      <c r="W210" s="1355"/>
      <c r="X210" s="1355"/>
      <c r="AE210" s="1355"/>
      <c r="AF210" s="1355"/>
      <c r="AV210" s="1355"/>
      <c r="AW210" s="1355"/>
      <c r="AX210" s="1355"/>
      <c r="AY210" s="1355"/>
      <c r="AZ210" s="1355"/>
      <c r="BA210" s="1355"/>
      <c r="BC210" s="1355"/>
      <c r="BE210" s="1355"/>
      <c r="BF210" s="1355"/>
      <c r="BG210" s="1355"/>
    </row>
    <row r="211">
      <c r="R211" s="1355"/>
      <c r="S211" s="1355"/>
      <c r="W211" s="1355"/>
      <c r="X211" s="1355"/>
      <c r="AE211" s="1355"/>
      <c r="AF211" s="1355"/>
      <c r="AV211" s="1355"/>
      <c r="AW211" s="1355"/>
      <c r="AX211" s="1355"/>
      <c r="AY211" s="1355"/>
      <c r="AZ211" s="1355"/>
      <c r="BA211" s="1355"/>
      <c r="BC211" s="1355"/>
      <c r="BE211" s="1355"/>
      <c r="BF211" s="1355"/>
      <c r="BG211" s="1355"/>
    </row>
    <row r="212">
      <c r="R212" s="1355"/>
      <c r="S212" s="1355"/>
      <c r="W212" s="1355"/>
      <c r="X212" s="1355"/>
      <c r="AE212" s="1355"/>
      <c r="AF212" s="1355"/>
      <c r="AV212" s="1355"/>
      <c r="AW212" s="1355"/>
      <c r="AX212" s="1355"/>
      <c r="AY212" s="1355"/>
      <c r="AZ212" s="1355"/>
      <c r="BA212" s="1355"/>
      <c r="BC212" s="1355"/>
      <c r="BE212" s="1355"/>
      <c r="BF212" s="1355"/>
      <c r="BG212" s="1355"/>
    </row>
    <row r="213">
      <c r="R213" s="1355"/>
      <c r="S213" s="1355"/>
      <c r="W213" s="1355"/>
      <c r="X213" s="1355"/>
      <c r="AE213" s="1355"/>
      <c r="AF213" s="1355"/>
      <c r="AV213" s="1355"/>
      <c r="AW213" s="1355"/>
      <c r="AX213" s="1355"/>
      <c r="AY213" s="1355"/>
      <c r="AZ213" s="1355"/>
      <c r="BA213" s="1355"/>
      <c r="BC213" s="1355"/>
      <c r="BE213" s="1355"/>
      <c r="BF213" s="1355"/>
      <c r="BG213" s="1355"/>
    </row>
    <row r="214">
      <c r="R214" s="1355"/>
      <c r="S214" s="1355"/>
      <c r="W214" s="1355"/>
      <c r="X214" s="1355"/>
      <c r="AE214" s="1355"/>
      <c r="AF214" s="1355"/>
      <c r="AV214" s="1355"/>
      <c r="AW214" s="1355"/>
      <c r="AX214" s="1355"/>
      <c r="AY214" s="1355"/>
      <c r="AZ214" s="1355"/>
      <c r="BA214" s="1355"/>
      <c r="BC214" s="1355"/>
      <c r="BE214" s="1355"/>
      <c r="BF214" s="1355"/>
      <c r="BG214" s="1355"/>
    </row>
    <row r="215">
      <c r="R215" s="1355"/>
      <c r="S215" s="1355"/>
      <c r="W215" s="1355"/>
      <c r="X215" s="1355"/>
      <c r="AE215" s="1355"/>
      <c r="AF215" s="1355"/>
      <c r="AV215" s="1355"/>
      <c r="AW215" s="1355"/>
      <c r="AX215" s="1355"/>
      <c r="AY215" s="1355"/>
      <c r="AZ215" s="1355"/>
      <c r="BA215" s="1355"/>
      <c r="BC215" s="1355"/>
      <c r="BE215" s="1355"/>
      <c r="BF215" s="1355"/>
      <c r="BG215" s="1355"/>
    </row>
    <row r="216">
      <c r="R216" s="1355"/>
      <c r="S216" s="1355"/>
      <c r="W216" s="1355"/>
      <c r="X216" s="1355"/>
      <c r="AE216" s="1355"/>
      <c r="AF216" s="1355"/>
      <c r="AV216" s="1355"/>
      <c r="AW216" s="1355"/>
      <c r="AX216" s="1355"/>
      <c r="AY216" s="1355"/>
      <c r="AZ216" s="1355"/>
      <c r="BA216" s="1355"/>
      <c r="BC216" s="1355"/>
      <c r="BE216" s="1355"/>
      <c r="BF216" s="1355"/>
      <c r="BG216" s="1355"/>
    </row>
    <row r="217">
      <c r="R217" s="1355"/>
      <c r="S217" s="1355"/>
      <c r="W217" s="1355"/>
      <c r="X217" s="1355"/>
      <c r="AE217" s="1355"/>
      <c r="AF217" s="1355"/>
      <c r="AV217" s="1355"/>
      <c r="AW217" s="1355"/>
      <c r="AX217" s="1355"/>
      <c r="AY217" s="1355"/>
      <c r="AZ217" s="1355"/>
      <c r="BA217" s="1355"/>
      <c r="BC217" s="1355"/>
      <c r="BE217" s="1355"/>
      <c r="BF217" s="1355"/>
      <c r="BG217" s="1355"/>
    </row>
    <row r="218">
      <c r="R218" s="1355"/>
      <c r="S218" s="1355"/>
      <c r="W218" s="1355"/>
      <c r="X218" s="1355"/>
      <c r="AE218" s="1355"/>
      <c r="AF218" s="1355"/>
      <c r="AV218" s="1355"/>
      <c r="AW218" s="1355"/>
      <c r="AX218" s="1355"/>
      <c r="AY218" s="1355"/>
      <c r="AZ218" s="1355"/>
      <c r="BA218" s="1355"/>
      <c r="BC218" s="1355"/>
      <c r="BE218" s="1355"/>
      <c r="BF218" s="1355"/>
      <c r="BG218" s="1355"/>
    </row>
    <row r="219">
      <c r="R219" s="1355"/>
      <c r="S219" s="1355"/>
      <c r="W219" s="1355"/>
      <c r="X219" s="1355"/>
      <c r="AE219" s="1355"/>
      <c r="AF219" s="1355"/>
      <c r="AV219" s="1355"/>
      <c r="AW219" s="1355"/>
      <c r="AX219" s="1355"/>
      <c r="AY219" s="1355"/>
      <c r="AZ219" s="1355"/>
      <c r="BA219" s="1355"/>
      <c r="BC219" s="1355"/>
      <c r="BE219" s="1355"/>
      <c r="BF219" s="1355"/>
      <c r="BG219" s="1355"/>
    </row>
    <row r="220">
      <c r="R220" s="1355"/>
      <c r="S220" s="1355"/>
      <c r="W220" s="1355"/>
      <c r="X220" s="1355"/>
      <c r="AE220" s="1355"/>
      <c r="AF220" s="1355"/>
      <c r="AV220" s="1355"/>
      <c r="AW220" s="1355"/>
      <c r="AX220" s="1355"/>
      <c r="AY220" s="1355"/>
      <c r="AZ220" s="1355"/>
      <c r="BA220" s="1355"/>
      <c r="BC220" s="1355"/>
      <c r="BE220" s="1355"/>
      <c r="BF220" s="1355"/>
      <c r="BG220" s="1355"/>
    </row>
    <row r="221">
      <c r="R221" s="1355"/>
      <c r="S221" s="1355"/>
      <c r="W221" s="1355"/>
      <c r="X221" s="1355"/>
      <c r="AE221" s="1355"/>
      <c r="AF221" s="1355"/>
      <c r="AV221" s="1355"/>
      <c r="AW221" s="1355"/>
      <c r="AX221" s="1355"/>
      <c r="AY221" s="1355"/>
      <c r="AZ221" s="1355"/>
      <c r="BA221" s="1355"/>
      <c r="BC221" s="1355"/>
      <c r="BE221" s="1355"/>
      <c r="BF221" s="1355"/>
      <c r="BG221" s="1355"/>
    </row>
    <row r="222">
      <c r="R222" s="1355"/>
      <c r="S222" s="1355"/>
      <c r="W222" s="1355"/>
      <c r="X222" s="1355"/>
      <c r="AE222" s="1355"/>
      <c r="AF222" s="1355"/>
      <c r="AV222" s="1355"/>
      <c r="AW222" s="1355"/>
      <c r="AX222" s="1355"/>
      <c r="AY222" s="1355"/>
      <c r="AZ222" s="1355"/>
      <c r="BA222" s="1355"/>
      <c r="BC222" s="1355"/>
      <c r="BE222" s="1355"/>
      <c r="BF222" s="1355"/>
      <c r="BG222" s="1355"/>
    </row>
    <row r="223">
      <c r="R223" s="1355"/>
      <c r="S223" s="1355"/>
      <c r="W223" s="1355"/>
      <c r="X223" s="1355"/>
      <c r="AE223" s="1355"/>
      <c r="AF223" s="1355"/>
      <c r="AV223" s="1355"/>
      <c r="AW223" s="1355"/>
      <c r="AX223" s="1355"/>
      <c r="AY223" s="1355"/>
      <c r="AZ223" s="1355"/>
      <c r="BA223" s="1355"/>
      <c r="BC223" s="1355"/>
      <c r="BE223" s="1355"/>
      <c r="BF223" s="1355"/>
      <c r="BG223" s="1355"/>
    </row>
    <row r="224">
      <c r="R224" s="1355"/>
      <c r="S224" s="1355"/>
      <c r="W224" s="1355"/>
      <c r="X224" s="1355"/>
      <c r="AE224" s="1355"/>
      <c r="AF224" s="1355"/>
      <c r="AV224" s="1355"/>
      <c r="AW224" s="1355"/>
      <c r="AX224" s="1355"/>
      <c r="AY224" s="1355"/>
      <c r="AZ224" s="1355"/>
      <c r="BA224" s="1355"/>
      <c r="BC224" s="1355"/>
      <c r="BE224" s="1355"/>
      <c r="BF224" s="1355"/>
      <c r="BG224" s="1355"/>
    </row>
    <row r="225">
      <c r="R225" s="1355"/>
      <c r="S225" s="1355"/>
      <c r="W225" s="1355"/>
      <c r="X225" s="1355"/>
      <c r="AE225" s="1355"/>
      <c r="AF225" s="1355"/>
      <c r="AV225" s="1355"/>
      <c r="AW225" s="1355"/>
      <c r="AX225" s="1355"/>
      <c r="AY225" s="1355"/>
      <c r="AZ225" s="1355"/>
      <c r="BA225" s="1355"/>
      <c r="BC225" s="1355"/>
      <c r="BE225" s="1355"/>
      <c r="BF225" s="1355"/>
      <c r="BG225" s="1355"/>
    </row>
    <row r="226">
      <c r="R226" s="1355"/>
      <c r="S226" s="1355"/>
      <c r="W226" s="1355"/>
      <c r="X226" s="1355"/>
      <c r="AE226" s="1355"/>
      <c r="AF226" s="1355"/>
      <c r="AV226" s="1355"/>
      <c r="AW226" s="1355"/>
      <c r="AX226" s="1355"/>
      <c r="AY226" s="1355"/>
      <c r="AZ226" s="1355"/>
      <c r="BA226" s="1355"/>
      <c r="BC226" s="1355"/>
      <c r="BE226" s="1355"/>
      <c r="BF226" s="1355"/>
      <c r="BG226" s="1355"/>
    </row>
    <row r="227">
      <c r="R227" s="1355"/>
      <c r="S227" s="1355"/>
      <c r="W227" s="1355"/>
      <c r="X227" s="1355"/>
      <c r="AE227" s="1355"/>
      <c r="AF227" s="1355"/>
      <c r="AV227" s="1355"/>
      <c r="AW227" s="1355"/>
      <c r="AX227" s="1355"/>
      <c r="AY227" s="1355"/>
      <c r="AZ227" s="1355"/>
      <c r="BA227" s="1355"/>
      <c r="BC227" s="1355"/>
      <c r="BE227" s="1355"/>
      <c r="BF227" s="1355"/>
      <c r="BG227" s="1355"/>
    </row>
    <row r="228">
      <c r="R228" s="1355"/>
      <c r="S228" s="1355"/>
      <c r="W228" s="1355"/>
      <c r="X228" s="1355"/>
      <c r="AE228" s="1355"/>
      <c r="AF228" s="1355"/>
      <c r="AV228" s="1355"/>
      <c r="AW228" s="1355"/>
      <c r="AX228" s="1355"/>
      <c r="AY228" s="1355"/>
      <c r="AZ228" s="1355"/>
      <c r="BA228" s="1355"/>
      <c r="BC228" s="1355"/>
      <c r="BE228" s="1355"/>
      <c r="BF228" s="1355"/>
      <c r="BG228" s="1355"/>
    </row>
    <row r="229">
      <c r="R229" s="1355"/>
      <c r="S229" s="1355"/>
      <c r="W229" s="1355"/>
      <c r="X229" s="1355"/>
      <c r="AE229" s="1355"/>
      <c r="AF229" s="1355"/>
      <c r="AV229" s="1355"/>
      <c r="AW229" s="1355"/>
      <c r="AX229" s="1355"/>
      <c r="AY229" s="1355"/>
      <c r="AZ229" s="1355"/>
      <c r="BA229" s="1355"/>
      <c r="BC229" s="1355"/>
      <c r="BE229" s="1355"/>
      <c r="BF229" s="1355"/>
      <c r="BG229" s="1355"/>
    </row>
    <row r="230">
      <c r="R230" s="1355"/>
      <c r="S230" s="1355"/>
      <c r="W230" s="1355"/>
      <c r="X230" s="1355"/>
      <c r="AE230" s="1355"/>
      <c r="AF230" s="1355"/>
      <c r="AV230" s="1355"/>
      <c r="AW230" s="1355"/>
      <c r="AX230" s="1355"/>
      <c r="AY230" s="1355"/>
      <c r="AZ230" s="1355"/>
      <c r="BA230" s="1355"/>
      <c r="BC230" s="1355"/>
      <c r="BE230" s="1355"/>
      <c r="BF230" s="1355"/>
      <c r="BG230" s="1355"/>
    </row>
    <row r="231">
      <c r="R231" s="1355"/>
      <c r="S231" s="1355"/>
      <c r="W231" s="1355"/>
      <c r="X231" s="1355"/>
      <c r="AE231" s="1355"/>
      <c r="AF231" s="1355"/>
      <c r="AV231" s="1355"/>
      <c r="AW231" s="1355"/>
      <c r="AX231" s="1355"/>
      <c r="AY231" s="1355"/>
      <c r="AZ231" s="1355"/>
      <c r="BA231" s="1355"/>
      <c r="BC231" s="1355"/>
      <c r="BE231" s="1355"/>
      <c r="BF231" s="1355"/>
      <c r="BG231" s="1355"/>
    </row>
    <row r="232">
      <c r="R232" s="1355"/>
      <c r="S232" s="1355"/>
      <c r="W232" s="1355"/>
      <c r="X232" s="1355"/>
      <c r="AE232" s="1355"/>
      <c r="AF232" s="1355"/>
      <c r="AV232" s="1355"/>
      <c r="AW232" s="1355"/>
      <c r="AX232" s="1355"/>
      <c r="AY232" s="1355"/>
      <c r="AZ232" s="1355"/>
      <c r="BA232" s="1355"/>
      <c r="BC232" s="1355"/>
      <c r="BE232" s="1355"/>
      <c r="BF232" s="1355"/>
      <c r="BG232" s="1355"/>
    </row>
    <row r="233">
      <c r="R233" s="1355"/>
      <c r="S233" s="1355"/>
      <c r="W233" s="1355"/>
      <c r="X233" s="1355"/>
      <c r="AE233" s="1355"/>
      <c r="AF233" s="1355"/>
      <c r="AV233" s="1355"/>
      <c r="AW233" s="1355"/>
      <c r="AX233" s="1355"/>
      <c r="AY233" s="1355"/>
      <c r="AZ233" s="1355"/>
      <c r="BA233" s="1355"/>
      <c r="BC233" s="1355"/>
      <c r="BE233" s="1355"/>
      <c r="BF233" s="1355"/>
      <c r="BG233" s="1355"/>
    </row>
    <row r="234">
      <c r="R234" s="1355"/>
      <c r="S234" s="1355"/>
      <c r="W234" s="1355"/>
      <c r="X234" s="1355"/>
      <c r="AE234" s="1355"/>
      <c r="AF234" s="1355"/>
      <c r="AV234" s="1355"/>
      <c r="AW234" s="1355"/>
      <c r="AX234" s="1355"/>
      <c r="AY234" s="1355"/>
      <c r="AZ234" s="1355"/>
      <c r="BA234" s="1355"/>
      <c r="BC234" s="1355"/>
      <c r="BE234" s="1355"/>
      <c r="BF234" s="1355"/>
      <c r="BG234" s="1355"/>
    </row>
    <row r="235">
      <c r="R235" s="1355"/>
      <c r="S235" s="1355"/>
      <c r="W235" s="1355"/>
      <c r="X235" s="1355"/>
      <c r="AE235" s="1355"/>
      <c r="AF235" s="1355"/>
      <c r="AV235" s="1355"/>
      <c r="AW235" s="1355"/>
      <c r="AX235" s="1355"/>
      <c r="AY235" s="1355"/>
      <c r="AZ235" s="1355"/>
      <c r="BA235" s="1355"/>
      <c r="BC235" s="1355"/>
      <c r="BE235" s="1355"/>
      <c r="BF235" s="1355"/>
      <c r="BG235" s="1355"/>
    </row>
    <row r="236">
      <c r="R236" s="1355"/>
      <c r="S236" s="1355"/>
      <c r="W236" s="1355"/>
      <c r="X236" s="1355"/>
      <c r="AE236" s="1355"/>
      <c r="AF236" s="1355"/>
      <c r="AV236" s="1355"/>
      <c r="AW236" s="1355"/>
      <c r="AX236" s="1355"/>
      <c r="AY236" s="1355"/>
      <c r="AZ236" s="1355"/>
      <c r="BA236" s="1355"/>
      <c r="BC236" s="1355"/>
      <c r="BE236" s="1355"/>
      <c r="BF236" s="1355"/>
      <c r="BG236" s="1355"/>
    </row>
    <row r="237">
      <c r="R237" s="1355"/>
      <c r="S237" s="1355"/>
      <c r="W237" s="1355"/>
      <c r="X237" s="1355"/>
      <c r="AE237" s="1355"/>
      <c r="AF237" s="1355"/>
      <c r="AV237" s="1355"/>
      <c r="AW237" s="1355"/>
      <c r="AX237" s="1355"/>
      <c r="AY237" s="1355"/>
      <c r="AZ237" s="1355"/>
      <c r="BA237" s="1355"/>
      <c r="BC237" s="1355"/>
      <c r="BE237" s="1355"/>
      <c r="BF237" s="1355"/>
      <c r="BG237" s="1355"/>
    </row>
    <row r="238">
      <c r="R238" s="1355"/>
      <c r="S238" s="1355"/>
      <c r="W238" s="1355"/>
      <c r="X238" s="1355"/>
      <c r="AE238" s="1355"/>
      <c r="AF238" s="1355"/>
      <c r="AV238" s="1355"/>
      <c r="AW238" s="1355"/>
      <c r="AX238" s="1355"/>
      <c r="AY238" s="1355"/>
      <c r="AZ238" s="1355"/>
      <c r="BA238" s="1355"/>
      <c r="BC238" s="1355"/>
      <c r="BE238" s="1355"/>
      <c r="BF238" s="1355"/>
      <c r="BG238" s="1355"/>
    </row>
    <row r="239">
      <c r="R239" s="1355"/>
      <c r="S239" s="1355"/>
      <c r="W239" s="1355"/>
      <c r="X239" s="1355"/>
      <c r="AE239" s="1355"/>
      <c r="AF239" s="1355"/>
      <c r="AV239" s="1355"/>
      <c r="AW239" s="1355"/>
      <c r="AX239" s="1355"/>
      <c r="AY239" s="1355"/>
      <c r="AZ239" s="1355"/>
      <c r="BA239" s="1355"/>
      <c r="BC239" s="1355"/>
      <c r="BE239" s="1355"/>
      <c r="BF239" s="1355"/>
      <c r="BG239" s="1355"/>
    </row>
    <row r="240">
      <c r="R240" s="1355"/>
      <c r="S240" s="1355"/>
      <c r="W240" s="1355"/>
      <c r="X240" s="1355"/>
      <c r="AE240" s="1355"/>
      <c r="AF240" s="1355"/>
      <c r="AV240" s="1355"/>
      <c r="AW240" s="1355"/>
      <c r="AX240" s="1355"/>
      <c r="AY240" s="1355"/>
      <c r="AZ240" s="1355"/>
      <c r="BA240" s="1355"/>
      <c r="BC240" s="1355"/>
      <c r="BE240" s="1355"/>
      <c r="BF240" s="1355"/>
      <c r="BG240" s="1355"/>
    </row>
    <row r="241">
      <c r="R241" s="1355"/>
      <c r="S241" s="1355"/>
      <c r="W241" s="1355"/>
      <c r="X241" s="1355"/>
      <c r="AE241" s="1355"/>
      <c r="AF241" s="1355"/>
      <c r="AV241" s="1355"/>
      <c r="AW241" s="1355"/>
      <c r="AX241" s="1355"/>
      <c r="AY241" s="1355"/>
      <c r="AZ241" s="1355"/>
      <c r="BA241" s="1355"/>
      <c r="BC241" s="1355"/>
      <c r="BE241" s="1355"/>
      <c r="BF241" s="1355"/>
      <c r="BG241" s="1355"/>
    </row>
    <row r="242">
      <c r="R242" s="1355"/>
      <c r="S242" s="1355"/>
      <c r="W242" s="1355"/>
      <c r="X242" s="1355"/>
      <c r="AE242" s="1355"/>
      <c r="AF242" s="1355"/>
      <c r="AV242" s="1355"/>
      <c r="AW242" s="1355"/>
      <c r="AX242" s="1355"/>
      <c r="AY242" s="1355"/>
      <c r="AZ242" s="1355"/>
      <c r="BA242" s="1355"/>
      <c r="BC242" s="1355"/>
      <c r="BE242" s="1355"/>
      <c r="BF242" s="1355"/>
      <c r="BG242" s="1355"/>
    </row>
    <row r="243">
      <c r="R243" s="1355"/>
      <c r="S243" s="1355"/>
      <c r="W243" s="1355"/>
      <c r="X243" s="1355"/>
      <c r="AE243" s="1355"/>
      <c r="AF243" s="1355"/>
      <c r="AV243" s="1355"/>
      <c r="AW243" s="1355"/>
      <c r="AX243" s="1355"/>
      <c r="AY243" s="1355"/>
      <c r="AZ243" s="1355"/>
      <c r="BA243" s="1355"/>
      <c r="BC243" s="1355"/>
      <c r="BE243" s="1355"/>
      <c r="BF243" s="1355"/>
      <c r="BG243" s="1355"/>
    </row>
    <row r="244">
      <c r="R244" s="1355"/>
      <c r="S244" s="1355"/>
      <c r="W244" s="1355"/>
      <c r="X244" s="1355"/>
      <c r="AE244" s="1355"/>
      <c r="AF244" s="1355"/>
      <c r="AV244" s="1355"/>
      <c r="AW244" s="1355"/>
      <c r="AX244" s="1355"/>
      <c r="AY244" s="1355"/>
      <c r="AZ244" s="1355"/>
      <c r="BA244" s="1355"/>
      <c r="BC244" s="1355"/>
      <c r="BE244" s="1355"/>
      <c r="BF244" s="1355"/>
      <c r="BG244" s="1355"/>
    </row>
    <row r="245">
      <c r="R245" s="1355"/>
      <c r="S245" s="1355"/>
      <c r="W245" s="1355"/>
      <c r="X245" s="1355"/>
      <c r="AE245" s="1355"/>
      <c r="AF245" s="1355"/>
      <c r="AV245" s="1355"/>
      <c r="AW245" s="1355"/>
      <c r="AX245" s="1355"/>
      <c r="AY245" s="1355"/>
      <c r="AZ245" s="1355"/>
      <c r="BA245" s="1355"/>
      <c r="BC245" s="1355"/>
      <c r="BE245" s="1355"/>
      <c r="BF245" s="1355"/>
      <c r="BG245" s="1355"/>
    </row>
    <row r="246">
      <c r="R246" s="1355"/>
      <c r="S246" s="1355"/>
      <c r="W246" s="1355"/>
      <c r="X246" s="1355"/>
      <c r="AE246" s="1355"/>
      <c r="AF246" s="1355"/>
      <c r="AV246" s="1355"/>
      <c r="AW246" s="1355"/>
      <c r="AX246" s="1355"/>
      <c r="AY246" s="1355"/>
      <c r="AZ246" s="1355"/>
      <c r="BA246" s="1355"/>
      <c r="BC246" s="1355"/>
      <c r="BE246" s="1355"/>
      <c r="BF246" s="1355"/>
      <c r="BG246" s="1355"/>
    </row>
    <row r="247">
      <c r="R247" s="1355"/>
      <c r="S247" s="1355"/>
      <c r="W247" s="1355"/>
      <c r="X247" s="1355"/>
      <c r="AE247" s="1355"/>
      <c r="AF247" s="1355"/>
      <c r="AV247" s="1355"/>
      <c r="AW247" s="1355"/>
      <c r="AX247" s="1355"/>
      <c r="AY247" s="1355"/>
      <c r="AZ247" s="1355"/>
      <c r="BA247" s="1355"/>
      <c r="BC247" s="1355"/>
      <c r="BE247" s="1355"/>
      <c r="BF247" s="1355"/>
      <c r="BG247" s="1355"/>
    </row>
    <row r="248">
      <c r="R248" s="1355"/>
      <c r="S248" s="1355"/>
      <c r="W248" s="1355"/>
      <c r="X248" s="1355"/>
      <c r="AE248" s="1355"/>
      <c r="AF248" s="1355"/>
      <c r="AV248" s="1355"/>
      <c r="AW248" s="1355"/>
      <c r="AX248" s="1355"/>
      <c r="AY248" s="1355"/>
      <c r="AZ248" s="1355"/>
      <c r="BA248" s="1355"/>
      <c r="BC248" s="1355"/>
      <c r="BE248" s="1355"/>
      <c r="BF248" s="1355"/>
      <c r="BG248" s="1355"/>
    </row>
    <row r="249">
      <c r="R249" s="1355"/>
      <c r="S249" s="1355"/>
      <c r="W249" s="1355"/>
      <c r="X249" s="1355"/>
      <c r="AE249" s="1355"/>
      <c r="AF249" s="1355"/>
      <c r="AV249" s="1355"/>
      <c r="AW249" s="1355"/>
      <c r="AX249" s="1355"/>
      <c r="AY249" s="1355"/>
      <c r="AZ249" s="1355"/>
      <c r="BA249" s="1355"/>
      <c r="BC249" s="1355"/>
      <c r="BE249" s="1355"/>
      <c r="BF249" s="1355"/>
      <c r="BG249" s="1355"/>
    </row>
    <row r="250">
      <c r="R250" s="1355"/>
      <c r="S250" s="1355"/>
      <c r="W250" s="1355"/>
      <c r="X250" s="1355"/>
      <c r="AE250" s="1355"/>
      <c r="AF250" s="1355"/>
      <c r="AV250" s="1355"/>
      <c r="AW250" s="1355"/>
      <c r="AX250" s="1355"/>
      <c r="AY250" s="1355"/>
      <c r="AZ250" s="1355"/>
      <c r="BA250" s="1355"/>
      <c r="BC250" s="1355"/>
      <c r="BE250" s="1355"/>
      <c r="BF250" s="1355"/>
      <c r="BG250" s="1355"/>
    </row>
    <row r="251">
      <c r="R251" s="1355"/>
      <c r="S251" s="1355"/>
      <c r="W251" s="1355"/>
      <c r="X251" s="1355"/>
      <c r="AE251" s="1355"/>
      <c r="AF251" s="1355"/>
      <c r="AV251" s="1355"/>
      <c r="AW251" s="1355"/>
      <c r="AX251" s="1355"/>
      <c r="AY251" s="1355"/>
      <c r="AZ251" s="1355"/>
      <c r="BA251" s="1355"/>
      <c r="BC251" s="1355"/>
      <c r="BE251" s="1355"/>
      <c r="BF251" s="1355"/>
      <c r="BG251" s="1355"/>
    </row>
    <row r="252">
      <c r="R252" s="1355"/>
      <c r="S252" s="1355"/>
      <c r="W252" s="1355"/>
      <c r="X252" s="1355"/>
      <c r="AE252" s="1355"/>
      <c r="AF252" s="1355"/>
      <c r="AV252" s="1355"/>
      <c r="AW252" s="1355"/>
      <c r="AX252" s="1355"/>
      <c r="AY252" s="1355"/>
      <c r="AZ252" s="1355"/>
      <c r="BA252" s="1355"/>
      <c r="BC252" s="1355"/>
      <c r="BE252" s="1355"/>
      <c r="BF252" s="1355"/>
      <c r="BG252" s="1355"/>
    </row>
    <row r="253">
      <c r="R253" s="1355"/>
      <c r="S253" s="1355"/>
      <c r="W253" s="1355"/>
      <c r="X253" s="1355"/>
      <c r="AE253" s="1355"/>
      <c r="AF253" s="1355"/>
      <c r="AV253" s="1355"/>
      <c r="AW253" s="1355"/>
      <c r="AX253" s="1355"/>
      <c r="AY253" s="1355"/>
      <c r="AZ253" s="1355"/>
      <c r="BA253" s="1355"/>
      <c r="BC253" s="1355"/>
      <c r="BE253" s="1355"/>
      <c r="BF253" s="1355"/>
      <c r="BG253" s="1355"/>
    </row>
    <row r="254">
      <c r="R254" s="1355"/>
      <c r="S254" s="1355"/>
      <c r="W254" s="1355"/>
      <c r="X254" s="1355"/>
      <c r="AE254" s="1355"/>
      <c r="AF254" s="1355"/>
      <c r="AV254" s="1355"/>
      <c r="AW254" s="1355"/>
      <c r="AX254" s="1355"/>
      <c r="AY254" s="1355"/>
      <c r="AZ254" s="1355"/>
      <c r="BA254" s="1355"/>
      <c r="BC254" s="1355"/>
      <c r="BE254" s="1355"/>
      <c r="BF254" s="1355"/>
      <c r="BG254" s="1355"/>
    </row>
    <row r="255">
      <c r="R255" s="1355"/>
      <c r="S255" s="1355"/>
      <c r="W255" s="1355"/>
      <c r="X255" s="1355"/>
      <c r="AE255" s="1355"/>
      <c r="AF255" s="1355"/>
      <c r="AV255" s="1355"/>
      <c r="AW255" s="1355"/>
      <c r="AX255" s="1355"/>
      <c r="AY255" s="1355"/>
      <c r="AZ255" s="1355"/>
      <c r="BA255" s="1355"/>
      <c r="BC255" s="1355"/>
      <c r="BE255" s="1355"/>
      <c r="BF255" s="1355"/>
      <c r="BG255" s="1355"/>
    </row>
    <row r="256">
      <c r="R256" s="1355"/>
      <c r="S256" s="1355"/>
      <c r="W256" s="1355"/>
      <c r="X256" s="1355"/>
      <c r="AE256" s="1355"/>
      <c r="AF256" s="1355"/>
      <c r="AV256" s="1355"/>
      <c r="AW256" s="1355"/>
      <c r="AX256" s="1355"/>
      <c r="AY256" s="1355"/>
      <c r="AZ256" s="1355"/>
      <c r="BA256" s="1355"/>
      <c r="BC256" s="1355"/>
      <c r="BE256" s="1355"/>
      <c r="BF256" s="1355"/>
      <c r="BG256" s="1355"/>
    </row>
    <row r="257">
      <c r="R257" s="1355"/>
      <c r="S257" s="1355"/>
      <c r="W257" s="1355"/>
      <c r="X257" s="1355"/>
      <c r="AE257" s="1355"/>
      <c r="AF257" s="1355"/>
      <c r="AV257" s="1355"/>
      <c r="AW257" s="1355"/>
      <c r="AX257" s="1355"/>
      <c r="AY257" s="1355"/>
      <c r="AZ257" s="1355"/>
      <c r="BA257" s="1355"/>
      <c r="BC257" s="1355"/>
      <c r="BE257" s="1355"/>
      <c r="BF257" s="1355"/>
      <c r="BG257" s="1355"/>
    </row>
    <row r="258">
      <c r="R258" s="1355"/>
      <c r="S258" s="1355"/>
      <c r="W258" s="1355"/>
      <c r="X258" s="1355"/>
      <c r="AE258" s="1355"/>
      <c r="AF258" s="1355"/>
      <c r="AV258" s="1355"/>
      <c r="AW258" s="1355"/>
      <c r="AX258" s="1355"/>
      <c r="AY258" s="1355"/>
      <c r="AZ258" s="1355"/>
      <c r="BA258" s="1355"/>
      <c r="BC258" s="1355"/>
      <c r="BE258" s="1355"/>
      <c r="BF258" s="1355"/>
      <c r="BG258" s="1355"/>
    </row>
    <row r="259">
      <c r="R259" s="1355"/>
      <c r="S259" s="1355"/>
      <c r="W259" s="1355"/>
      <c r="X259" s="1355"/>
      <c r="AE259" s="1355"/>
      <c r="AF259" s="1355"/>
      <c r="AV259" s="1355"/>
      <c r="AW259" s="1355"/>
      <c r="AX259" s="1355"/>
      <c r="AY259" s="1355"/>
      <c r="AZ259" s="1355"/>
      <c r="BA259" s="1355"/>
      <c r="BC259" s="1355"/>
      <c r="BE259" s="1355"/>
      <c r="BF259" s="1355"/>
      <c r="BG259" s="1355"/>
    </row>
    <row r="260">
      <c r="R260" s="1355"/>
      <c r="S260" s="1355"/>
      <c r="W260" s="1355"/>
      <c r="X260" s="1355"/>
      <c r="AE260" s="1355"/>
      <c r="AF260" s="1355"/>
      <c r="AV260" s="1355"/>
      <c r="AW260" s="1355"/>
      <c r="AX260" s="1355"/>
      <c r="AY260" s="1355"/>
      <c r="AZ260" s="1355"/>
      <c r="BA260" s="1355"/>
      <c r="BC260" s="1355"/>
      <c r="BE260" s="1355"/>
      <c r="BF260" s="1355"/>
      <c r="BG260" s="1355"/>
    </row>
    <row r="261">
      <c r="R261" s="1355"/>
      <c r="S261" s="1355"/>
      <c r="W261" s="1355"/>
      <c r="X261" s="1355"/>
      <c r="AE261" s="1355"/>
      <c r="AF261" s="1355"/>
      <c r="AV261" s="1355"/>
      <c r="AW261" s="1355"/>
      <c r="AX261" s="1355"/>
      <c r="AY261" s="1355"/>
      <c r="AZ261" s="1355"/>
      <c r="BA261" s="1355"/>
      <c r="BC261" s="1355"/>
      <c r="BE261" s="1355"/>
      <c r="BF261" s="1355"/>
      <c r="BG261" s="1355"/>
    </row>
    <row r="262">
      <c r="R262" s="1355"/>
      <c r="S262" s="1355"/>
      <c r="W262" s="1355"/>
      <c r="X262" s="1355"/>
      <c r="AE262" s="1355"/>
      <c r="AF262" s="1355"/>
      <c r="AV262" s="1355"/>
      <c r="AW262" s="1355"/>
      <c r="AX262" s="1355"/>
      <c r="AY262" s="1355"/>
      <c r="AZ262" s="1355"/>
      <c r="BA262" s="1355"/>
      <c r="BC262" s="1355"/>
      <c r="BE262" s="1355"/>
      <c r="BF262" s="1355"/>
      <c r="BG262" s="1355"/>
    </row>
    <row r="263">
      <c r="R263" s="1355"/>
      <c r="S263" s="1355"/>
      <c r="W263" s="1355"/>
      <c r="X263" s="1355"/>
      <c r="AE263" s="1355"/>
      <c r="AF263" s="1355"/>
      <c r="AV263" s="1355"/>
      <c r="AW263" s="1355"/>
      <c r="AX263" s="1355"/>
      <c r="AY263" s="1355"/>
      <c r="AZ263" s="1355"/>
      <c r="BA263" s="1355"/>
      <c r="BC263" s="1355"/>
      <c r="BE263" s="1355"/>
      <c r="BF263" s="1355"/>
      <c r="BG263" s="1355"/>
    </row>
    <row r="264">
      <c r="R264" s="1355"/>
      <c r="S264" s="1355"/>
      <c r="W264" s="1355"/>
      <c r="X264" s="1355"/>
      <c r="AE264" s="1355"/>
      <c r="AF264" s="1355"/>
      <c r="AV264" s="1355"/>
      <c r="AW264" s="1355"/>
      <c r="AX264" s="1355"/>
      <c r="AY264" s="1355"/>
      <c r="AZ264" s="1355"/>
      <c r="BA264" s="1355"/>
      <c r="BC264" s="1355"/>
      <c r="BE264" s="1355"/>
      <c r="BF264" s="1355"/>
      <c r="BG264" s="1355"/>
    </row>
    <row r="265">
      <c r="R265" s="1355"/>
      <c r="S265" s="1355"/>
      <c r="W265" s="1355"/>
      <c r="X265" s="1355"/>
      <c r="AE265" s="1355"/>
      <c r="AF265" s="1355"/>
      <c r="AV265" s="1355"/>
      <c r="AW265" s="1355"/>
      <c r="AX265" s="1355"/>
      <c r="AY265" s="1355"/>
      <c r="AZ265" s="1355"/>
      <c r="BA265" s="1355"/>
      <c r="BC265" s="1355"/>
      <c r="BE265" s="1355"/>
      <c r="BF265" s="1355"/>
      <c r="BG265" s="1355"/>
    </row>
    <row r="266">
      <c r="R266" s="1355"/>
      <c r="S266" s="1355"/>
      <c r="W266" s="1355"/>
      <c r="X266" s="1355"/>
      <c r="AE266" s="1355"/>
      <c r="AF266" s="1355"/>
      <c r="AV266" s="1355"/>
      <c r="AW266" s="1355"/>
      <c r="AX266" s="1355"/>
      <c r="AY266" s="1355"/>
      <c r="AZ266" s="1355"/>
      <c r="BA266" s="1355"/>
      <c r="BC266" s="1355"/>
      <c r="BE266" s="1355"/>
      <c r="BF266" s="1355"/>
      <c r="BG266" s="1355"/>
    </row>
    <row r="267">
      <c r="R267" s="1355"/>
      <c r="S267" s="1355"/>
      <c r="W267" s="1355"/>
      <c r="X267" s="1355"/>
      <c r="AE267" s="1355"/>
      <c r="AF267" s="1355"/>
      <c r="AV267" s="1355"/>
      <c r="AW267" s="1355"/>
      <c r="AX267" s="1355"/>
      <c r="AY267" s="1355"/>
      <c r="AZ267" s="1355"/>
      <c r="BA267" s="1355"/>
      <c r="BC267" s="1355"/>
      <c r="BE267" s="1355"/>
      <c r="BF267" s="1355"/>
      <c r="BG267" s="1355"/>
    </row>
    <row r="268">
      <c r="R268" s="1355"/>
      <c r="S268" s="1355"/>
      <c r="W268" s="1355"/>
      <c r="X268" s="1355"/>
      <c r="AE268" s="1355"/>
      <c r="AF268" s="1355"/>
      <c r="AV268" s="1355"/>
      <c r="AW268" s="1355"/>
      <c r="AX268" s="1355"/>
      <c r="AY268" s="1355"/>
      <c r="AZ268" s="1355"/>
      <c r="BA268" s="1355"/>
      <c r="BC268" s="1355"/>
      <c r="BE268" s="1355"/>
      <c r="BF268" s="1355"/>
      <c r="BG268" s="1355"/>
    </row>
    <row r="269">
      <c r="R269" s="1355"/>
      <c r="S269" s="1355"/>
      <c r="W269" s="1355"/>
      <c r="X269" s="1355"/>
      <c r="AE269" s="1355"/>
      <c r="AF269" s="1355"/>
      <c r="AV269" s="1355"/>
      <c r="AW269" s="1355"/>
      <c r="AX269" s="1355"/>
      <c r="AY269" s="1355"/>
      <c r="AZ269" s="1355"/>
      <c r="BA269" s="1355"/>
      <c r="BC269" s="1355"/>
      <c r="BE269" s="1355"/>
      <c r="BF269" s="1355"/>
      <c r="BG269" s="1355"/>
    </row>
    <row r="270">
      <c r="R270" s="1355"/>
      <c r="S270" s="1355"/>
      <c r="W270" s="1355"/>
      <c r="X270" s="1355"/>
      <c r="AE270" s="1355"/>
      <c r="AF270" s="1355"/>
      <c r="AV270" s="1355"/>
      <c r="AW270" s="1355"/>
      <c r="AX270" s="1355"/>
      <c r="AY270" s="1355"/>
      <c r="AZ270" s="1355"/>
      <c r="BA270" s="1355"/>
      <c r="BC270" s="1355"/>
      <c r="BE270" s="1355"/>
      <c r="BF270" s="1355"/>
      <c r="BG270" s="1355"/>
    </row>
    <row r="271">
      <c r="R271" s="1355"/>
      <c r="S271" s="1355"/>
      <c r="W271" s="1355"/>
      <c r="X271" s="1355"/>
      <c r="AE271" s="1355"/>
      <c r="AF271" s="1355"/>
      <c r="AV271" s="1355"/>
      <c r="AW271" s="1355"/>
      <c r="AX271" s="1355"/>
      <c r="AY271" s="1355"/>
      <c r="AZ271" s="1355"/>
      <c r="BA271" s="1355"/>
      <c r="BC271" s="1355"/>
      <c r="BE271" s="1355"/>
      <c r="BF271" s="1355"/>
      <c r="BG271" s="1355"/>
    </row>
    <row r="272">
      <c r="R272" s="1355"/>
      <c r="S272" s="1355"/>
      <c r="W272" s="1355"/>
      <c r="X272" s="1355"/>
      <c r="AE272" s="1355"/>
      <c r="AF272" s="1355"/>
      <c r="AV272" s="1355"/>
      <c r="AW272" s="1355"/>
      <c r="AX272" s="1355"/>
      <c r="AY272" s="1355"/>
      <c r="AZ272" s="1355"/>
      <c r="BA272" s="1355"/>
      <c r="BC272" s="1355"/>
      <c r="BE272" s="1355"/>
      <c r="BF272" s="1355"/>
      <c r="BG272" s="1355"/>
    </row>
    <row r="273">
      <c r="R273" s="1355"/>
      <c r="S273" s="1355"/>
      <c r="W273" s="1355"/>
      <c r="X273" s="1355"/>
      <c r="AE273" s="1355"/>
      <c r="AF273" s="1355"/>
      <c r="AV273" s="1355"/>
      <c r="AW273" s="1355"/>
      <c r="AX273" s="1355"/>
      <c r="AY273" s="1355"/>
      <c r="AZ273" s="1355"/>
      <c r="BA273" s="1355"/>
      <c r="BC273" s="1355"/>
      <c r="BE273" s="1355"/>
      <c r="BF273" s="1355"/>
      <c r="BG273" s="1355"/>
    </row>
    <row r="274">
      <c r="R274" s="1355"/>
      <c r="S274" s="1355"/>
      <c r="W274" s="1355"/>
      <c r="X274" s="1355"/>
      <c r="AE274" s="1355"/>
      <c r="AF274" s="1355"/>
      <c r="AV274" s="1355"/>
      <c r="AW274" s="1355"/>
      <c r="AX274" s="1355"/>
      <c r="AY274" s="1355"/>
      <c r="AZ274" s="1355"/>
      <c r="BA274" s="1355"/>
      <c r="BC274" s="1355"/>
      <c r="BE274" s="1355"/>
      <c r="BF274" s="1355"/>
      <c r="BG274" s="1355"/>
    </row>
    <row r="275">
      <c r="R275" s="1355"/>
      <c r="S275" s="1355"/>
      <c r="W275" s="1355"/>
      <c r="X275" s="1355"/>
      <c r="AE275" s="1355"/>
      <c r="AF275" s="1355"/>
      <c r="AV275" s="1355"/>
      <c r="AW275" s="1355"/>
      <c r="AX275" s="1355"/>
      <c r="AY275" s="1355"/>
      <c r="AZ275" s="1355"/>
      <c r="BA275" s="1355"/>
      <c r="BC275" s="1355"/>
      <c r="BE275" s="1355"/>
      <c r="BF275" s="1355"/>
      <c r="BG275" s="1355"/>
    </row>
    <row r="276">
      <c r="R276" s="1355"/>
      <c r="S276" s="1355"/>
      <c r="W276" s="1355"/>
      <c r="X276" s="1355"/>
      <c r="AE276" s="1355"/>
      <c r="AF276" s="1355"/>
      <c r="AV276" s="1355"/>
      <c r="AW276" s="1355"/>
      <c r="AX276" s="1355"/>
      <c r="AY276" s="1355"/>
      <c r="AZ276" s="1355"/>
      <c r="BA276" s="1355"/>
      <c r="BC276" s="1355"/>
      <c r="BE276" s="1355"/>
      <c r="BF276" s="1355"/>
      <c r="BG276" s="1355"/>
    </row>
    <row r="277">
      <c r="R277" s="1355"/>
      <c r="S277" s="1355"/>
      <c r="W277" s="1355"/>
      <c r="X277" s="1355"/>
      <c r="AE277" s="1355"/>
      <c r="AF277" s="1355"/>
      <c r="AV277" s="1355"/>
      <c r="AW277" s="1355"/>
      <c r="AX277" s="1355"/>
      <c r="AY277" s="1355"/>
      <c r="AZ277" s="1355"/>
      <c r="BA277" s="1355"/>
      <c r="BC277" s="1355"/>
      <c r="BE277" s="1355"/>
      <c r="BF277" s="1355"/>
      <c r="BG277" s="1355"/>
    </row>
    <row r="278">
      <c r="R278" s="1355"/>
      <c r="S278" s="1355"/>
      <c r="W278" s="1355"/>
      <c r="X278" s="1355"/>
      <c r="AE278" s="1355"/>
      <c r="AF278" s="1355"/>
      <c r="AV278" s="1355"/>
      <c r="AW278" s="1355"/>
      <c r="AX278" s="1355"/>
      <c r="AY278" s="1355"/>
      <c r="AZ278" s="1355"/>
      <c r="BA278" s="1355"/>
      <c r="BC278" s="1355"/>
      <c r="BE278" s="1355"/>
      <c r="BF278" s="1355"/>
      <c r="BG278" s="1355"/>
    </row>
    <row r="279">
      <c r="R279" s="1355"/>
      <c r="S279" s="1355"/>
      <c r="W279" s="1355"/>
      <c r="X279" s="1355"/>
      <c r="AE279" s="1355"/>
      <c r="AF279" s="1355"/>
      <c r="AV279" s="1355"/>
      <c r="AW279" s="1355"/>
      <c r="AX279" s="1355"/>
      <c r="AY279" s="1355"/>
      <c r="AZ279" s="1355"/>
      <c r="BA279" s="1355"/>
      <c r="BC279" s="1355"/>
      <c r="BE279" s="1355"/>
      <c r="BF279" s="1355"/>
      <c r="BG279" s="1355"/>
    </row>
    <row r="280">
      <c r="R280" s="1355"/>
      <c r="S280" s="1355"/>
      <c r="W280" s="1355"/>
      <c r="X280" s="1355"/>
      <c r="AE280" s="1355"/>
      <c r="AF280" s="1355"/>
      <c r="AV280" s="1355"/>
      <c r="AW280" s="1355"/>
      <c r="AX280" s="1355"/>
      <c r="AY280" s="1355"/>
      <c r="AZ280" s="1355"/>
      <c r="BA280" s="1355"/>
      <c r="BC280" s="1355"/>
      <c r="BE280" s="1355"/>
      <c r="BF280" s="1355"/>
      <c r="BG280" s="1355"/>
    </row>
    <row r="281">
      <c r="R281" s="1355"/>
      <c r="S281" s="1355"/>
      <c r="W281" s="1355"/>
      <c r="X281" s="1355"/>
      <c r="AE281" s="1355"/>
      <c r="AF281" s="1355"/>
      <c r="AV281" s="1355"/>
      <c r="AW281" s="1355"/>
      <c r="AX281" s="1355"/>
      <c r="AY281" s="1355"/>
      <c r="AZ281" s="1355"/>
      <c r="BA281" s="1355"/>
      <c r="BC281" s="1355"/>
      <c r="BE281" s="1355"/>
      <c r="BF281" s="1355"/>
      <c r="BG281" s="1355"/>
    </row>
    <row r="282">
      <c r="R282" s="1355"/>
      <c r="S282" s="1355"/>
      <c r="W282" s="1355"/>
      <c r="X282" s="1355"/>
      <c r="AE282" s="1355"/>
      <c r="AF282" s="1355"/>
      <c r="AV282" s="1355"/>
      <c r="AW282" s="1355"/>
      <c r="AX282" s="1355"/>
      <c r="AY282" s="1355"/>
      <c r="AZ282" s="1355"/>
      <c r="BA282" s="1355"/>
      <c r="BC282" s="1355"/>
      <c r="BE282" s="1355"/>
      <c r="BF282" s="1355"/>
      <c r="BG282" s="1355"/>
    </row>
    <row r="283">
      <c r="R283" s="1355"/>
      <c r="S283" s="1355"/>
      <c r="W283" s="1355"/>
      <c r="X283" s="1355"/>
      <c r="AE283" s="1355"/>
      <c r="AF283" s="1355"/>
      <c r="AV283" s="1355"/>
      <c r="AW283" s="1355"/>
      <c r="AX283" s="1355"/>
      <c r="AY283" s="1355"/>
      <c r="AZ283" s="1355"/>
      <c r="BA283" s="1355"/>
      <c r="BC283" s="1355"/>
      <c r="BE283" s="1355"/>
      <c r="BF283" s="1355"/>
      <c r="BG283" s="1355"/>
    </row>
    <row r="284">
      <c r="R284" s="1355"/>
      <c r="S284" s="1355"/>
      <c r="W284" s="1355"/>
      <c r="X284" s="1355"/>
      <c r="AE284" s="1355"/>
      <c r="AF284" s="1355"/>
      <c r="AV284" s="1355"/>
      <c r="AW284" s="1355"/>
      <c r="AX284" s="1355"/>
      <c r="AY284" s="1355"/>
      <c r="AZ284" s="1355"/>
      <c r="BA284" s="1355"/>
      <c r="BC284" s="1355"/>
      <c r="BE284" s="1355"/>
      <c r="BF284" s="1355"/>
      <c r="BG284" s="1355"/>
    </row>
    <row r="285">
      <c r="R285" s="1355"/>
      <c r="S285" s="1355"/>
      <c r="W285" s="1355"/>
      <c r="X285" s="1355"/>
      <c r="AE285" s="1355"/>
      <c r="AF285" s="1355"/>
      <c r="AV285" s="1355"/>
      <c r="AW285" s="1355"/>
      <c r="AX285" s="1355"/>
      <c r="AY285" s="1355"/>
      <c r="AZ285" s="1355"/>
      <c r="BA285" s="1355"/>
      <c r="BC285" s="1355"/>
      <c r="BE285" s="1355"/>
      <c r="BF285" s="1355"/>
      <c r="BG285" s="1355"/>
    </row>
    <row r="286">
      <c r="R286" s="1355"/>
      <c r="S286" s="1355"/>
      <c r="W286" s="1355"/>
      <c r="X286" s="1355"/>
      <c r="AE286" s="1355"/>
      <c r="AF286" s="1355"/>
      <c r="AV286" s="1355"/>
      <c r="AW286" s="1355"/>
      <c r="AX286" s="1355"/>
      <c r="AY286" s="1355"/>
      <c r="AZ286" s="1355"/>
      <c r="BA286" s="1355"/>
      <c r="BC286" s="1355"/>
      <c r="BE286" s="1355"/>
      <c r="BF286" s="1355"/>
      <c r="BG286" s="1355"/>
    </row>
    <row r="287">
      <c r="R287" s="1355"/>
      <c r="S287" s="1355"/>
      <c r="W287" s="1355"/>
      <c r="X287" s="1355"/>
      <c r="AE287" s="1355"/>
      <c r="AF287" s="1355"/>
      <c r="AV287" s="1355"/>
      <c r="AW287" s="1355"/>
      <c r="AX287" s="1355"/>
      <c r="AY287" s="1355"/>
      <c r="AZ287" s="1355"/>
      <c r="BA287" s="1355"/>
      <c r="BC287" s="1355"/>
      <c r="BE287" s="1355"/>
      <c r="BF287" s="1355"/>
      <c r="BG287" s="1355"/>
    </row>
    <row r="288">
      <c r="R288" s="1355"/>
      <c r="S288" s="1355"/>
      <c r="W288" s="1355"/>
      <c r="X288" s="1355"/>
      <c r="AE288" s="1355"/>
      <c r="AF288" s="1355"/>
      <c r="AV288" s="1355"/>
      <c r="AW288" s="1355"/>
      <c r="AX288" s="1355"/>
      <c r="AY288" s="1355"/>
      <c r="AZ288" s="1355"/>
      <c r="BA288" s="1355"/>
      <c r="BC288" s="1355"/>
      <c r="BE288" s="1355"/>
      <c r="BF288" s="1355"/>
      <c r="BG288" s="1355"/>
    </row>
    <row r="289">
      <c r="R289" s="1355"/>
      <c r="S289" s="1355"/>
      <c r="W289" s="1355"/>
      <c r="X289" s="1355"/>
      <c r="AE289" s="1355"/>
      <c r="AF289" s="1355"/>
      <c r="AV289" s="1355"/>
      <c r="AW289" s="1355"/>
      <c r="AX289" s="1355"/>
      <c r="AY289" s="1355"/>
      <c r="AZ289" s="1355"/>
      <c r="BA289" s="1355"/>
      <c r="BC289" s="1355"/>
      <c r="BE289" s="1355"/>
      <c r="BF289" s="1355"/>
      <c r="BG289" s="1355"/>
    </row>
    <row r="290">
      <c r="R290" s="1355"/>
      <c r="S290" s="1355"/>
      <c r="W290" s="1355"/>
      <c r="X290" s="1355"/>
      <c r="AE290" s="1355"/>
      <c r="AF290" s="1355"/>
      <c r="AV290" s="1355"/>
      <c r="AW290" s="1355"/>
      <c r="AX290" s="1355"/>
      <c r="AY290" s="1355"/>
      <c r="AZ290" s="1355"/>
      <c r="BA290" s="1355"/>
      <c r="BC290" s="1355"/>
      <c r="BE290" s="1355"/>
      <c r="BF290" s="1355"/>
      <c r="BG290" s="1355"/>
    </row>
    <row r="291">
      <c r="R291" s="1355"/>
      <c r="S291" s="1355"/>
      <c r="W291" s="1355"/>
      <c r="X291" s="1355"/>
      <c r="AE291" s="1355"/>
      <c r="AF291" s="1355"/>
      <c r="AV291" s="1355"/>
      <c r="AW291" s="1355"/>
      <c r="AX291" s="1355"/>
      <c r="AY291" s="1355"/>
      <c r="AZ291" s="1355"/>
      <c r="BA291" s="1355"/>
      <c r="BC291" s="1355"/>
      <c r="BE291" s="1355"/>
      <c r="BF291" s="1355"/>
      <c r="BG291" s="1355"/>
    </row>
    <row r="292">
      <c r="R292" s="1355"/>
      <c r="S292" s="1355"/>
      <c r="W292" s="1355"/>
      <c r="X292" s="1355"/>
      <c r="AE292" s="1355"/>
      <c r="AF292" s="1355"/>
      <c r="AV292" s="1355"/>
      <c r="AW292" s="1355"/>
      <c r="AX292" s="1355"/>
      <c r="AY292" s="1355"/>
      <c r="AZ292" s="1355"/>
      <c r="BA292" s="1355"/>
      <c r="BC292" s="1355"/>
      <c r="BE292" s="1355"/>
      <c r="BF292" s="1355"/>
      <c r="BG292" s="1355"/>
    </row>
    <row r="293">
      <c r="R293" s="1355"/>
      <c r="S293" s="1355"/>
      <c r="W293" s="1355"/>
      <c r="X293" s="1355"/>
      <c r="AE293" s="1355"/>
      <c r="AF293" s="1355"/>
      <c r="AV293" s="1355"/>
      <c r="AW293" s="1355"/>
      <c r="AX293" s="1355"/>
      <c r="AY293" s="1355"/>
      <c r="AZ293" s="1355"/>
      <c r="BA293" s="1355"/>
      <c r="BC293" s="1355"/>
      <c r="BE293" s="1355"/>
      <c r="BF293" s="1355"/>
      <c r="BG293" s="1355"/>
    </row>
    <row r="294">
      <c r="R294" s="1355"/>
      <c r="S294" s="1355"/>
      <c r="W294" s="1355"/>
      <c r="X294" s="1355"/>
      <c r="AE294" s="1355"/>
      <c r="AF294" s="1355"/>
      <c r="AV294" s="1355"/>
      <c r="AW294" s="1355"/>
      <c r="AX294" s="1355"/>
      <c r="AY294" s="1355"/>
      <c r="AZ294" s="1355"/>
      <c r="BA294" s="1355"/>
      <c r="BC294" s="1355"/>
      <c r="BE294" s="1355"/>
      <c r="BF294" s="1355"/>
      <c r="BG294" s="1355"/>
    </row>
    <row r="295">
      <c r="R295" s="1355"/>
      <c r="S295" s="1355"/>
      <c r="W295" s="1355"/>
      <c r="X295" s="1355"/>
      <c r="AE295" s="1355"/>
      <c r="AF295" s="1355"/>
      <c r="AV295" s="1355"/>
      <c r="AW295" s="1355"/>
      <c r="AX295" s="1355"/>
      <c r="AY295" s="1355"/>
      <c r="AZ295" s="1355"/>
      <c r="BA295" s="1355"/>
      <c r="BC295" s="1355"/>
      <c r="BE295" s="1355"/>
      <c r="BF295" s="1355"/>
      <c r="BG295" s="1355"/>
    </row>
    <row r="296">
      <c r="R296" s="1355"/>
      <c r="S296" s="1355"/>
      <c r="W296" s="1355"/>
      <c r="X296" s="1355"/>
      <c r="AE296" s="1355"/>
      <c r="AF296" s="1355"/>
      <c r="AV296" s="1355"/>
      <c r="AW296" s="1355"/>
      <c r="AX296" s="1355"/>
      <c r="AY296" s="1355"/>
      <c r="AZ296" s="1355"/>
      <c r="BA296" s="1355"/>
      <c r="BC296" s="1355"/>
      <c r="BE296" s="1355"/>
      <c r="BF296" s="1355"/>
      <c r="BG296" s="1355"/>
    </row>
    <row r="297">
      <c r="R297" s="1355"/>
      <c r="S297" s="1355"/>
      <c r="W297" s="1355"/>
      <c r="X297" s="1355"/>
      <c r="AE297" s="1355"/>
      <c r="AF297" s="1355"/>
      <c r="AV297" s="1355"/>
      <c r="AW297" s="1355"/>
      <c r="AX297" s="1355"/>
      <c r="AY297" s="1355"/>
      <c r="AZ297" s="1355"/>
      <c r="BA297" s="1355"/>
      <c r="BC297" s="1355"/>
      <c r="BE297" s="1355"/>
      <c r="BF297" s="1355"/>
      <c r="BG297" s="1355"/>
    </row>
    <row r="298">
      <c r="R298" s="1355"/>
      <c r="S298" s="1355"/>
      <c r="W298" s="1355"/>
      <c r="X298" s="1355"/>
      <c r="AE298" s="1355"/>
      <c r="AF298" s="1355"/>
      <c r="AV298" s="1355"/>
      <c r="AW298" s="1355"/>
      <c r="AX298" s="1355"/>
      <c r="AY298" s="1355"/>
      <c r="AZ298" s="1355"/>
      <c r="BA298" s="1355"/>
      <c r="BC298" s="1355"/>
      <c r="BE298" s="1355"/>
      <c r="BF298" s="1355"/>
      <c r="BG298" s="1355"/>
    </row>
    <row r="299">
      <c r="R299" s="1355"/>
      <c r="S299" s="1355"/>
      <c r="W299" s="1355"/>
      <c r="X299" s="1355"/>
      <c r="AE299" s="1355"/>
      <c r="AF299" s="1355"/>
      <c r="AV299" s="1355"/>
      <c r="AW299" s="1355"/>
      <c r="AX299" s="1355"/>
      <c r="AY299" s="1355"/>
      <c r="AZ299" s="1355"/>
      <c r="BA299" s="1355"/>
      <c r="BC299" s="1355"/>
      <c r="BE299" s="1355"/>
      <c r="BF299" s="1355"/>
      <c r="BG299" s="1355"/>
    </row>
    <row r="300">
      <c r="R300" s="1355"/>
      <c r="S300" s="1355"/>
      <c r="W300" s="1355"/>
      <c r="X300" s="1355"/>
      <c r="AE300" s="1355"/>
      <c r="AF300" s="1355"/>
      <c r="AV300" s="1355"/>
      <c r="AW300" s="1355"/>
      <c r="AX300" s="1355"/>
      <c r="AY300" s="1355"/>
      <c r="AZ300" s="1355"/>
      <c r="BA300" s="1355"/>
      <c r="BC300" s="1355"/>
      <c r="BE300" s="1355"/>
      <c r="BF300" s="1355"/>
      <c r="BG300" s="1355"/>
    </row>
    <row r="301">
      <c r="R301" s="1355"/>
      <c r="S301" s="1355"/>
      <c r="W301" s="1355"/>
      <c r="X301" s="1355"/>
      <c r="AE301" s="1355"/>
      <c r="AF301" s="1355"/>
      <c r="AV301" s="1355"/>
      <c r="AW301" s="1355"/>
      <c r="AX301" s="1355"/>
      <c r="AY301" s="1355"/>
      <c r="AZ301" s="1355"/>
      <c r="BA301" s="1355"/>
      <c r="BC301" s="1355"/>
      <c r="BE301" s="1355"/>
      <c r="BF301" s="1355"/>
      <c r="BG301" s="1355"/>
    </row>
    <row r="302">
      <c r="R302" s="1355"/>
      <c r="S302" s="1355"/>
      <c r="W302" s="1355"/>
      <c r="X302" s="1355"/>
      <c r="AE302" s="1355"/>
      <c r="AF302" s="1355"/>
      <c r="AV302" s="1355"/>
      <c r="AW302" s="1355"/>
      <c r="AX302" s="1355"/>
      <c r="AY302" s="1355"/>
      <c r="AZ302" s="1355"/>
      <c r="BA302" s="1355"/>
      <c r="BC302" s="1355"/>
      <c r="BE302" s="1355"/>
      <c r="BF302" s="1355"/>
      <c r="BG302" s="1355"/>
    </row>
    <row r="303">
      <c r="R303" s="1355"/>
      <c r="S303" s="1355"/>
      <c r="W303" s="1355"/>
      <c r="X303" s="1355"/>
      <c r="AE303" s="1355"/>
      <c r="AF303" s="1355"/>
      <c r="AV303" s="1355"/>
      <c r="AW303" s="1355"/>
      <c r="AX303" s="1355"/>
      <c r="AY303" s="1355"/>
      <c r="AZ303" s="1355"/>
      <c r="BA303" s="1355"/>
      <c r="BC303" s="1355"/>
      <c r="BE303" s="1355"/>
      <c r="BF303" s="1355"/>
      <c r="BG303" s="1355"/>
    </row>
    <row r="304">
      <c r="R304" s="1355"/>
      <c r="S304" s="1355"/>
      <c r="W304" s="1355"/>
      <c r="X304" s="1355"/>
      <c r="AE304" s="1355"/>
      <c r="AF304" s="1355"/>
      <c r="AV304" s="1355"/>
      <c r="AW304" s="1355"/>
      <c r="AX304" s="1355"/>
      <c r="AY304" s="1355"/>
      <c r="AZ304" s="1355"/>
      <c r="BA304" s="1355"/>
      <c r="BC304" s="1355"/>
      <c r="BE304" s="1355"/>
      <c r="BF304" s="1355"/>
      <c r="BG304" s="1355"/>
    </row>
    <row r="305">
      <c r="R305" s="1355"/>
      <c r="S305" s="1355"/>
      <c r="W305" s="1355"/>
      <c r="X305" s="1355"/>
      <c r="AE305" s="1355"/>
      <c r="AF305" s="1355"/>
      <c r="AV305" s="1355"/>
      <c r="AW305" s="1355"/>
      <c r="AX305" s="1355"/>
      <c r="AY305" s="1355"/>
      <c r="AZ305" s="1355"/>
      <c r="BA305" s="1355"/>
      <c r="BC305" s="1355"/>
      <c r="BE305" s="1355"/>
      <c r="BF305" s="1355"/>
      <c r="BG305" s="1355"/>
    </row>
    <row r="306">
      <c r="R306" s="1355"/>
      <c r="S306" s="1355"/>
      <c r="W306" s="1355"/>
      <c r="X306" s="1355"/>
      <c r="AE306" s="1355"/>
      <c r="AF306" s="1355"/>
      <c r="AV306" s="1355"/>
      <c r="AW306" s="1355"/>
      <c r="AX306" s="1355"/>
      <c r="AY306" s="1355"/>
      <c r="AZ306" s="1355"/>
      <c r="BA306" s="1355"/>
      <c r="BC306" s="1355"/>
      <c r="BE306" s="1355"/>
      <c r="BF306" s="1355"/>
      <c r="BG306" s="1355"/>
    </row>
    <row r="307">
      <c r="R307" s="1355"/>
      <c r="S307" s="1355"/>
      <c r="W307" s="1355"/>
      <c r="X307" s="1355"/>
      <c r="AE307" s="1355"/>
      <c r="AF307" s="1355"/>
      <c r="AV307" s="1355"/>
      <c r="AW307" s="1355"/>
      <c r="AX307" s="1355"/>
      <c r="AY307" s="1355"/>
      <c r="AZ307" s="1355"/>
      <c r="BA307" s="1355"/>
      <c r="BC307" s="1355"/>
      <c r="BE307" s="1355"/>
      <c r="BF307" s="1355"/>
      <c r="BG307" s="1355"/>
    </row>
    <row r="308">
      <c r="R308" s="1355"/>
      <c r="S308" s="1355"/>
      <c r="W308" s="1355"/>
      <c r="X308" s="1355"/>
      <c r="AE308" s="1355"/>
      <c r="AF308" s="1355"/>
      <c r="AV308" s="1355"/>
      <c r="AW308" s="1355"/>
      <c r="AX308" s="1355"/>
      <c r="AY308" s="1355"/>
      <c r="AZ308" s="1355"/>
      <c r="BA308" s="1355"/>
      <c r="BC308" s="1355"/>
      <c r="BE308" s="1355"/>
      <c r="BF308" s="1355"/>
      <c r="BG308" s="1355"/>
    </row>
    <row r="309">
      <c r="R309" s="1355"/>
      <c r="S309" s="1355"/>
      <c r="W309" s="1355"/>
      <c r="X309" s="1355"/>
      <c r="AE309" s="1355"/>
      <c r="AF309" s="1355"/>
      <c r="AV309" s="1355"/>
      <c r="AW309" s="1355"/>
      <c r="AX309" s="1355"/>
      <c r="AY309" s="1355"/>
      <c r="AZ309" s="1355"/>
      <c r="BA309" s="1355"/>
      <c r="BC309" s="1355"/>
      <c r="BE309" s="1355"/>
      <c r="BF309" s="1355"/>
      <c r="BG309" s="1355"/>
    </row>
    <row r="310">
      <c r="R310" s="1355"/>
      <c r="S310" s="1355"/>
      <c r="W310" s="1355"/>
      <c r="X310" s="1355"/>
      <c r="AE310" s="1355"/>
      <c r="AF310" s="1355"/>
      <c r="AV310" s="1355"/>
      <c r="AW310" s="1355"/>
      <c r="AX310" s="1355"/>
      <c r="AY310" s="1355"/>
      <c r="AZ310" s="1355"/>
      <c r="BA310" s="1355"/>
      <c r="BC310" s="1355"/>
      <c r="BE310" s="1355"/>
      <c r="BF310" s="1355"/>
      <c r="BG310" s="1355"/>
    </row>
    <row r="311">
      <c r="R311" s="1355"/>
      <c r="S311" s="1355"/>
      <c r="W311" s="1355"/>
      <c r="X311" s="1355"/>
      <c r="AE311" s="1355"/>
      <c r="AF311" s="1355"/>
      <c r="AV311" s="1355"/>
      <c r="AW311" s="1355"/>
      <c r="AX311" s="1355"/>
      <c r="AY311" s="1355"/>
      <c r="AZ311" s="1355"/>
      <c r="BA311" s="1355"/>
      <c r="BC311" s="1355"/>
      <c r="BE311" s="1355"/>
      <c r="BF311" s="1355"/>
      <c r="BG311" s="1355"/>
    </row>
    <row r="312">
      <c r="R312" s="1355"/>
      <c r="S312" s="1355"/>
      <c r="W312" s="1355"/>
      <c r="X312" s="1355"/>
      <c r="AE312" s="1355"/>
      <c r="AF312" s="1355"/>
      <c r="AV312" s="1355"/>
      <c r="AW312" s="1355"/>
      <c r="AX312" s="1355"/>
      <c r="AY312" s="1355"/>
      <c r="AZ312" s="1355"/>
      <c r="BA312" s="1355"/>
      <c r="BC312" s="1355"/>
      <c r="BE312" s="1355"/>
      <c r="BF312" s="1355"/>
      <c r="BG312" s="1355"/>
    </row>
    <row r="313">
      <c r="R313" s="1355"/>
      <c r="S313" s="1355"/>
      <c r="W313" s="1355"/>
      <c r="X313" s="1355"/>
      <c r="AE313" s="1355"/>
      <c r="AF313" s="1355"/>
      <c r="AV313" s="1355"/>
      <c r="AW313" s="1355"/>
      <c r="AX313" s="1355"/>
      <c r="AY313" s="1355"/>
      <c r="AZ313" s="1355"/>
      <c r="BA313" s="1355"/>
      <c r="BC313" s="1355"/>
      <c r="BE313" s="1355"/>
      <c r="BF313" s="1355"/>
      <c r="BG313" s="1355"/>
    </row>
    <row r="314">
      <c r="R314" s="1355"/>
      <c r="S314" s="1355"/>
      <c r="W314" s="1355"/>
      <c r="X314" s="1355"/>
      <c r="AE314" s="1355"/>
      <c r="AF314" s="1355"/>
      <c r="AV314" s="1355"/>
      <c r="AW314" s="1355"/>
      <c r="AX314" s="1355"/>
      <c r="AY314" s="1355"/>
      <c r="AZ314" s="1355"/>
      <c r="BA314" s="1355"/>
      <c r="BC314" s="1355"/>
      <c r="BE314" s="1355"/>
      <c r="BF314" s="1355"/>
      <c r="BG314" s="1355"/>
    </row>
    <row r="315">
      <c r="R315" s="1355"/>
      <c r="S315" s="1355"/>
      <c r="W315" s="1355"/>
      <c r="X315" s="1355"/>
      <c r="AE315" s="1355"/>
      <c r="AF315" s="1355"/>
      <c r="AV315" s="1355"/>
      <c r="AW315" s="1355"/>
      <c r="AX315" s="1355"/>
      <c r="AY315" s="1355"/>
      <c r="AZ315" s="1355"/>
      <c r="BA315" s="1355"/>
      <c r="BC315" s="1355"/>
      <c r="BE315" s="1355"/>
      <c r="BF315" s="1355"/>
      <c r="BG315" s="1355"/>
    </row>
    <row r="316">
      <c r="R316" s="1355"/>
      <c r="S316" s="1355"/>
      <c r="W316" s="1355"/>
      <c r="X316" s="1355"/>
      <c r="AE316" s="1355"/>
      <c r="AF316" s="1355"/>
      <c r="AV316" s="1355"/>
      <c r="AW316" s="1355"/>
      <c r="AX316" s="1355"/>
      <c r="AY316" s="1355"/>
      <c r="AZ316" s="1355"/>
      <c r="BA316" s="1355"/>
      <c r="BC316" s="1355"/>
      <c r="BE316" s="1355"/>
      <c r="BF316" s="1355"/>
      <c r="BG316" s="1355"/>
    </row>
    <row r="317">
      <c r="R317" s="1355"/>
      <c r="S317" s="1355"/>
      <c r="W317" s="1355"/>
      <c r="X317" s="1355"/>
      <c r="AE317" s="1355"/>
      <c r="AF317" s="1355"/>
      <c r="AV317" s="1355"/>
      <c r="AW317" s="1355"/>
      <c r="AX317" s="1355"/>
      <c r="AY317" s="1355"/>
      <c r="AZ317" s="1355"/>
      <c r="BA317" s="1355"/>
      <c r="BC317" s="1355"/>
      <c r="BE317" s="1355"/>
      <c r="BF317" s="1355"/>
      <c r="BG317" s="1355"/>
    </row>
    <row r="318">
      <c r="R318" s="1355"/>
      <c r="S318" s="1355"/>
      <c r="W318" s="1355"/>
      <c r="X318" s="1355"/>
      <c r="AE318" s="1355"/>
      <c r="AF318" s="1355"/>
      <c r="AV318" s="1355"/>
      <c r="AW318" s="1355"/>
      <c r="AX318" s="1355"/>
      <c r="AY318" s="1355"/>
      <c r="AZ318" s="1355"/>
      <c r="BA318" s="1355"/>
      <c r="BC318" s="1355"/>
      <c r="BE318" s="1355"/>
      <c r="BF318" s="1355"/>
      <c r="BG318" s="1355"/>
    </row>
    <row r="319">
      <c r="R319" s="1355"/>
      <c r="S319" s="1355"/>
      <c r="W319" s="1355"/>
      <c r="X319" s="1355"/>
      <c r="AE319" s="1355"/>
      <c r="AF319" s="1355"/>
      <c r="AV319" s="1355"/>
      <c r="AW319" s="1355"/>
      <c r="AX319" s="1355"/>
      <c r="AY319" s="1355"/>
      <c r="AZ319" s="1355"/>
      <c r="BA319" s="1355"/>
      <c r="BC319" s="1355"/>
      <c r="BE319" s="1355"/>
      <c r="BF319" s="1355"/>
      <c r="BG319" s="1355"/>
    </row>
    <row r="320">
      <c r="R320" s="1355"/>
      <c r="S320" s="1355"/>
      <c r="W320" s="1355"/>
      <c r="X320" s="1355"/>
      <c r="AE320" s="1355"/>
      <c r="AF320" s="1355"/>
      <c r="AV320" s="1355"/>
      <c r="AW320" s="1355"/>
      <c r="AX320" s="1355"/>
      <c r="AY320" s="1355"/>
      <c r="AZ320" s="1355"/>
      <c r="BA320" s="1355"/>
      <c r="BC320" s="1355"/>
      <c r="BE320" s="1355"/>
      <c r="BF320" s="1355"/>
      <c r="BG320" s="1355"/>
    </row>
    <row r="321">
      <c r="R321" s="1355"/>
      <c r="S321" s="1355"/>
      <c r="W321" s="1355"/>
      <c r="X321" s="1355"/>
      <c r="AE321" s="1355"/>
      <c r="AF321" s="1355"/>
      <c r="AV321" s="1355"/>
      <c r="AW321" s="1355"/>
      <c r="AX321" s="1355"/>
      <c r="AY321" s="1355"/>
      <c r="AZ321" s="1355"/>
      <c r="BA321" s="1355"/>
      <c r="BC321" s="1355"/>
      <c r="BE321" s="1355"/>
      <c r="BF321" s="1355"/>
      <c r="BG321" s="1355"/>
    </row>
    <row r="322">
      <c r="R322" s="1355"/>
      <c r="S322" s="1355"/>
      <c r="W322" s="1355"/>
      <c r="X322" s="1355"/>
      <c r="AE322" s="1355"/>
      <c r="AF322" s="1355"/>
      <c r="AV322" s="1355"/>
      <c r="AW322" s="1355"/>
      <c r="AX322" s="1355"/>
      <c r="AY322" s="1355"/>
      <c r="AZ322" s="1355"/>
      <c r="BA322" s="1355"/>
      <c r="BC322" s="1355"/>
      <c r="BE322" s="1355"/>
      <c r="BF322" s="1355"/>
      <c r="BG322" s="1355"/>
    </row>
    <row r="323">
      <c r="R323" s="1355"/>
      <c r="S323" s="1355"/>
      <c r="W323" s="1355"/>
      <c r="X323" s="1355"/>
      <c r="AE323" s="1355"/>
      <c r="AF323" s="1355"/>
      <c r="AV323" s="1355"/>
      <c r="AW323" s="1355"/>
      <c r="AX323" s="1355"/>
      <c r="AY323" s="1355"/>
      <c r="AZ323" s="1355"/>
      <c r="BA323" s="1355"/>
      <c r="BC323" s="1355"/>
      <c r="BE323" s="1355"/>
      <c r="BF323" s="1355"/>
      <c r="BG323" s="1355"/>
    </row>
    <row r="324">
      <c r="R324" s="1355"/>
      <c r="S324" s="1355"/>
      <c r="W324" s="1355"/>
      <c r="X324" s="1355"/>
      <c r="AE324" s="1355"/>
      <c r="AF324" s="1355"/>
      <c r="AV324" s="1355"/>
      <c r="AW324" s="1355"/>
      <c r="AX324" s="1355"/>
      <c r="AY324" s="1355"/>
      <c r="AZ324" s="1355"/>
      <c r="BA324" s="1355"/>
      <c r="BC324" s="1355"/>
      <c r="BE324" s="1355"/>
      <c r="BF324" s="1355"/>
      <c r="BG324" s="1355"/>
    </row>
    <row r="325">
      <c r="R325" s="1355"/>
      <c r="S325" s="1355"/>
      <c r="W325" s="1355"/>
      <c r="X325" s="1355"/>
      <c r="AE325" s="1355"/>
      <c r="AF325" s="1355"/>
      <c r="AV325" s="1355"/>
      <c r="AW325" s="1355"/>
      <c r="AX325" s="1355"/>
      <c r="AY325" s="1355"/>
      <c r="AZ325" s="1355"/>
      <c r="BA325" s="1355"/>
      <c r="BC325" s="1355"/>
      <c r="BE325" s="1355"/>
      <c r="BF325" s="1355"/>
      <c r="BG325" s="1355"/>
    </row>
    <row r="326">
      <c r="R326" s="1355"/>
      <c r="S326" s="1355"/>
      <c r="W326" s="1355"/>
      <c r="X326" s="1355"/>
      <c r="AE326" s="1355"/>
      <c r="AF326" s="1355"/>
      <c r="AV326" s="1355"/>
      <c r="AW326" s="1355"/>
      <c r="AX326" s="1355"/>
      <c r="AY326" s="1355"/>
      <c r="AZ326" s="1355"/>
      <c r="BA326" s="1355"/>
      <c r="BC326" s="1355"/>
      <c r="BE326" s="1355"/>
      <c r="BF326" s="1355"/>
      <c r="BG326" s="1355"/>
    </row>
    <row r="327">
      <c r="R327" s="1355"/>
      <c r="S327" s="1355"/>
      <c r="W327" s="1355"/>
      <c r="X327" s="1355"/>
      <c r="AE327" s="1355"/>
      <c r="AF327" s="1355"/>
      <c r="AV327" s="1355"/>
      <c r="AW327" s="1355"/>
      <c r="AX327" s="1355"/>
      <c r="AY327" s="1355"/>
      <c r="AZ327" s="1355"/>
      <c r="BA327" s="1355"/>
      <c r="BC327" s="1355"/>
      <c r="BE327" s="1355"/>
      <c r="BF327" s="1355"/>
      <c r="BG327" s="1355"/>
    </row>
    <row r="328">
      <c r="R328" s="1355"/>
      <c r="S328" s="1355"/>
      <c r="W328" s="1355"/>
      <c r="X328" s="1355"/>
      <c r="AE328" s="1355"/>
      <c r="AF328" s="1355"/>
      <c r="AV328" s="1355"/>
      <c r="AW328" s="1355"/>
      <c r="AX328" s="1355"/>
      <c r="AY328" s="1355"/>
      <c r="AZ328" s="1355"/>
      <c r="BA328" s="1355"/>
      <c r="BC328" s="1355"/>
      <c r="BE328" s="1355"/>
      <c r="BF328" s="1355"/>
      <c r="BG328" s="1355"/>
    </row>
    <row r="329">
      <c r="R329" s="1355"/>
      <c r="S329" s="1355"/>
      <c r="W329" s="1355"/>
      <c r="X329" s="1355"/>
      <c r="AE329" s="1355"/>
      <c r="AF329" s="1355"/>
      <c r="AV329" s="1355"/>
      <c r="AW329" s="1355"/>
      <c r="AX329" s="1355"/>
      <c r="AY329" s="1355"/>
      <c r="AZ329" s="1355"/>
      <c r="BA329" s="1355"/>
      <c r="BC329" s="1355"/>
      <c r="BE329" s="1355"/>
      <c r="BF329" s="1355"/>
      <c r="BG329" s="1355"/>
    </row>
    <row r="330">
      <c r="R330" s="1355"/>
      <c r="S330" s="1355"/>
      <c r="W330" s="1355"/>
      <c r="X330" s="1355"/>
      <c r="AE330" s="1355"/>
      <c r="AF330" s="1355"/>
      <c r="AV330" s="1355"/>
      <c r="AW330" s="1355"/>
      <c r="AX330" s="1355"/>
      <c r="AY330" s="1355"/>
      <c r="AZ330" s="1355"/>
      <c r="BA330" s="1355"/>
      <c r="BC330" s="1355"/>
      <c r="BE330" s="1355"/>
      <c r="BF330" s="1355"/>
      <c r="BG330" s="1355"/>
    </row>
    <row r="331">
      <c r="R331" s="1355"/>
      <c r="S331" s="1355"/>
      <c r="W331" s="1355"/>
      <c r="X331" s="1355"/>
      <c r="AE331" s="1355"/>
      <c r="AF331" s="1355"/>
      <c r="AV331" s="1355"/>
      <c r="AW331" s="1355"/>
      <c r="AX331" s="1355"/>
      <c r="AY331" s="1355"/>
      <c r="AZ331" s="1355"/>
      <c r="BA331" s="1355"/>
      <c r="BC331" s="1355"/>
      <c r="BE331" s="1355"/>
      <c r="BF331" s="1355"/>
      <c r="BG331" s="1355"/>
    </row>
    <row r="332">
      <c r="R332" s="1355"/>
      <c r="S332" s="1355"/>
      <c r="W332" s="1355"/>
      <c r="X332" s="1355"/>
      <c r="AE332" s="1355"/>
      <c r="AF332" s="1355"/>
      <c r="AV332" s="1355"/>
      <c r="AW332" s="1355"/>
      <c r="AX332" s="1355"/>
      <c r="AY332" s="1355"/>
      <c r="AZ332" s="1355"/>
      <c r="BA332" s="1355"/>
      <c r="BC332" s="1355"/>
      <c r="BE332" s="1355"/>
      <c r="BF332" s="1355"/>
      <c r="BG332" s="1355"/>
    </row>
    <row r="333">
      <c r="R333" s="1355"/>
      <c r="S333" s="1355"/>
      <c r="W333" s="1355"/>
      <c r="X333" s="1355"/>
      <c r="AE333" s="1355"/>
      <c r="AF333" s="1355"/>
      <c r="AV333" s="1355"/>
      <c r="AW333" s="1355"/>
      <c r="AX333" s="1355"/>
      <c r="AY333" s="1355"/>
      <c r="AZ333" s="1355"/>
      <c r="BA333" s="1355"/>
      <c r="BC333" s="1355"/>
      <c r="BE333" s="1355"/>
      <c r="BF333" s="1355"/>
      <c r="BG333" s="1355"/>
    </row>
    <row r="334">
      <c r="R334" s="1355"/>
      <c r="S334" s="1355"/>
      <c r="W334" s="1355"/>
      <c r="X334" s="1355"/>
      <c r="AE334" s="1355"/>
      <c r="AF334" s="1355"/>
      <c r="AV334" s="1355"/>
      <c r="AW334" s="1355"/>
      <c r="AX334" s="1355"/>
      <c r="AY334" s="1355"/>
      <c r="AZ334" s="1355"/>
      <c r="BA334" s="1355"/>
      <c r="BC334" s="1355"/>
      <c r="BE334" s="1355"/>
      <c r="BF334" s="1355"/>
      <c r="BG334" s="1355"/>
    </row>
    <row r="335">
      <c r="R335" s="1355"/>
      <c r="S335" s="1355"/>
      <c r="W335" s="1355"/>
      <c r="X335" s="1355"/>
      <c r="AE335" s="1355"/>
      <c r="AF335" s="1355"/>
      <c r="AV335" s="1355"/>
      <c r="AW335" s="1355"/>
      <c r="AX335" s="1355"/>
      <c r="AY335" s="1355"/>
      <c r="AZ335" s="1355"/>
      <c r="BA335" s="1355"/>
      <c r="BC335" s="1355"/>
      <c r="BE335" s="1355"/>
      <c r="BF335" s="1355"/>
      <c r="BG335" s="1355"/>
    </row>
    <row r="336">
      <c r="R336" s="1355"/>
      <c r="S336" s="1355"/>
      <c r="W336" s="1355"/>
      <c r="X336" s="1355"/>
      <c r="AE336" s="1355"/>
      <c r="AF336" s="1355"/>
      <c r="AV336" s="1355"/>
      <c r="AW336" s="1355"/>
      <c r="AX336" s="1355"/>
      <c r="AY336" s="1355"/>
      <c r="AZ336" s="1355"/>
      <c r="BA336" s="1355"/>
      <c r="BC336" s="1355"/>
      <c r="BE336" s="1355"/>
      <c r="BF336" s="1355"/>
      <c r="BG336" s="1355"/>
    </row>
    <row r="337">
      <c r="R337" s="1355"/>
      <c r="S337" s="1355"/>
      <c r="W337" s="1355"/>
      <c r="X337" s="1355"/>
      <c r="AE337" s="1355"/>
      <c r="AF337" s="1355"/>
      <c r="AV337" s="1355"/>
      <c r="AW337" s="1355"/>
      <c r="AX337" s="1355"/>
      <c r="AY337" s="1355"/>
      <c r="AZ337" s="1355"/>
      <c r="BA337" s="1355"/>
      <c r="BC337" s="1355"/>
      <c r="BE337" s="1355"/>
      <c r="BF337" s="1355"/>
      <c r="BG337" s="1355"/>
    </row>
    <row r="338">
      <c r="R338" s="1355"/>
      <c r="S338" s="1355"/>
      <c r="W338" s="1355"/>
      <c r="X338" s="1355"/>
      <c r="AE338" s="1355"/>
      <c r="AF338" s="1355"/>
      <c r="AV338" s="1355"/>
      <c r="AW338" s="1355"/>
      <c r="AX338" s="1355"/>
      <c r="AY338" s="1355"/>
      <c r="AZ338" s="1355"/>
      <c r="BA338" s="1355"/>
      <c r="BC338" s="1355"/>
      <c r="BE338" s="1355"/>
      <c r="BF338" s="1355"/>
      <c r="BG338" s="1355"/>
    </row>
    <row r="339">
      <c r="R339" s="1355"/>
      <c r="S339" s="1355"/>
      <c r="W339" s="1355"/>
      <c r="X339" s="1355"/>
      <c r="AE339" s="1355"/>
      <c r="AF339" s="1355"/>
      <c r="AV339" s="1355"/>
      <c r="AW339" s="1355"/>
      <c r="AX339" s="1355"/>
      <c r="AY339" s="1355"/>
      <c r="AZ339" s="1355"/>
      <c r="BA339" s="1355"/>
      <c r="BC339" s="1355"/>
      <c r="BE339" s="1355"/>
      <c r="BF339" s="1355"/>
      <c r="BG339" s="1355"/>
    </row>
    <row r="340">
      <c r="R340" s="1355"/>
      <c r="S340" s="1355"/>
      <c r="W340" s="1355"/>
      <c r="X340" s="1355"/>
      <c r="AE340" s="1355"/>
      <c r="AF340" s="1355"/>
      <c r="AV340" s="1355"/>
      <c r="AW340" s="1355"/>
      <c r="AX340" s="1355"/>
      <c r="AY340" s="1355"/>
      <c r="AZ340" s="1355"/>
      <c r="BA340" s="1355"/>
      <c r="BC340" s="1355"/>
      <c r="BE340" s="1355"/>
      <c r="BF340" s="1355"/>
      <c r="BG340" s="1355"/>
    </row>
    <row r="341">
      <c r="R341" s="1355"/>
      <c r="S341" s="1355"/>
      <c r="W341" s="1355"/>
      <c r="X341" s="1355"/>
      <c r="AE341" s="1355"/>
      <c r="AF341" s="1355"/>
      <c r="AV341" s="1355"/>
      <c r="AW341" s="1355"/>
      <c r="AX341" s="1355"/>
      <c r="AY341" s="1355"/>
      <c r="AZ341" s="1355"/>
      <c r="BA341" s="1355"/>
      <c r="BC341" s="1355"/>
      <c r="BE341" s="1355"/>
      <c r="BF341" s="1355"/>
      <c r="BG341" s="1355"/>
    </row>
    <row r="342">
      <c r="R342" s="1355"/>
      <c r="S342" s="1355"/>
      <c r="W342" s="1355"/>
      <c r="X342" s="1355"/>
      <c r="AE342" s="1355"/>
      <c r="AF342" s="1355"/>
      <c r="AV342" s="1355"/>
      <c r="AW342" s="1355"/>
      <c r="AX342" s="1355"/>
      <c r="AY342" s="1355"/>
      <c r="AZ342" s="1355"/>
      <c r="BA342" s="1355"/>
      <c r="BC342" s="1355"/>
      <c r="BE342" s="1355"/>
      <c r="BF342" s="1355"/>
      <c r="BG342" s="1355"/>
    </row>
    <row r="343">
      <c r="R343" s="1355"/>
      <c r="S343" s="1355"/>
      <c r="W343" s="1355"/>
      <c r="X343" s="1355"/>
      <c r="AE343" s="1355"/>
      <c r="AF343" s="1355"/>
      <c r="AV343" s="1355"/>
      <c r="AW343" s="1355"/>
      <c r="AX343" s="1355"/>
      <c r="AY343" s="1355"/>
      <c r="AZ343" s="1355"/>
      <c r="BA343" s="1355"/>
      <c r="BC343" s="1355"/>
      <c r="BE343" s="1355"/>
      <c r="BF343" s="1355"/>
      <c r="BG343" s="1355"/>
    </row>
    <row r="344">
      <c r="R344" s="1355"/>
      <c r="S344" s="1355"/>
      <c r="W344" s="1355"/>
      <c r="X344" s="1355"/>
      <c r="AE344" s="1355"/>
      <c r="AF344" s="1355"/>
      <c r="AV344" s="1355"/>
      <c r="AW344" s="1355"/>
      <c r="AX344" s="1355"/>
      <c r="AY344" s="1355"/>
      <c r="AZ344" s="1355"/>
      <c r="BA344" s="1355"/>
      <c r="BC344" s="1355"/>
      <c r="BE344" s="1355"/>
      <c r="BF344" s="1355"/>
      <c r="BG344" s="1355"/>
    </row>
    <row r="345">
      <c r="R345" s="1355"/>
      <c r="S345" s="1355"/>
      <c r="W345" s="1355"/>
      <c r="X345" s="1355"/>
      <c r="AE345" s="1355"/>
      <c r="AF345" s="1355"/>
      <c r="AV345" s="1355"/>
      <c r="AW345" s="1355"/>
      <c r="AX345" s="1355"/>
      <c r="AY345" s="1355"/>
      <c r="AZ345" s="1355"/>
      <c r="BA345" s="1355"/>
      <c r="BC345" s="1355"/>
      <c r="BE345" s="1355"/>
      <c r="BF345" s="1355"/>
      <c r="BG345" s="1355"/>
    </row>
    <row r="346">
      <c r="R346" s="1355"/>
      <c r="S346" s="1355"/>
      <c r="W346" s="1355"/>
      <c r="X346" s="1355"/>
      <c r="AE346" s="1355"/>
      <c r="AF346" s="1355"/>
      <c r="AV346" s="1355"/>
      <c r="AW346" s="1355"/>
      <c r="AX346" s="1355"/>
      <c r="AY346" s="1355"/>
      <c r="AZ346" s="1355"/>
      <c r="BA346" s="1355"/>
      <c r="BC346" s="1355"/>
      <c r="BE346" s="1355"/>
      <c r="BF346" s="1355"/>
      <c r="BG346" s="1355"/>
    </row>
    <row r="347">
      <c r="R347" s="1355"/>
      <c r="S347" s="1355"/>
      <c r="W347" s="1355"/>
      <c r="X347" s="1355"/>
      <c r="AE347" s="1355"/>
      <c r="AF347" s="1355"/>
      <c r="AV347" s="1355"/>
      <c r="AW347" s="1355"/>
      <c r="AX347" s="1355"/>
      <c r="AY347" s="1355"/>
      <c r="AZ347" s="1355"/>
      <c r="BA347" s="1355"/>
      <c r="BC347" s="1355"/>
      <c r="BE347" s="1355"/>
      <c r="BF347" s="1355"/>
      <c r="BG347" s="1355"/>
    </row>
    <row r="348">
      <c r="R348" s="1355"/>
      <c r="S348" s="1355"/>
      <c r="W348" s="1355"/>
      <c r="X348" s="1355"/>
      <c r="AE348" s="1355"/>
      <c r="AF348" s="1355"/>
      <c r="AV348" s="1355"/>
      <c r="AW348" s="1355"/>
      <c r="AX348" s="1355"/>
      <c r="AY348" s="1355"/>
      <c r="AZ348" s="1355"/>
      <c r="BA348" s="1355"/>
      <c r="BC348" s="1355"/>
      <c r="BE348" s="1355"/>
      <c r="BF348" s="1355"/>
      <c r="BG348" s="1355"/>
    </row>
    <row r="349">
      <c r="R349" s="1355"/>
      <c r="S349" s="1355"/>
      <c r="W349" s="1355"/>
      <c r="X349" s="1355"/>
      <c r="AE349" s="1355"/>
      <c r="AF349" s="1355"/>
      <c r="AV349" s="1355"/>
      <c r="AW349" s="1355"/>
      <c r="AX349" s="1355"/>
      <c r="AY349" s="1355"/>
      <c r="AZ349" s="1355"/>
      <c r="BA349" s="1355"/>
      <c r="BC349" s="1355"/>
      <c r="BE349" s="1355"/>
      <c r="BF349" s="1355"/>
      <c r="BG349" s="1355"/>
    </row>
    <row r="350">
      <c r="R350" s="1355"/>
      <c r="S350" s="1355"/>
      <c r="W350" s="1355"/>
      <c r="X350" s="1355"/>
      <c r="AE350" s="1355"/>
      <c r="AF350" s="1355"/>
      <c r="AV350" s="1355"/>
      <c r="AW350" s="1355"/>
      <c r="AX350" s="1355"/>
      <c r="AY350" s="1355"/>
      <c r="AZ350" s="1355"/>
      <c r="BA350" s="1355"/>
      <c r="BC350" s="1355"/>
      <c r="BE350" s="1355"/>
      <c r="BF350" s="1355"/>
      <c r="BG350" s="1355"/>
    </row>
    <row r="351">
      <c r="R351" s="1355"/>
      <c r="S351" s="1355"/>
      <c r="W351" s="1355"/>
      <c r="X351" s="1355"/>
      <c r="AE351" s="1355"/>
      <c r="AF351" s="1355"/>
      <c r="AV351" s="1355"/>
      <c r="AW351" s="1355"/>
      <c r="AX351" s="1355"/>
      <c r="AY351" s="1355"/>
      <c r="AZ351" s="1355"/>
      <c r="BA351" s="1355"/>
      <c r="BC351" s="1355"/>
      <c r="BE351" s="1355"/>
      <c r="BF351" s="1355"/>
      <c r="BG351" s="1355"/>
    </row>
    <row r="352">
      <c r="R352" s="1355"/>
      <c r="S352" s="1355"/>
      <c r="W352" s="1355"/>
      <c r="X352" s="1355"/>
      <c r="AE352" s="1355"/>
      <c r="AF352" s="1355"/>
      <c r="AV352" s="1355"/>
      <c r="AW352" s="1355"/>
      <c r="AX352" s="1355"/>
      <c r="AY352" s="1355"/>
      <c r="AZ352" s="1355"/>
      <c r="BA352" s="1355"/>
      <c r="BC352" s="1355"/>
      <c r="BE352" s="1355"/>
      <c r="BF352" s="1355"/>
      <c r="BG352" s="1355"/>
    </row>
    <row r="353">
      <c r="R353" s="1355"/>
      <c r="S353" s="1355"/>
      <c r="W353" s="1355"/>
      <c r="X353" s="1355"/>
      <c r="AE353" s="1355"/>
      <c r="AF353" s="1355"/>
      <c r="AV353" s="1355"/>
      <c r="AW353" s="1355"/>
      <c r="AX353" s="1355"/>
      <c r="AY353" s="1355"/>
      <c r="AZ353" s="1355"/>
      <c r="BA353" s="1355"/>
      <c r="BC353" s="1355"/>
      <c r="BE353" s="1355"/>
      <c r="BF353" s="1355"/>
      <c r="BG353" s="1355"/>
    </row>
    <row r="354">
      <c r="R354" s="1355"/>
      <c r="S354" s="1355"/>
      <c r="W354" s="1355"/>
      <c r="X354" s="1355"/>
      <c r="AE354" s="1355"/>
      <c r="AF354" s="1355"/>
      <c r="AV354" s="1355"/>
      <c r="AW354" s="1355"/>
      <c r="AX354" s="1355"/>
      <c r="AY354" s="1355"/>
      <c r="AZ354" s="1355"/>
      <c r="BA354" s="1355"/>
      <c r="BC354" s="1355"/>
      <c r="BE354" s="1355"/>
      <c r="BF354" s="1355"/>
      <c r="BG354" s="1355"/>
    </row>
    <row r="355">
      <c r="R355" s="1355"/>
      <c r="S355" s="1355"/>
      <c r="W355" s="1355"/>
      <c r="X355" s="1355"/>
      <c r="AE355" s="1355"/>
      <c r="AF355" s="1355"/>
      <c r="AV355" s="1355"/>
      <c r="AW355" s="1355"/>
      <c r="AX355" s="1355"/>
      <c r="AY355" s="1355"/>
      <c r="AZ355" s="1355"/>
      <c r="BA355" s="1355"/>
      <c r="BC355" s="1355"/>
      <c r="BE355" s="1355"/>
      <c r="BF355" s="1355"/>
      <c r="BG355" s="1355"/>
    </row>
    <row r="356">
      <c r="R356" s="1355"/>
      <c r="S356" s="1355"/>
      <c r="W356" s="1355"/>
      <c r="X356" s="1355"/>
      <c r="AE356" s="1355"/>
      <c r="AF356" s="1355"/>
      <c r="AV356" s="1355"/>
      <c r="AW356" s="1355"/>
      <c r="AX356" s="1355"/>
      <c r="AY356" s="1355"/>
      <c r="AZ356" s="1355"/>
      <c r="BA356" s="1355"/>
      <c r="BC356" s="1355"/>
      <c r="BE356" s="1355"/>
      <c r="BF356" s="1355"/>
      <c r="BG356" s="1355"/>
    </row>
    <row r="357">
      <c r="R357" s="1355"/>
      <c r="S357" s="1355"/>
      <c r="W357" s="1355"/>
      <c r="X357" s="1355"/>
      <c r="AE357" s="1355"/>
      <c r="AF357" s="1355"/>
      <c r="AV357" s="1355"/>
      <c r="AW357" s="1355"/>
      <c r="AX357" s="1355"/>
      <c r="AY357" s="1355"/>
      <c r="AZ357" s="1355"/>
      <c r="BA357" s="1355"/>
      <c r="BC357" s="1355"/>
      <c r="BE357" s="1355"/>
      <c r="BF357" s="1355"/>
      <c r="BG357" s="1355"/>
    </row>
    <row r="358">
      <c r="R358" s="1355"/>
      <c r="S358" s="1355"/>
      <c r="W358" s="1355"/>
      <c r="X358" s="1355"/>
      <c r="AE358" s="1355"/>
      <c r="AF358" s="1355"/>
      <c r="AV358" s="1355"/>
      <c r="AW358" s="1355"/>
      <c r="AX358" s="1355"/>
      <c r="AY358" s="1355"/>
      <c r="AZ358" s="1355"/>
      <c r="BA358" s="1355"/>
      <c r="BC358" s="1355"/>
      <c r="BE358" s="1355"/>
      <c r="BF358" s="1355"/>
      <c r="BG358" s="1355"/>
    </row>
    <row r="359">
      <c r="R359" s="1355"/>
      <c r="S359" s="1355"/>
      <c r="W359" s="1355"/>
      <c r="X359" s="1355"/>
      <c r="AE359" s="1355"/>
      <c r="AF359" s="1355"/>
      <c r="AV359" s="1355"/>
      <c r="AW359" s="1355"/>
      <c r="AX359" s="1355"/>
      <c r="AY359" s="1355"/>
      <c r="AZ359" s="1355"/>
      <c r="BA359" s="1355"/>
      <c r="BC359" s="1355"/>
      <c r="BE359" s="1355"/>
      <c r="BF359" s="1355"/>
      <c r="BG359" s="1355"/>
    </row>
    <row r="360">
      <c r="R360" s="1355"/>
      <c r="S360" s="1355"/>
      <c r="W360" s="1355"/>
      <c r="X360" s="1355"/>
      <c r="AE360" s="1355"/>
      <c r="AF360" s="1355"/>
      <c r="AV360" s="1355"/>
      <c r="AW360" s="1355"/>
      <c r="AX360" s="1355"/>
      <c r="AY360" s="1355"/>
      <c r="AZ360" s="1355"/>
      <c r="BA360" s="1355"/>
      <c r="BC360" s="1355"/>
      <c r="BE360" s="1355"/>
      <c r="BF360" s="1355"/>
      <c r="BG360" s="1355"/>
    </row>
    <row r="361">
      <c r="R361" s="1355"/>
      <c r="S361" s="1355"/>
      <c r="W361" s="1355"/>
      <c r="X361" s="1355"/>
      <c r="AE361" s="1355"/>
      <c r="AF361" s="1355"/>
      <c r="AV361" s="1355"/>
      <c r="AW361" s="1355"/>
      <c r="AX361" s="1355"/>
      <c r="AY361" s="1355"/>
      <c r="AZ361" s="1355"/>
      <c r="BA361" s="1355"/>
      <c r="BC361" s="1355"/>
      <c r="BE361" s="1355"/>
      <c r="BF361" s="1355"/>
      <c r="BG361" s="1355"/>
    </row>
    <row r="362">
      <c r="R362" s="1355"/>
      <c r="S362" s="1355"/>
      <c r="W362" s="1355"/>
      <c r="X362" s="1355"/>
      <c r="AE362" s="1355"/>
      <c r="AF362" s="1355"/>
      <c r="AV362" s="1355"/>
      <c r="AW362" s="1355"/>
      <c r="AX362" s="1355"/>
      <c r="AY362" s="1355"/>
      <c r="AZ362" s="1355"/>
      <c r="BA362" s="1355"/>
      <c r="BC362" s="1355"/>
      <c r="BE362" s="1355"/>
      <c r="BF362" s="1355"/>
      <c r="BG362" s="1355"/>
    </row>
    <row r="363">
      <c r="R363" s="1355"/>
      <c r="S363" s="1355"/>
      <c r="W363" s="1355"/>
      <c r="X363" s="1355"/>
      <c r="AE363" s="1355"/>
      <c r="AF363" s="1355"/>
      <c r="AV363" s="1355"/>
      <c r="AW363" s="1355"/>
      <c r="AX363" s="1355"/>
      <c r="AY363" s="1355"/>
      <c r="AZ363" s="1355"/>
      <c r="BA363" s="1355"/>
      <c r="BC363" s="1355"/>
      <c r="BE363" s="1355"/>
      <c r="BF363" s="1355"/>
      <c r="BG363" s="1355"/>
    </row>
    <row r="364">
      <c r="R364" s="1355"/>
      <c r="S364" s="1355"/>
      <c r="W364" s="1355"/>
      <c r="X364" s="1355"/>
      <c r="AE364" s="1355"/>
      <c r="AF364" s="1355"/>
      <c r="AV364" s="1355"/>
      <c r="AW364" s="1355"/>
      <c r="AX364" s="1355"/>
      <c r="AY364" s="1355"/>
      <c r="AZ364" s="1355"/>
      <c r="BA364" s="1355"/>
      <c r="BC364" s="1355"/>
      <c r="BE364" s="1355"/>
      <c r="BF364" s="1355"/>
      <c r="BG364" s="1355"/>
    </row>
    <row r="365">
      <c r="R365" s="1355"/>
      <c r="S365" s="1355"/>
      <c r="W365" s="1355"/>
      <c r="X365" s="1355"/>
      <c r="AE365" s="1355"/>
      <c r="AF365" s="1355"/>
      <c r="AV365" s="1355"/>
      <c r="AW365" s="1355"/>
      <c r="AX365" s="1355"/>
      <c r="AY365" s="1355"/>
      <c r="AZ365" s="1355"/>
      <c r="BA365" s="1355"/>
      <c r="BC365" s="1355"/>
      <c r="BE365" s="1355"/>
      <c r="BF365" s="1355"/>
      <c r="BG365" s="1355"/>
    </row>
    <row r="366">
      <c r="R366" s="1355"/>
      <c r="S366" s="1355"/>
      <c r="W366" s="1355"/>
      <c r="X366" s="1355"/>
      <c r="AE366" s="1355"/>
      <c r="AF366" s="1355"/>
      <c r="AV366" s="1355"/>
      <c r="AW366" s="1355"/>
      <c r="AX366" s="1355"/>
      <c r="AY366" s="1355"/>
      <c r="AZ366" s="1355"/>
      <c r="BA366" s="1355"/>
      <c r="BC366" s="1355"/>
      <c r="BE366" s="1355"/>
      <c r="BF366" s="1355"/>
      <c r="BG366" s="1355"/>
    </row>
    <row r="367">
      <c r="R367" s="1355"/>
      <c r="S367" s="1355"/>
      <c r="W367" s="1355"/>
      <c r="X367" s="1355"/>
      <c r="AE367" s="1355"/>
      <c r="AF367" s="1355"/>
      <c r="AV367" s="1355"/>
      <c r="AW367" s="1355"/>
      <c r="AX367" s="1355"/>
      <c r="AY367" s="1355"/>
      <c r="AZ367" s="1355"/>
      <c r="BA367" s="1355"/>
      <c r="BC367" s="1355"/>
      <c r="BE367" s="1355"/>
      <c r="BF367" s="1355"/>
      <c r="BG367" s="1355"/>
    </row>
    <row r="368">
      <c r="R368" s="1355"/>
      <c r="S368" s="1355"/>
      <c r="W368" s="1355"/>
      <c r="X368" s="1355"/>
      <c r="AE368" s="1355"/>
      <c r="AF368" s="1355"/>
      <c r="AV368" s="1355"/>
      <c r="AW368" s="1355"/>
      <c r="AX368" s="1355"/>
      <c r="AY368" s="1355"/>
      <c r="AZ368" s="1355"/>
      <c r="BA368" s="1355"/>
      <c r="BC368" s="1355"/>
      <c r="BE368" s="1355"/>
      <c r="BF368" s="1355"/>
      <c r="BG368" s="1355"/>
    </row>
    <row r="369">
      <c r="R369" s="1355"/>
      <c r="S369" s="1355"/>
      <c r="W369" s="1355"/>
      <c r="X369" s="1355"/>
      <c r="AE369" s="1355"/>
      <c r="AF369" s="1355"/>
      <c r="AV369" s="1355"/>
      <c r="AW369" s="1355"/>
      <c r="AX369" s="1355"/>
      <c r="AY369" s="1355"/>
      <c r="AZ369" s="1355"/>
      <c r="BA369" s="1355"/>
      <c r="BC369" s="1355"/>
      <c r="BE369" s="1355"/>
      <c r="BF369" s="1355"/>
      <c r="BG369" s="1355"/>
    </row>
    <row r="370">
      <c r="R370" s="1355"/>
      <c r="S370" s="1355"/>
      <c r="W370" s="1355"/>
      <c r="X370" s="1355"/>
      <c r="AE370" s="1355"/>
      <c r="AF370" s="1355"/>
      <c r="AV370" s="1355"/>
      <c r="AW370" s="1355"/>
      <c r="AX370" s="1355"/>
      <c r="AY370" s="1355"/>
      <c r="AZ370" s="1355"/>
      <c r="BA370" s="1355"/>
      <c r="BC370" s="1355"/>
      <c r="BE370" s="1355"/>
      <c r="BF370" s="1355"/>
      <c r="BG370" s="1355"/>
    </row>
    <row r="371">
      <c r="R371" s="1355"/>
      <c r="S371" s="1355"/>
      <c r="W371" s="1355"/>
      <c r="X371" s="1355"/>
      <c r="AE371" s="1355"/>
      <c r="AF371" s="1355"/>
      <c r="AV371" s="1355"/>
      <c r="AW371" s="1355"/>
      <c r="AX371" s="1355"/>
      <c r="AY371" s="1355"/>
      <c r="AZ371" s="1355"/>
      <c r="BA371" s="1355"/>
      <c r="BC371" s="1355"/>
      <c r="BE371" s="1355"/>
      <c r="BF371" s="1355"/>
      <c r="BG371" s="1355"/>
    </row>
    <row r="372">
      <c r="R372" s="1355"/>
      <c r="S372" s="1355"/>
      <c r="W372" s="1355"/>
      <c r="X372" s="1355"/>
      <c r="AE372" s="1355"/>
      <c r="AF372" s="1355"/>
      <c r="AV372" s="1355"/>
      <c r="AW372" s="1355"/>
      <c r="AX372" s="1355"/>
      <c r="AY372" s="1355"/>
      <c r="AZ372" s="1355"/>
      <c r="BA372" s="1355"/>
      <c r="BC372" s="1355"/>
      <c r="BE372" s="1355"/>
      <c r="BF372" s="1355"/>
      <c r="BG372" s="1355"/>
    </row>
    <row r="373">
      <c r="R373" s="1355"/>
      <c r="S373" s="1355"/>
      <c r="W373" s="1355"/>
      <c r="X373" s="1355"/>
      <c r="AE373" s="1355"/>
      <c r="AF373" s="1355"/>
      <c r="AV373" s="1355"/>
      <c r="AW373" s="1355"/>
      <c r="AX373" s="1355"/>
      <c r="AY373" s="1355"/>
      <c r="AZ373" s="1355"/>
      <c r="BA373" s="1355"/>
      <c r="BC373" s="1355"/>
      <c r="BE373" s="1355"/>
      <c r="BF373" s="1355"/>
      <c r="BG373" s="1355"/>
    </row>
    <row r="374">
      <c r="R374" s="1355"/>
      <c r="S374" s="1355"/>
      <c r="W374" s="1355"/>
      <c r="X374" s="1355"/>
      <c r="AE374" s="1355"/>
      <c r="AF374" s="1355"/>
      <c r="AV374" s="1355"/>
      <c r="AW374" s="1355"/>
      <c r="AX374" s="1355"/>
      <c r="AY374" s="1355"/>
      <c r="AZ374" s="1355"/>
      <c r="BA374" s="1355"/>
      <c r="BC374" s="1355"/>
      <c r="BE374" s="1355"/>
      <c r="BF374" s="1355"/>
      <c r="BG374" s="1355"/>
    </row>
    <row r="375">
      <c r="R375" s="1355"/>
      <c r="S375" s="1355"/>
      <c r="W375" s="1355"/>
      <c r="X375" s="1355"/>
      <c r="AE375" s="1355"/>
      <c r="AF375" s="1355"/>
      <c r="AV375" s="1355"/>
      <c r="AW375" s="1355"/>
      <c r="AX375" s="1355"/>
      <c r="AY375" s="1355"/>
      <c r="AZ375" s="1355"/>
      <c r="BA375" s="1355"/>
      <c r="BC375" s="1355"/>
      <c r="BE375" s="1355"/>
      <c r="BF375" s="1355"/>
      <c r="BG375" s="1355"/>
    </row>
    <row r="376">
      <c r="R376" s="1355"/>
      <c r="S376" s="1355"/>
      <c r="W376" s="1355"/>
      <c r="X376" s="1355"/>
      <c r="AE376" s="1355"/>
      <c r="AF376" s="1355"/>
      <c r="AV376" s="1355"/>
      <c r="AW376" s="1355"/>
      <c r="AX376" s="1355"/>
      <c r="AY376" s="1355"/>
      <c r="AZ376" s="1355"/>
      <c r="BA376" s="1355"/>
      <c r="BC376" s="1355"/>
      <c r="BE376" s="1355"/>
      <c r="BF376" s="1355"/>
      <c r="BG376" s="1355"/>
    </row>
    <row r="377">
      <c r="R377" s="1355"/>
      <c r="S377" s="1355"/>
      <c r="W377" s="1355"/>
      <c r="X377" s="1355"/>
      <c r="AE377" s="1355"/>
      <c r="AF377" s="1355"/>
      <c r="AV377" s="1355"/>
      <c r="AW377" s="1355"/>
      <c r="AX377" s="1355"/>
      <c r="AY377" s="1355"/>
      <c r="AZ377" s="1355"/>
      <c r="BA377" s="1355"/>
      <c r="BC377" s="1355"/>
      <c r="BE377" s="1355"/>
      <c r="BF377" s="1355"/>
      <c r="BG377" s="1355"/>
    </row>
    <row r="378">
      <c r="R378" s="1355"/>
      <c r="S378" s="1355"/>
      <c r="W378" s="1355"/>
      <c r="X378" s="1355"/>
      <c r="AE378" s="1355"/>
      <c r="AF378" s="1355"/>
      <c r="AV378" s="1355"/>
      <c r="AW378" s="1355"/>
      <c r="AX378" s="1355"/>
      <c r="AY378" s="1355"/>
      <c r="AZ378" s="1355"/>
      <c r="BA378" s="1355"/>
      <c r="BC378" s="1355"/>
      <c r="BE378" s="1355"/>
      <c r="BF378" s="1355"/>
      <c r="BG378" s="1355"/>
    </row>
    <row r="379">
      <c r="R379" s="1355"/>
      <c r="S379" s="1355"/>
      <c r="W379" s="1355"/>
      <c r="X379" s="1355"/>
      <c r="AE379" s="1355"/>
      <c r="AF379" s="1355"/>
      <c r="AV379" s="1355"/>
      <c r="AW379" s="1355"/>
      <c r="AX379" s="1355"/>
      <c r="AY379" s="1355"/>
      <c r="AZ379" s="1355"/>
      <c r="BA379" s="1355"/>
      <c r="BC379" s="1355"/>
      <c r="BE379" s="1355"/>
      <c r="BF379" s="1355"/>
      <c r="BG379" s="1355"/>
    </row>
    <row r="380">
      <c r="R380" s="1355"/>
      <c r="S380" s="1355"/>
      <c r="W380" s="1355"/>
      <c r="X380" s="1355"/>
      <c r="AE380" s="1355"/>
      <c r="AF380" s="1355"/>
      <c r="AV380" s="1355"/>
      <c r="AW380" s="1355"/>
      <c r="AX380" s="1355"/>
      <c r="AY380" s="1355"/>
      <c r="AZ380" s="1355"/>
      <c r="BA380" s="1355"/>
      <c r="BC380" s="1355"/>
      <c r="BE380" s="1355"/>
      <c r="BF380" s="1355"/>
      <c r="BG380" s="1355"/>
    </row>
    <row r="381">
      <c r="R381" s="1355"/>
      <c r="S381" s="1355"/>
      <c r="W381" s="1355"/>
      <c r="X381" s="1355"/>
      <c r="AE381" s="1355"/>
      <c r="AF381" s="1355"/>
      <c r="AV381" s="1355"/>
      <c r="AW381" s="1355"/>
      <c r="AX381" s="1355"/>
      <c r="AY381" s="1355"/>
      <c r="AZ381" s="1355"/>
      <c r="BA381" s="1355"/>
      <c r="BC381" s="1355"/>
      <c r="BE381" s="1355"/>
      <c r="BF381" s="1355"/>
      <c r="BG381" s="1355"/>
    </row>
    <row r="382">
      <c r="R382" s="1355"/>
      <c r="S382" s="1355"/>
      <c r="W382" s="1355"/>
      <c r="X382" s="1355"/>
      <c r="AE382" s="1355"/>
      <c r="AF382" s="1355"/>
      <c r="AV382" s="1355"/>
      <c r="AW382" s="1355"/>
      <c r="AX382" s="1355"/>
      <c r="AY382" s="1355"/>
      <c r="AZ382" s="1355"/>
      <c r="BA382" s="1355"/>
      <c r="BC382" s="1355"/>
      <c r="BE382" s="1355"/>
      <c r="BF382" s="1355"/>
      <c r="BG382" s="1355"/>
    </row>
    <row r="383">
      <c r="R383" s="1355"/>
      <c r="S383" s="1355"/>
      <c r="W383" s="1355"/>
      <c r="X383" s="1355"/>
      <c r="AE383" s="1355"/>
      <c r="AF383" s="1355"/>
      <c r="AV383" s="1355"/>
      <c r="AW383" s="1355"/>
      <c r="AX383" s="1355"/>
      <c r="AY383" s="1355"/>
      <c r="AZ383" s="1355"/>
      <c r="BA383" s="1355"/>
      <c r="BC383" s="1355"/>
      <c r="BE383" s="1355"/>
      <c r="BF383" s="1355"/>
      <c r="BG383" s="1355"/>
    </row>
    <row r="384">
      <c r="R384" s="1355"/>
      <c r="S384" s="1355"/>
      <c r="W384" s="1355"/>
      <c r="X384" s="1355"/>
      <c r="AE384" s="1355"/>
      <c r="AF384" s="1355"/>
      <c r="AV384" s="1355"/>
      <c r="AW384" s="1355"/>
      <c r="AX384" s="1355"/>
      <c r="AY384" s="1355"/>
      <c r="AZ384" s="1355"/>
      <c r="BA384" s="1355"/>
      <c r="BC384" s="1355"/>
      <c r="BE384" s="1355"/>
      <c r="BF384" s="1355"/>
      <c r="BG384" s="1355"/>
    </row>
    <row r="385">
      <c r="R385" s="1355"/>
      <c r="S385" s="1355"/>
      <c r="W385" s="1355"/>
      <c r="X385" s="1355"/>
      <c r="AE385" s="1355"/>
      <c r="AF385" s="1355"/>
      <c r="AV385" s="1355"/>
      <c r="AW385" s="1355"/>
      <c r="AX385" s="1355"/>
      <c r="AY385" s="1355"/>
      <c r="AZ385" s="1355"/>
      <c r="BA385" s="1355"/>
      <c r="BC385" s="1355"/>
      <c r="BE385" s="1355"/>
      <c r="BF385" s="1355"/>
      <c r="BG385" s="1355"/>
    </row>
    <row r="386">
      <c r="R386" s="1355"/>
      <c r="S386" s="1355"/>
      <c r="W386" s="1355"/>
      <c r="X386" s="1355"/>
      <c r="AE386" s="1355"/>
      <c r="AF386" s="1355"/>
      <c r="AV386" s="1355"/>
      <c r="AW386" s="1355"/>
      <c r="AX386" s="1355"/>
      <c r="AY386" s="1355"/>
      <c r="AZ386" s="1355"/>
      <c r="BA386" s="1355"/>
      <c r="BC386" s="1355"/>
      <c r="BE386" s="1355"/>
      <c r="BF386" s="1355"/>
      <c r="BG386" s="1355"/>
    </row>
    <row r="387">
      <c r="R387" s="1355"/>
      <c r="S387" s="1355"/>
      <c r="W387" s="1355"/>
      <c r="X387" s="1355"/>
      <c r="AE387" s="1355"/>
      <c r="AF387" s="1355"/>
      <c r="AV387" s="1355"/>
      <c r="AW387" s="1355"/>
      <c r="AX387" s="1355"/>
      <c r="AY387" s="1355"/>
      <c r="AZ387" s="1355"/>
      <c r="BA387" s="1355"/>
      <c r="BC387" s="1355"/>
      <c r="BE387" s="1355"/>
      <c r="BF387" s="1355"/>
      <c r="BG387" s="1355"/>
    </row>
    <row r="388">
      <c r="R388" s="1355"/>
      <c r="S388" s="1355"/>
      <c r="W388" s="1355"/>
      <c r="X388" s="1355"/>
      <c r="AE388" s="1355"/>
      <c r="AF388" s="1355"/>
      <c r="AV388" s="1355"/>
      <c r="AW388" s="1355"/>
      <c r="AX388" s="1355"/>
      <c r="AY388" s="1355"/>
      <c r="AZ388" s="1355"/>
      <c r="BA388" s="1355"/>
      <c r="BC388" s="1355"/>
      <c r="BE388" s="1355"/>
      <c r="BF388" s="1355"/>
      <c r="BG388" s="1355"/>
    </row>
    <row r="389">
      <c r="R389" s="1355"/>
      <c r="S389" s="1355"/>
      <c r="W389" s="1355"/>
      <c r="X389" s="1355"/>
      <c r="AE389" s="1355"/>
      <c r="AF389" s="1355"/>
      <c r="AV389" s="1355"/>
      <c r="AW389" s="1355"/>
      <c r="AX389" s="1355"/>
      <c r="AY389" s="1355"/>
      <c r="AZ389" s="1355"/>
      <c r="BA389" s="1355"/>
      <c r="BC389" s="1355"/>
      <c r="BE389" s="1355"/>
      <c r="BF389" s="1355"/>
      <c r="BG389" s="1355"/>
    </row>
    <row r="390">
      <c r="R390" s="1355"/>
      <c r="S390" s="1355"/>
      <c r="W390" s="1355"/>
      <c r="X390" s="1355"/>
      <c r="AE390" s="1355"/>
      <c r="AF390" s="1355"/>
      <c r="AV390" s="1355"/>
      <c r="AW390" s="1355"/>
      <c r="AX390" s="1355"/>
      <c r="AY390" s="1355"/>
      <c r="AZ390" s="1355"/>
      <c r="BA390" s="1355"/>
      <c r="BC390" s="1355"/>
      <c r="BE390" s="1355"/>
      <c r="BF390" s="1355"/>
      <c r="BG390" s="1355"/>
    </row>
    <row r="391">
      <c r="R391" s="1355"/>
      <c r="S391" s="1355"/>
      <c r="W391" s="1355"/>
      <c r="X391" s="1355"/>
      <c r="AE391" s="1355"/>
      <c r="AF391" s="1355"/>
      <c r="AV391" s="1355"/>
      <c r="AW391" s="1355"/>
      <c r="AX391" s="1355"/>
      <c r="AY391" s="1355"/>
      <c r="AZ391" s="1355"/>
      <c r="BA391" s="1355"/>
      <c r="BC391" s="1355"/>
      <c r="BE391" s="1355"/>
      <c r="BF391" s="1355"/>
      <c r="BG391" s="1355"/>
    </row>
    <row r="392">
      <c r="R392" s="1355"/>
      <c r="S392" s="1355"/>
      <c r="W392" s="1355"/>
      <c r="X392" s="1355"/>
      <c r="AE392" s="1355"/>
      <c r="AF392" s="1355"/>
      <c r="AV392" s="1355"/>
      <c r="AW392" s="1355"/>
      <c r="AX392" s="1355"/>
      <c r="AY392" s="1355"/>
      <c r="AZ392" s="1355"/>
      <c r="BA392" s="1355"/>
      <c r="BC392" s="1355"/>
      <c r="BE392" s="1355"/>
      <c r="BF392" s="1355"/>
      <c r="BG392" s="1355"/>
    </row>
    <row r="393">
      <c r="R393" s="1355"/>
      <c r="S393" s="1355"/>
      <c r="W393" s="1355"/>
      <c r="X393" s="1355"/>
      <c r="AE393" s="1355"/>
      <c r="AF393" s="1355"/>
      <c r="AV393" s="1355"/>
      <c r="AW393" s="1355"/>
      <c r="AX393" s="1355"/>
      <c r="AY393" s="1355"/>
      <c r="AZ393" s="1355"/>
      <c r="BA393" s="1355"/>
      <c r="BC393" s="1355"/>
      <c r="BE393" s="1355"/>
      <c r="BF393" s="1355"/>
      <c r="BG393" s="1355"/>
    </row>
    <row r="394">
      <c r="R394" s="1355"/>
      <c r="S394" s="1355"/>
      <c r="W394" s="1355"/>
      <c r="X394" s="1355"/>
      <c r="AE394" s="1355"/>
      <c r="AF394" s="1355"/>
      <c r="AV394" s="1355"/>
      <c r="AW394" s="1355"/>
      <c r="AX394" s="1355"/>
      <c r="AY394" s="1355"/>
      <c r="AZ394" s="1355"/>
      <c r="BA394" s="1355"/>
      <c r="BC394" s="1355"/>
      <c r="BE394" s="1355"/>
      <c r="BF394" s="1355"/>
      <c r="BG394" s="1355"/>
    </row>
    <row r="395">
      <c r="R395" s="1355"/>
      <c r="S395" s="1355"/>
      <c r="W395" s="1355"/>
      <c r="X395" s="1355"/>
      <c r="AE395" s="1355"/>
      <c r="AF395" s="1355"/>
      <c r="AV395" s="1355"/>
      <c r="AW395" s="1355"/>
      <c r="AX395" s="1355"/>
      <c r="AY395" s="1355"/>
      <c r="AZ395" s="1355"/>
      <c r="BA395" s="1355"/>
      <c r="BC395" s="1355"/>
      <c r="BE395" s="1355"/>
      <c r="BF395" s="1355"/>
      <c r="BG395" s="1355"/>
    </row>
    <row r="396">
      <c r="R396" s="1355"/>
      <c r="S396" s="1355"/>
      <c r="W396" s="1355"/>
      <c r="X396" s="1355"/>
      <c r="AE396" s="1355"/>
      <c r="AF396" s="1355"/>
      <c r="AV396" s="1355"/>
      <c r="AW396" s="1355"/>
      <c r="AX396" s="1355"/>
      <c r="AY396" s="1355"/>
      <c r="AZ396" s="1355"/>
      <c r="BA396" s="1355"/>
      <c r="BC396" s="1355"/>
      <c r="BE396" s="1355"/>
      <c r="BF396" s="1355"/>
      <c r="BG396" s="1355"/>
    </row>
    <row r="397">
      <c r="R397" s="1355"/>
      <c r="S397" s="1355"/>
      <c r="W397" s="1355"/>
      <c r="X397" s="1355"/>
      <c r="AE397" s="1355"/>
      <c r="AF397" s="1355"/>
      <c r="AV397" s="1355"/>
      <c r="AW397" s="1355"/>
      <c r="AX397" s="1355"/>
      <c r="AY397" s="1355"/>
      <c r="AZ397" s="1355"/>
      <c r="BA397" s="1355"/>
      <c r="BC397" s="1355"/>
      <c r="BE397" s="1355"/>
      <c r="BF397" s="1355"/>
      <c r="BG397" s="1355"/>
    </row>
    <row r="398">
      <c r="R398" s="1355"/>
      <c r="S398" s="1355"/>
      <c r="W398" s="1355"/>
      <c r="X398" s="1355"/>
      <c r="AE398" s="1355"/>
      <c r="AF398" s="1355"/>
      <c r="AV398" s="1355"/>
      <c r="AW398" s="1355"/>
      <c r="AX398" s="1355"/>
      <c r="AY398" s="1355"/>
      <c r="AZ398" s="1355"/>
      <c r="BA398" s="1355"/>
      <c r="BC398" s="1355"/>
      <c r="BE398" s="1355"/>
      <c r="BF398" s="1355"/>
      <c r="BG398" s="1355"/>
    </row>
    <row r="399">
      <c r="R399" s="1355"/>
      <c r="S399" s="1355"/>
      <c r="W399" s="1355"/>
      <c r="X399" s="1355"/>
      <c r="AE399" s="1355"/>
      <c r="AF399" s="1355"/>
      <c r="AV399" s="1355"/>
      <c r="AW399" s="1355"/>
      <c r="AX399" s="1355"/>
      <c r="AY399" s="1355"/>
      <c r="AZ399" s="1355"/>
      <c r="BA399" s="1355"/>
      <c r="BC399" s="1355"/>
      <c r="BE399" s="1355"/>
      <c r="BF399" s="1355"/>
      <c r="BG399" s="1355"/>
    </row>
    <row r="400">
      <c r="R400" s="1355"/>
      <c r="S400" s="1355"/>
      <c r="W400" s="1355"/>
      <c r="X400" s="1355"/>
      <c r="AE400" s="1355"/>
      <c r="AF400" s="1355"/>
      <c r="AV400" s="1355"/>
      <c r="AW400" s="1355"/>
      <c r="AX400" s="1355"/>
      <c r="AY400" s="1355"/>
      <c r="AZ400" s="1355"/>
      <c r="BA400" s="1355"/>
      <c r="BC400" s="1355"/>
      <c r="BE400" s="1355"/>
      <c r="BF400" s="1355"/>
      <c r="BG400" s="1355"/>
    </row>
    <row r="401">
      <c r="R401" s="1355"/>
      <c r="S401" s="1355"/>
      <c r="W401" s="1355"/>
      <c r="X401" s="1355"/>
      <c r="AE401" s="1355"/>
      <c r="AF401" s="1355"/>
      <c r="AV401" s="1355"/>
      <c r="AW401" s="1355"/>
      <c r="AX401" s="1355"/>
      <c r="AY401" s="1355"/>
      <c r="AZ401" s="1355"/>
      <c r="BA401" s="1355"/>
      <c r="BC401" s="1355"/>
      <c r="BE401" s="1355"/>
      <c r="BF401" s="1355"/>
      <c r="BG401" s="1355"/>
    </row>
    <row r="402">
      <c r="R402" s="1355"/>
      <c r="S402" s="1355"/>
      <c r="W402" s="1355"/>
      <c r="X402" s="1355"/>
      <c r="AE402" s="1355"/>
      <c r="AF402" s="1355"/>
      <c r="AV402" s="1355"/>
      <c r="AW402" s="1355"/>
      <c r="AX402" s="1355"/>
      <c r="AY402" s="1355"/>
      <c r="AZ402" s="1355"/>
      <c r="BA402" s="1355"/>
      <c r="BC402" s="1355"/>
      <c r="BE402" s="1355"/>
      <c r="BF402" s="1355"/>
      <c r="BG402" s="1355"/>
    </row>
    <row r="403">
      <c r="R403" s="1355"/>
      <c r="S403" s="1355"/>
      <c r="W403" s="1355"/>
      <c r="X403" s="1355"/>
      <c r="AE403" s="1355"/>
      <c r="AF403" s="1355"/>
      <c r="AV403" s="1355"/>
      <c r="AW403" s="1355"/>
      <c r="AX403" s="1355"/>
      <c r="AY403" s="1355"/>
      <c r="AZ403" s="1355"/>
      <c r="BA403" s="1355"/>
      <c r="BC403" s="1355"/>
      <c r="BE403" s="1355"/>
      <c r="BF403" s="1355"/>
      <c r="BG403" s="1355"/>
    </row>
    <row r="404">
      <c r="R404" s="1355"/>
      <c r="S404" s="1355"/>
      <c r="W404" s="1355"/>
      <c r="X404" s="1355"/>
      <c r="AE404" s="1355"/>
      <c r="AF404" s="1355"/>
      <c r="AV404" s="1355"/>
      <c r="AW404" s="1355"/>
      <c r="AX404" s="1355"/>
      <c r="AY404" s="1355"/>
      <c r="AZ404" s="1355"/>
      <c r="BA404" s="1355"/>
      <c r="BC404" s="1355"/>
      <c r="BE404" s="1355"/>
      <c r="BF404" s="1355"/>
      <c r="BG404" s="1355"/>
    </row>
    <row r="405">
      <c r="R405" s="1355"/>
      <c r="S405" s="1355"/>
      <c r="W405" s="1355"/>
      <c r="X405" s="1355"/>
      <c r="AE405" s="1355"/>
      <c r="AF405" s="1355"/>
      <c r="AV405" s="1355"/>
      <c r="AW405" s="1355"/>
      <c r="AX405" s="1355"/>
      <c r="AY405" s="1355"/>
      <c r="AZ405" s="1355"/>
      <c r="BA405" s="1355"/>
      <c r="BC405" s="1355"/>
      <c r="BE405" s="1355"/>
      <c r="BF405" s="1355"/>
      <c r="BG405" s="1355"/>
    </row>
    <row r="406">
      <c r="R406" s="1355"/>
      <c r="S406" s="1355"/>
      <c r="W406" s="1355"/>
      <c r="X406" s="1355"/>
      <c r="AE406" s="1355"/>
      <c r="AF406" s="1355"/>
      <c r="AV406" s="1355"/>
      <c r="AW406" s="1355"/>
      <c r="AX406" s="1355"/>
      <c r="AY406" s="1355"/>
      <c r="AZ406" s="1355"/>
      <c r="BA406" s="1355"/>
      <c r="BC406" s="1355"/>
      <c r="BE406" s="1355"/>
      <c r="BF406" s="1355"/>
      <c r="BG406" s="1355"/>
    </row>
    <row r="407">
      <c r="R407" s="1355"/>
      <c r="S407" s="1355"/>
      <c r="W407" s="1355"/>
      <c r="X407" s="1355"/>
      <c r="AE407" s="1355"/>
      <c r="AF407" s="1355"/>
      <c r="AV407" s="1355"/>
      <c r="AW407" s="1355"/>
      <c r="AX407" s="1355"/>
      <c r="AY407" s="1355"/>
      <c r="AZ407" s="1355"/>
      <c r="BA407" s="1355"/>
      <c r="BC407" s="1355"/>
      <c r="BE407" s="1355"/>
      <c r="BF407" s="1355"/>
      <c r="BG407" s="1355"/>
    </row>
    <row r="408">
      <c r="R408" s="1355"/>
      <c r="S408" s="1355"/>
      <c r="W408" s="1355"/>
      <c r="X408" s="1355"/>
      <c r="AE408" s="1355"/>
      <c r="AF408" s="1355"/>
      <c r="AV408" s="1355"/>
      <c r="AW408" s="1355"/>
      <c r="AX408" s="1355"/>
      <c r="AY408" s="1355"/>
      <c r="AZ408" s="1355"/>
      <c r="BA408" s="1355"/>
      <c r="BC408" s="1355"/>
      <c r="BE408" s="1355"/>
      <c r="BF408" s="1355"/>
      <c r="BG408" s="1355"/>
    </row>
    <row r="409">
      <c r="R409" s="1355"/>
      <c r="S409" s="1355"/>
      <c r="W409" s="1355"/>
      <c r="X409" s="1355"/>
      <c r="AE409" s="1355"/>
      <c r="AF409" s="1355"/>
      <c r="AV409" s="1355"/>
      <c r="AW409" s="1355"/>
      <c r="AX409" s="1355"/>
      <c r="AY409" s="1355"/>
      <c r="AZ409" s="1355"/>
      <c r="BA409" s="1355"/>
      <c r="BC409" s="1355"/>
      <c r="BE409" s="1355"/>
      <c r="BF409" s="1355"/>
      <c r="BG409" s="1355"/>
    </row>
    <row r="410">
      <c r="R410" s="1355"/>
      <c r="S410" s="1355"/>
      <c r="W410" s="1355"/>
      <c r="X410" s="1355"/>
      <c r="AE410" s="1355"/>
      <c r="AF410" s="1355"/>
      <c r="AV410" s="1355"/>
      <c r="AW410" s="1355"/>
      <c r="AX410" s="1355"/>
      <c r="AY410" s="1355"/>
      <c r="AZ410" s="1355"/>
      <c r="BA410" s="1355"/>
      <c r="BC410" s="1355"/>
      <c r="BE410" s="1355"/>
      <c r="BF410" s="1355"/>
      <c r="BG410" s="1355"/>
    </row>
    <row r="411">
      <c r="R411" s="1355"/>
      <c r="S411" s="1355"/>
      <c r="W411" s="1355"/>
      <c r="X411" s="1355"/>
      <c r="AE411" s="1355"/>
      <c r="AF411" s="1355"/>
      <c r="AV411" s="1355"/>
      <c r="AW411" s="1355"/>
      <c r="AX411" s="1355"/>
      <c r="AY411" s="1355"/>
      <c r="AZ411" s="1355"/>
      <c r="BA411" s="1355"/>
      <c r="BC411" s="1355"/>
      <c r="BE411" s="1355"/>
      <c r="BF411" s="1355"/>
      <c r="BG411" s="1355"/>
    </row>
    <row r="412">
      <c r="R412" s="1355"/>
      <c r="S412" s="1355"/>
      <c r="W412" s="1355"/>
      <c r="X412" s="1355"/>
      <c r="AE412" s="1355"/>
      <c r="AF412" s="1355"/>
      <c r="AV412" s="1355"/>
      <c r="AW412" s="1355"/>
      <c r="AX412" s="1355"/>
      <c r="AY412" s="1355"/>
      <c r="AZ412" s="1355"/>
      <c r="BA412" s="1355"/>
      <c r="BC412" s="1355"/>
      <c r="BE412" s="1355"/>
      <c r="BF412" s="1355"/>
      <c r="BG412" s="1355"/>
    </row>
    <row r="413">
      <c r="R413" s="1355"/>
      <c r="S413" s="1355"/>
      <c r="W413" s="1355"/>
      <c r="X413" s="1355"/>
      <c r="AE413" s="1355"/>
      <c r="AF413" s="1355"/>
      <c r="AV413" s="1355"/>
      <c r="AW413" s="1355"/>
      <c r="AX413" s="1355"/>
      <c r="AY413" s="1355"/>
      <c r="AZ413" s="1355"/>
      <c r="BA413" s="1355"/>
      <c r="BC413" s="1355"/>
      <c r="BE413" s="1355"/>
      <c r="BF413" s="1355"/>
      <c r="BG413" s="1355"/>
    </row>
    <row r="414">
      <c r="R414" s="1355"/>
      <c r="S414" s="1355"/>
      <c r="W414" s="1355"/>
      <c r="X414" s="1355"/>
      <c r="AE414" s="1355"/>
      <c r="AF414" s="1355"/>
      <c r="AV414" s="1355"/>
      <c r="AW414" s="1355"/>
      <c r="AX414" s="1355"/>
      <c r="AY414" s="1355"/>
      <c r="AZ414" s="1355"/>
      <c r="BA414" s="1355"/>
      <c r="BC414" s="1355"/>
      <c r="BE414" s="1355"/>
      <c r="BF414" s="1355"/>
      <c r="BG414" s="1355"/>
    </row>
    <row r="415">
      <c r="R415" s="1355"/>
      <c r="S415" s="1355"/>
      <c r="W415" s="1355"/>
      <c r="X415" s="1355"/>
      <c r="AE415" s="1355"/>
      <c r="AF415" s="1355"/>
      <c r="AV415" s="1355"/>
      <c r="AW415" s="1355"/>
      <c r="AX415" s="1355"/>
      <c r="AY415" s="1355"/>
      <c r="AZ415" s="1355"/>
      <c r="BA415" s="1355"/>
      <c r="BC415" s="1355"/>
      <c r="BE415" s="1355"/>
      <c r="BF415" s="1355"/>
      <c r="BG415" s="1355"/>
    </row>
    <row r="416">
      <c r="R416" s="1355"/>
      <c r="S416" s="1355"/>
      <c r="W416" s="1355"/>
      <c r="X416" s="1355"/>
      <c r="AE416" s="1355"/>
      <c r="AF416" s="1355"/>
      <c r="AV416" s="1355"/>
      <c r="AW416" s="1355"/>
      <c r="AX416" s="1355"/>
      <c r="AY416" s="1355"/>
      <c r="AZ416" s="1355"/>
      <c r="BA416" s="1355"/>
      <c r="BC416" s="1355"/>
      <c r="BE416" s="1355"/>
      <c r="BF416" s="1355"/>
      <c r="BG416" s="1355"/>
    </row>
    <row r="417">
      <c r="R417" s="1355"/>
      <c r="S417" s="1355"/>
      <c r="W417" s="1355"/>
      <c r="X417" s="1355"/>
      <c r="AE417" s="1355"/>
      <c r="AF417" s="1355"/>
      <c r="AV417" s="1355"/>
      <c r="AW417" s="1355"/>
      <c r="AX417" s="1355"/>
      <c r="AY417" s="1355"/>
      <c r="AZ417" s="1355"/>
      <c r="BA417" s="1355"/>
      <c r="BC417" s="1355"/>
      <c r="BE417" s="1355"/>
      <c r="BF417" s="1355"/>
      <c r="BG417" s="1355"/>
    </row>
    <row r="418">
      <c r="R418" s="1355"/>
      <c r="S418" s="1355"/>
      <c r="W418" s="1355"/>
      <c r="X418" s="1355"/>
      <c r="AE418" s="1355"/>
      <c r="AF418" s="1355"/>
      <c r="AV418" s="1355"/>
      <c r="AW418" s="1355"/>
      <c r="AX418" s="1355"/>
      <c r="AY418" s="1355"/>
      <c r="AZ418" s="1355"/>
      <c r="BA418" s="1355"/>
      <c r="BC418" s="1355"/>
      <c r="BE418" s="1355"/>
      <c r="BF418" s="1355"/>
      <c r="BG418" s="1355"/>
    </row>
    <row r="419">
      <c r="R419" s="1355"/>
      <c r="S419" s="1355"/>
      <c r="W419" s="1355"/>
      <c r="X419" s="1355"/>
      <c r="AE419" s="1355"/>
      <c r="AF419" s="1355"/>
      <c r="AV419" s="1355"/>
      <c r="AW419" s="1355"/>
      <c r="AX419" s="1355"/>
      <c r="AY419" s="1355"/>
      <c r="AZ419" s="1355"/>
      <c r="BA419" s="1355"/>
      <c r="BC419" s="1355"/>
      <c r="BE419" s="1355"/>
      <c r="BF419" s="1355"/>
      <c r="BG419" s="1355"/>
    </row>
    <row r="420">
      <c r="R420" s="1355"/>
      <c r="S420" s="1355"/>
      <c r="W420" s="1355"/>
      <c r="X420" s="1355"/>
      <c r="AE420" s="1355"/>
      <c r="AF420" s="1355"/>
      <c r="AV420" s="1355"/>
      <c r="AW420" s="1355"/>
      <c r="AX420" s="1355"/>
      <c r="AY420" s="1355"/>
      <c r="AZ420" s="1355"/>
      <c r="BA420" s="1355"/>
      <c r="BC420" s="1355"/>
      <c r="BE420" s="1355"/>
      <c r="BF420" s="1355"/>
      <c r="BG420" s="1355"/>
    </row>
    <row r="421">
      <c r="R421" s="1355"/>
      <c r="S421" s="1355"/>
      <c r="W421" s="1355"/>
      <c r="X421" s="1355"/>
      <c r="AE421" s="1355"/>
      <c r="AF421" s="1355"/>
      <c r="AV421" s="1355"/>
      <c r="AW421" s="1355"/>
      <c r="AX421" s="1355"/>
      <c r="AY421" s="1355"/>
      <c r="AZ421" s="1355"/>
      <c r="BA421" s="1355"/>
      <c r="BC421" s="1355"/>
      <c r="BE421" s="1355"/>
      <c r="BF421" s="1355"/>
      <c r="BG421" s="1355"/>
    </row>
    <row r="422">
      <c r="R422" s="1355"/>
      <c r="S422" s="1355"/>
      <c r="W422" s="1355"/>
      <c r="X422" s="1355"/>
      <c r="AE422" s="1355"/>
      <c r="AF422" s="1355"/>
      <c r="AV422" s="1355"/>
      <c r="AW422" s="1355"/>
      <c r="AX422" s="1355"/>
      <c r="AY422" s="1355"/>
      <c r="AZ422" s="1355"/>
      <c r="BA422" s="1355"/>
      <c r="BC422" s="1355"/>
      <c r="BE422" s="1355"/>
      <c r="BF422" s="1355"/>
      <c r="BG422" s="1355"/>
    </row>
    <row r="423">
      <c r="R423" s="1355"/>
      <c r="S423" s="1355"/>
      <c r="W423" s="1355"/>
      <c r="X423" s="1355"/>
      <c r="AE423" s="1355"/>
      <c r="AF423" s="1355"/>
      <c r="AV423" s="1355"/>
      <c r="AW423" s="1355"/>
      <c r="AX423" s="1355"/>
      <c r="AY423" s="1355"/>
      <c r="AZ423" s="1355"/>
      <c r="BA423" s="1355"/>
      <c r="BC423" s="1355"/>
      <c r="BE423" s="1355"/>
      <c r="BF423" s="1355"/>
      <c r="BG423" s="1355"/>
    </row>
    <row r="424">
      <c r="R424" s="1355"/>
      <c r="S424" s="1355"/>
      <c r="W424" s="1355"/>
      <c r="X424" s="1355"/>
      <c r="AE424" s="1355"/>
      <c r="AF424" s="1355"/>
      <c r="AV424" s="1355"/>
      <c r="AW424" s="1355"/>
      <c r="AX424" s="1355"/>
      <c r="AY424" s="1355"/>
      <c r="AZ424" s="1355"/>
      <c r="BA424" s="1355"/>
      <c r="BC424" s="1355"/>
      <c r="BE424" s="1355"/>
      <c r="BF424" s="1355"/>
      <c r="BG424" s="1355"/>
    </row>
    <row r="425">
      <c r="R425" s="1355"/>
      <c r="S425" s="1355"/>
      <c r="W425" s="1355"/>
      <c r="X425" s="1355"/>
      <c r="AE425" s="1355"/>
      <c r="AF425" s="1355"/>
      <c r="AV425" s="1355"/>
      <c r="AW425" s="1355"/>
      <c r="AX425" s="1355"/>
      <c r="AY425" s="1355"/>
      <c r="AZ425" s="1355"/>
      <c r="BA425" s="1355"/>
      <c r="BC425" s="1355"/>
      <c r="BE425" s="1355"/>
      <c r="BF425" s="1355"/>
      <c r="BG425" s="1355"/>
    </row>
    <row r="426">
      <c r="R426" s="1355"/>
      <c r="S426" s="1355"/>
      <c r="W426" s="1355"/>
      <c r="X426" s="1355"/>
      <c r="AE426" s="1355"/>
      <c r="AF426" s="1355"/>
      <c r="AV426" s="1355"/>
      <c r="AW426" s="1355"/>
      <c r="AX426" s="1355"/>
      <c r="AY426" s="1355"/>
      <c r="AZ426" s="1355"/>
      <c r="BA426" s="1355"/>
      <c r="BC426" s="1355"/>
      <c r="BE426" s="1355"/>
      <c r="BF426" s="1355"/>
      <c r="BG426" s="1355"/>
    </row>
    <row r="427">
      <c r="R427" s="1355"/>
      <c r="S427" s="1355"/>
      <c r="W427" s="1355"/>
      <c r="X427" s="1355"/>
      <c r="AE427" s="1355"/>
      <c r="AF427" s="1355"/>
      <c r="AV427" s="1355"/>
      <c r="AW427" s="1355"/>
      <c r="AX427" s="1355"/>
      <c r="AY427" s="1355"/>
      <c r="AZ427" s="1355"/>
      <c r="BA427" s="1355"/>
      <c r="BC427" s="1355"/>
      <c r="BE427" s="1355"/>
      <c r="BF427" s="1355"/>
      <c r="BG427" s="1355"/>
    </row>
    <row r="428">
      <c r="R428" s="1355"/>
      <c r="S428" s="1355"/>
      <c r="W428" s="1355"/>
      <c r="X428" s="1355"/>
      <c r="AE428" s="1355"/>
      <c r="AF428" s="1355"/>
      <c r="AV428" s="1355"/>
      <c r="AW428" s="1355"/>
      <c r="AX428" s="1355"/>
      <c r="AY428" s="1355"/>
      <c r="AZ428" s="1355"/>
      <c r="BA428" s="1355"/>
      <c r="BC428" s="1355"/>
      <c r="BE428" s="1355"/>
      <c r="BF428" s="1355"/>
      <c r="BG428" s="1355"/>
    </row>
    <row r="429">
      <c r="R429" s="1355"/>
      <c r="S429" s="1355"/>
      <c r="W429" s="1355"/>
      <c r="X429" s="1355"/>
      <c r="AE429" s="1355"/>
      <c r="AF429" s="1355"/>
      <c r="AV429" s="1355"/>
      <c r="AW429" s="1355"/>
      <c r="AX429" s="1355"/>
      <c r="AY429" s="1355"/>
      <c r="AZ429" s="1355"/>
      <c r="BA429" s="1355"/>
      <c r="BC429" s="1355"/>
      <c r="BE429" s="1355"/>
      <c r="BF429" s="1355"/>
      <c r="BG429" s="1355"/>
    </row>
    <row r="430">
      <c r="R430" s="1355"/>
      <c r="S430" s="1355"/>
      <c r="W430" s="1355"/>
      <c r="X430" s="1355"/>
      <c r="AE430" s="1355"/>
      <c r="AF430" s="1355"/>
      <c r="AV430" s="1355"/>
      <c r="AW430" s="1355"/>
      <c r="AX430" s="1355"/>
      <c r="AY430" s="1355"/>
      <c r="AZ430" s="1355"/>
      <c r="BA430" s="1355"/>
      <c r="BC430" s="1355"/>
      <c r="BE430" s="1355"/>
      <c r="BF430" s="1355"/>
      <c r="BG430" s="1355"/>
    </row>
    <row r="431">
      <c r="R431" s="1355"/>
      <c r="S431" s="1355"/>
      <c r="W431" s="1355"/>
      <c r="X431" s="1355"/>
      <c r="AE431" s="1355"/>
      <c r="AF431" s="1355"/>
      <c r="AV431" s="1355"/>
      <c r="AW431" s="1355"/>
      <c r="AX431" s="1355"/>
      <c r="AY431" s="1355"/>
      <c r="AZ431" s="1355"/>
      <c r="BA431" s="1355"/>
      <c r="BC431" s="1355"/>
      <c r="BE431" s="1355"/>
      <c r="BF431" s="1355"/>
      <c r="BG431" s="1355"/>
    </row>
    <row r="432">
      <c r="R432" s="1355"/>
      <c r="S432" s="1355"/>
      <c r="W432" s="1355"/>
      <c r="X432" s="1355"/>
      <c r="AE432" s="1355"/>
      <c r="AF432" s="1355"/>
      <c r="AV432" s="1355"/>
      <c r="AW432" s="1355"/>
      <c r="AX432" s="1355"/>
      <c r="AY432" s="1355"/>
      <c r="AZ432" s="1355"/>
      <c r="BA432" s="1355"/>
      <c r="BC432" s="1355"/>
      <c r="BE432" s="1355"/>
      <c r="BF432" s="1355"/>
      <c r="BG432" s="1355"/>
    </row>
    <row r="433">
      <c r="R433" s="1355"/>
      <c r="S433" s="1355"/>
      <c r="W433" s="1355"/>
      <c r="X433" s="1355"/>
      <c r="AE433" s="1355"/>
      <c r="AF433" s="1355"/>
      <c r="AV433" s="1355"/>
      <c r="AW433" s="1355"/>
      <c r="AX433" s="1355"/>
      <c r="AY433" s="1355"/>
      <c r="AZ433" s="1355"/>
      <c r="BA433" s="1355"/>
      <c r="BC433" s="1355"/>
      <c r="BE433" s="1355"/>
      <c r="BF433" s="1355"/>
      <c r="BG433" s="1355"/>
    </row>
    <row r="434">
      <c r="R434" s="1355"/>
      <c r="S434" s="1355"/>
      <c r="W434" s="1355"/>
      <c r="X434" s="1355"/>
      <c r="AE434" s="1355"/>
      <c r="AF434" s="1355"/>
      <c r="AV434" s="1355"/>
      <c r="AW434" s="1355"/>
      <c r="AX434" s="1355"/>
      <c r="AY434" s="1355"/>
      <c r="AZ434" s="1355"/>
      <c r="BA434" s="1355"/>
      <c r="BC434" s="1355"/>
      <c r="BE434" s="1355"/>
      <c r="BF434" s="1355"/>
      <c r="BG434" s="1355"/>
    </row>
    <row r="435">
      <c r="R435" s="1355"/>
      <c r="S435" s="1355"/>
      <c r="W435" s="1355"/>
      <c r="X435" s="1355"/>
      <c r="AE435" s="1355"/>
      <c r="AF435" s="1355"/>
      <c r="AV435" s="1355"/>
      <c r="AW435" s="1355"/>
      <c r="AX435" s="1355"/>
      <c r="AY435" s="1355"/>
      <c r="AZ435" s="1355"/>
      <c r="BA435" s="1355"/>
      <c r="BC435" s="1355"/>
      <c r="BE435" s="1355"/>
      <c r="BF435" s="1355"/>
      <c r="BG435" s="1355"/>
    </row>
    <row r="436">
      <c r="R436" s="1355"/>
      <c r="S436" s="1355"/>
      <c r="W436" s="1355"/>
      <c r="X436" s="1355"/>
      <c r="AE436" s="1355"/>
      <c r="AF436" s="1355"/>
      <c r="AV436" s="1355"/>
      <c r="AW436" s="1355"/>
      <c r="AX436" s="1355"/>
      <c r="AY436" s="1355"/>
      <c r="AZ436" s="1355"/>
      <c r="BA436" s="1355"/>
      <c r="BC436" s="1355"/>
      <c r="BE436" s="1355"/>
      <c r="BF436" s="1355"/>
      <c r="BG436" s="1355"/>
    </row>
    <row r="437">
      <c r="R437" s="1355"/>
      <c r="S437" s="1355"/>
      <c r="W437" s="1355"/>
      <c r="X437" s="1355"/>
      <c r="AE437" s="1355"/>
      <c r="AF437" s="1355"/>
      <c r="AV437" s="1355"/>
      <c r="AW437" s="1355"/>
      <c r="AX437" s="1355"/>
      <c r="AY437" s="1355"/>
      <c r="AZ437" s="1355"/>
      <c r="BA437" s="1355"/>
      <c r="BC437" s="1355"/>
      <c r="BE437" s="1355"/>
      <c r="BF437" s="1355"/>
      <c r="BG437" s="1355"/>
    </row>
    <row r="438">
      <c r="R438" s="1355"/>
      <c r="S438" s="1355"/>
      <c r="W438" s="1355"/>
      <c r="X438" s="1355"/>
      <c r="AE438" s="1355"/>
      <c r="AF438" s="1355"/>
      <c r="AV438" s="1355"/>
      <c r="AW438" s="1355"/>
      <c r="AX438" s="1355"/>
      <c r="AY438" s="1355"/>
      <c r="AZ438" s="1355"/>
      <c r="BA438" s="1355"/>
      <c r="BC438" s="1355"/>
      <c r="BE438" s="1355"/>
      <c r="BF438" s="1355"/>
      <c r="BG438" s="1355"/>
    </row>
    <row r="439">
      <c r="R439" s="1355"/>
      <c r="S439" s="1355"/>
      <c r="W439" s="1355"/>
      <c r="X439" s="1355"/>
      <c r="AE439" s="1355"/>
      <c r="AF439" s="1355"/>
      <c r="AV439" s="1355"/>
      <c r="AW439" s="1355"/>
      <c r="AX439" s="1355"/>
      <c r="AY439" s="1355"/>
      <c r="AZ439" s="1355"/>
      <c r="BA439" s="1355"/>
      <c r="BC439" s="1355"/>
      <c r="BE439" s="1355"/>
      <c r="BF439" s="1355"/>
      <c r="BG439" s="1355"/>
    </row>
    <row r="440">
      <c r="R440" s="1355"/>
      <c r="S440" s="1355"/>
      <c r="W440" s="1355"/>
      <c r="X440" s="1355"/>
      <c r="AE440" s="1355"/>
      <c r="AF440" s="1355"/>
      <c r="AV440" s="1355"/>
      <c r="AW440" s="1355"/>
      <c r="AX440" s="1355"/>
      <c r="AY440" s="1355"/>
      <c r="AZ440" s="1355"/>
      <c r="BA440" s="1355"/>
      <c r="BC440" s="1355"/>
      <c r="BE440" s="1355"/>
      <c r="BF440" s="1355"/>
      <c r="BG440" s="1355"/>
    </row>
    <row r="441">
      <c r="R441" s="1355"/>
      <c r="S441" s="1355"/>
      <c r="W441" s="1355"/>
      <c r="X441" s="1355"/>
      <c r="AE441" s="1355"/>
      <c r="AF441" s="1355"/>
      <c r="AV441" s="1355"/>
      <c r="AW441" s="1355"/>
      <c r="AX441" s="1355"/>
      <c r="AY441" s="1355"/>
      <c r="AZ441" s="1355"/>
      <c r="BA441" s="1355"/>
      <c r="BC441" s="1355"/>
      <c r="BE441" s="1355"/>
      <c r="BF441" s="1355"/>
      <c r="BG441" s="1355"/>
    </row>
    <row r="442">
      <c r="R442" s="1355"/>
      <c r="S442" s="1355"/>
      <c r="W442" s="1355"/>
      <c r="X442" s="1355"/>
      <c r="AE442" s="1355"/>
      <c r="AF442" s="1355"/>
      <c r="AV442" s="1355"/>
      <c r="AW442" s="1355"/>
      <c r="AX442" s="1355"/>
      <c r="AY442" s="1355"/>
      <c r="AZ442" s="1355"/>
      <c r="BA442" s="1355"/>
      <c r="BC442" s="1355"/>
      <c r="BE442" s="1355"/>
      <c r="BF442" s="1355"/>
      <c r="BG442" s="1355"/>
    </row>
    <row r="443">
      <c r="R443" s="1355"/>
      <c r="S443" s="1355"/>
      <c r="W443" s="1355"/>
      <c r="X443" s="1355"/>
      <c r="AE443" s="1355"/>
      <c r="AF443" s="1355"/>
      <c r="AV443" s="1355"/>
      <c r="AW443" s="1355"/>
      <c r="AX443" s="1355"/>
      <c r="AY443" s="1355"/>
      <c r="AZ443" s="1355"/>
      <c r="BA443" s="1355"/>
      <c r="BC443" s="1355"/>
      <c r="BE443" s="1355"/>
      <c r="BF443" s="1355"/>
      <c r="BG443" s="1355"/>
    </row>
    <row r="444">
      <c r="R444" s="1355"/>
      <c r="S444" s="1355"/>
      <c r="W444" s="1355"/>
      <c r="X444" s="1355"/>
      <c r="AE444" s="1355"/>
      <c r="AF444" s="1355"/>
      <c r="AV444" s="1355"/>
      <c r="AW444" s="1355"/>
      <c r="AX444" s="1355"/>
      <c r="AY444" s="1355"/>
      <c r="AZ444" s="1355"/>
      <c r="BA444" s="1355"/>
      <c r="BC444" s="1355"/>
      <c r="BE444" s="1355"/>
      <c r="BF444" s="1355"/>
      <c r="BG444" s="1355"/>
    </row>
    <row r="445">
      <c r="R445" s="1355"/>
      <c r="S445" s="1355"/>
      <c r="W445" s="1355"/>
      <c r="X445" s="1355"/>
      <c r="AE445" s="1355"/>
      <c r="AF445" s="1355"/>
      <c r="AV445" s="1355"/>
      <c r="AW445" s="1355"/>
      <c r="AX445" s="1355"/>
      <c r="AY445" s="1355"/>
      <c r="AZ445" s="1355"/>
      <c r="BA445" s="1355"/>
      <c r="BC445" s="1355"/>
      <c r="BE445" s="1355"/>
      <c r="BF445" s="1355"/>
      <c r="BG445" s="1355"/>
    </row>
    <row r="446">
      <c r="R446" s="1355"/>
      <c r="S446" s="1355"/>
      <c r="W446" s="1355"/>
      <c r="X446" s="1355"/>
      <c r="AE446" s="1355"/>
      <c r="AF446" s="1355"/>
      <c r="AV446" s="1355"/>
      <c r="AW446" s="1355"/>
      <c r="AX446" s="1355"/>
      <c r="AY446" s="1355"/>
      <c r="AZ446" s="1355"/>
      <c r="BA446" s="1355"/>
      <c r="BC446" s="1355"/>
      <c r="BE446" s="1355"/>
      <c r="BF446" s="1355"/>
      <c r="BG446" s="1355"/>
    </row>
    <row r="447">
      <c r="R447" s="1355"/>
      <c r="S447" s="1355"/>
      <c r="W447" s="1355"/>
      <c r="X447" s="1355"/>
      <c r="AE447" s="1355"/>
      <c r="AF447" s="1355"/>
      <c r="AV447" s="1355"/>
      <c r="AW447" s="1355"/>
      <c r="AX447" s="1355"/>
      <c r="AY447" s="1355"/>
      <c r="AZ447" s="1355"/>
      <c r="BA447" s="1355"/>
      <c r="BC447" s="1355"/>
      <c r="BE447" s="1355"/>
      <c r="BF447" s="1355"/>
      <c r="BG447" s="1355"/>
    </row>
    <row r="448">
      <c r="R448" s="1355"/>
      <c r="S448" s="1355"/>
      <c r="W448" s="1355"/>
      <c r="X448" s="1355"/>
      <c r="AE448" s="1355"/>
      <c r="AF448" s="1355"/>
      <c r="AV448" s="1355"/>
      <c r="AW448" s="1355"/>
      <c r="AX448" s="1355"/>
      <c r="AY448" s="1355"/>
      <c r="AZ448" s="1355"/>
      <c r="BA448" s="1355"/>
      <c r="BC448" s="1355"/>
      <c r="BE448" s="1355"/>
      <c r="BF448" s="1355"/>
      <c r="BG448" s="1355"/>
    </row>
    <row r="449">
      <c r="R449" s="1355"/>
      <c r="S449" s="1355"/>
      <c r="W449" s="1355"/>
      <c r="X449" s="1355"/>
      <c r="AE449" s="1355"/>
      <c r="AF449" s="1355"/>
      <c r="AV449" s="1355"/>
      <c r="AW449" s="1355"/>
      <c r="AX449" s="1355"/>
      <c r="AY449" s="1355"/>
      <c r="AZ449" s="1355"/>
      <c r="BA449" s="1355"/>
      <c r="BC449" s="1355"/>
      <c r="BE449" s="1355"/>
      <c r="BF449" s="1355"/>
      <c r="BG449" s="1355"/>
    </row>
    <row r="450">
      <c r="R450" s="1355"/>
      <c r="S450" s="1355"/>
      <c r="W450" s="1355"/>
      <c r="X450" s="1355"/>
      <c r="AE450" s="1355"/>
      <c r="AF450" s="1355"/>
      <c r="AV450" s="1355"/>
      <c r="AW450" s="1355"/>
      <c r="AX450" s="1355"/>
      <c r="AY450" s="1355"/>
      <c r="AZ450" s="1355"/>
      <c r="BA450" s="1355"/>
      <c r="BC450" s="1355"/>
      <c r="BE450" s="1355"/>
      <c r="BF450" s="1355"/>
      <c r="BG450" s="1355"/>
    </row>
    <row r="451">
      <c r="R451" s="1355"/>
      <c r="S451" s="1355"/>
      <c r="W451" s="1355"/>
      <c r="X451" s="1355"/>
      <c r="AE451" s="1355"/>
      <c r="AF451" s="1355"/>
      <c r="AV451" s="1355"/>
      <c r="AW451" s="1355"/>
      <c r="AX451" s="1355"/>
      <c r="AY451" s="1355"/>
      <c r="AZ451" s="1355"/>
      <c r="BA451" s="1355"/>
      <c r="BC451" s="1355"/>
      <c r="BE451" s="1355"/>
      <c r="BF451" s="1355"/>
      <c r="BG451" s="1355"/>
    </row>
    <row r="452">
      <c r="R452" s="1355"/>
      <c r="S452" s="1355"/>
      <c r="W452" s="1355"/>
      <c r="X452" s="1355"/>
      <c r="AE452" s="1355"/>
      <c r="AF452" s="1355"/>
      <c r="AV452" s="1355"/>
      <c r="AW452" s="1355"/>
      <c r="AX452" s="1355"/>
      <c r="AY452" s="1355"/>
      <c r="AZ452" s="1355"/>
      <c r="BA452" s="1355"/>
      <c r="BC452" s="1355"/>
      <c r="BE452" s="1355"/>
      <c r="BF452" s="1355"/>
      <c r="BG452" s="1355"/>
    </row>
    <row r="453">
      <c r="R453" s="1355"/>
      <c r="S453" s="1355"/>
      <c r="W453" s="1355"/>
      <c r="X453" s="1355"/>
      <c r="AE453" s="1355"/>
      <c r="AF453" s="1355"/>
      <c r="AV453" s="1355"/>
      <c r="AW453" s="1355"/>
      <c r="AX453" s="1355"/>
      <c r="AY453" s="1355"/>
      <c r="AZ453" s="1355"/>
      <c r="BA453" s="1355"/>
      <c r="BC453" s="1355"/>
      <c r="BE453" s="1355"/>
      <c r="BF453" s="1355"/>
      <c r="BG453" s="1355"/>
    </row>
    <row r="454">
      <c r="R454" s="1355"/>
      <c r="S454" s="1355"/>
      <c r="W454" s="1355"/>
      <c r="X454" s="1355"/>
      <c r="AE454" s="1355"/>
      <c r="AF454" s="1355"/>
      <c r="AV454" s="1355"/>
      <c r="AW454" s="1355"/>
      <c r="AX454" s="1355"/>
      <c r="AY454" s="1355"/>
      <c r="AZ454" s="1355"/>
      <c r="BA454" s="1355"/>
      <c r="BC454" s="1355"/>
      <c r="BE454" s="1355"/>
      <c r="BF454" s="1355"/>
      <c r="BG454" s="1355"/>
    </row>
    <row r="455">
      <c r="R455" s="1355"/>
      <c r="S455" s="1355"/>
      <c r="W455" s="1355"/>
      <c r="X455" s="1355"/>
      <c r="AE455" s="1355"/>
      <c r="AF455" s="1355"/>
      <c r="AV455" s="1355"/>
      <c r="AW455" s="1355"/>
      <c r="AX455" s="1355"/>
      <c r="AY455" s="1355"/>
      <c r="AZ455" s="1355"/>
      <c r="BA455" s="1355"/>
      <c r="BC455" s="1355"/>
      <c r="BE455" s="1355"/>
      <c r="BF455" s="1355"/>
      <c r="BG455" s="1355"/>
    </row>
    <row r="456">
      <c r="R456" s="1355"/>
      <c r="S456" s="1355"/>
      <c r="W456" s="1355"/>
      <c r="X456" s="1355"/>
      <c r="AE456" s="1355"/>
      <c r="AF456" s="1355"/>
      <c r="AV456" s="1355"/>
      <c r="AW456" s="1355"/>
      <c r="AX456" s="1355"/>
      <c r="AY456" s="1355"/>
      <c r="AZ456" s="1355"/>
      <c r="BA456" s="1355"/>
      <c r="BC456" s="1355"/>
      <c r="BE456" s="1355"/>
      <c r="BF456" s="1355"/>
      <c r="BG456" s="1355"/>
    </row>
    <row r="457">
      <c r="R457" s="1355"/>
      <c r="S457" s="1355"/>
      <c r="W457" s="1355"/>
      <c r="X457" s="1355"/>
      <c r="AE457" s="1355"/>
      <c r="AF457" s="1355"/>
      <c r="AV457" s="1355"/>
      <c r="AW457" s="1355"/>
      <c r="AX457" s="1355"/>
      <c r="AY457" s="1355"/>
      <c r="AZ457" s="1355"/>
      <c r="BA457" s="1355"/>
      <c r="BC457" s="1355"/>
      <c r="BE457" s="1355"/>
      <c r="BF457" s="1355"/>
      <c r="BG457" s="1355"/>
    </row>
    <row r="458">
      <c r="R458" s="1355"/>
      <c r="S458" s="1355"/>
      <c r="W458" s="1355"/>
      <c r="X458" s="1355"/>
      <c r="AE458" s="1355"/>
      <c r="AF458" s="1355"/>
      <c r="AV458" s="1355"/>
      <c r="AW458" s="1355"/>
      <c r="AX458" s="1355"/>
      <c r="AY458" s="1355"/>
      <c r="AZ458" s="1355"/>
      <c r="BA458" s="1355"/>
      <c r="BC458" s="1355"/>
      <c r="BE458" s="1355"/>
      <c r="BF458" s="1355"/>
      <c r="BG458" s="1355"/>
    </row>
    <row r="459">
      <c r="R459" s="1355"/>
      <c r="S459" s="1355"/>
      <c r="W459" s="1355"/>
      <c r="X459" s="1355"/>
      <c r="AE459" s="1355"/>
      <c r="AF459" s="1355"/>
      <c r="AV459" s="1355"/>
      <c r="AW459" s="1355"/>
      <c r="AX459" s="1355"/>
      <c r="AY459" s="1355"/>
      <c r="AZ459" s="1355"/>
      <c r="BA459" s="1355"/>
      <c r="BC459" s="1355"/>
      <c r="BE459" s="1355"/>
      <c r="BF459" s="1355"/>
      <c r="BG459" s="1355"/>
    </row>
    <row r="460">
      <c r="R460" s="1355"/>
      <c r="S460" s="1355"/>
      <c r="W460" s="1355"/>
      <c r="X460" s="1355"/>
      <c r="AE460" s="1355"/>
      <c r="AF460" s="1355"/>
      <c r="AV460" s="1355"/>
      <c r="AW460" s="1355"/>
      <c r="AX460" s="1355"/>
      <c r="AY460" s="1355"/>
      <c r="AZ460" s="1355"/>
      <c r="BA460" s="1355"/>
      <c r="BC460" s="1355"/>
      <c r="BE460" s="1355"/>
      <c r="BF460" s="1355"/>
      <c r="BG460" s="1355"/>
    </row>
    <row r="461">
      <c r="R461" s="1355"/>
      <c r="S461" s="1355"/>
      <c r="W461" s="1355"/>
      <c r="X461" s="1355"/>
      <c r="AE461" s="1355"/>
      <c r="AF461" s="1355"/>
      <c r="AV461" s="1355"/>
      <c r="AW461" s="1355"/>
      <c r="AX461" s="1355"/>
      <c r="AY461" s="1355"/>
      <c r="AZ461" s="1355"/>
      <c r="BA461" s="1355"/>
      <c r="BC461" s="1355"/>
      <c r="BE461" s="1355"/>
      <c r="BF461" s="1355"/>
      <c r="BG461" s="1355"/>
    </row>
    <row r="462">
      <c r="R462" s="1355"/>
      <c r="S462" s="1355"/>
      <c r="W462" s="1355"/>
      <c r="X462" s="1355"/>
      <c r="AE462" s="1355"/>
      <c r="AF462" s="1355"/>
      <c r="AV462" s="1355"/>
      <c r="AW462" s="1355"/>
      <c r="AX462" s="1355"/>
      <c r="AY462" s="1355"/>
      <c r="AZ462" s="1355"/>
      <c r="BA462" s="1355"/>
      <c r="BC462" s="1355"/>
      <c r="BE462" s="1355"/>
      <c r="BF462" s="1355"/>
      <c r="BG462" s="1355"/>
    </row>
    <row r="463">
      <c r="R463" s="1355"/>
      <c r="S463" s="1355"/>
      <c r="W463" s="1355"/>
      <c r="X463" s="1355"/>
      <c r="AE463" s="1355"/>
      <c r="AF463" s="1355"/>
      <c r="AV463" s="1355"/>
      <c r="AW463" s="1355"/>
      <c r="AX463" s="1355"/>
      <c r="AY463" s="1355"/>
      <c r="AZ463" s="1355"/>
      <c r="BA463" s="1355"/>
      <c r="BC463" s="1355"/>
      <c r="BE463" s="1355"/>
      <c r="BF463" s="1355"/>
      <c r="BG463" s="1355"/>
    </row>
    <row r="464">
      <c r="R464" s="1355"/>
      <c r="S464" s="1355"/>
      <c r="W464" s="1355"/>
      <c r="X464" s="1355"/>
      <c r="AE464" s="1355"/>
      <c r="AF464" s="1355"/>
      <c r="AV464" s="1355"/>
      <c r="AW464" s="1355"/>
      <c r="AX464" s="1355"/>
      <c r="AY464" s="1355"/>
      <c r="AZ464" s="1355"/>
      <c r="BA464" s="1355"/>
      <c r="BC464" s="1355"/>
      <c r="BE464" s="1355"/>
      <c r="BF464" s="1355"/>
      <c r="BG464" s="1355"/>
    </row>
    <row r="465">
      <c r="R465" s="1355"/>
      <c r="S465" s="1355"/>
      <c r="W465" s="1355"/>
      <c r="X465" s="1355"/>
      <c r="AE465" s="1355"/>
      <c r="AF465" s="1355"/>
      <c r="AV465" s="1355"/>
      <c r="AW465" s="1355"/>
      <c r="AX465" s="1355"/>
      <c r="AY465" s="1355"/>
      <c r="AZ465" s="1355"/>
      <c r="BA465" s="1355"/>
      <c r="BC465" s="1355"/>
      <c r="BE465" s="1355"/>
      <c r="BF465" s="1355"/>
      <c r="BG465" s="1355"/>
    </row>
    <row r="466">
      <c r="R466" s="1355"/>
      <c r="S466" s="1355"/>
      <c r="W466" s="1355"/>
      <c r="X466" s="1355"/>
      <c r="AE466" s="1355"/>
      <c r="AF466" s="1355"/>
      <c r="AV466" s="1355"/>
      <c r="AW466" s="1355"/>
      <c r="AX466" s="1355"/>
      <c r="AY466" s="1355"/>
      <c r="AZ466" s="1355"/>
      <c r="BA466" s="1355"/>
      <c r="BC466" s="1355"/>
      <c r="BE466" s="1355"/>
      <c r="BF466" s="1355"/>
      <c r="BG466" s="1355"/>
    </row>
    <row r="467">
      <c r="R467" s="1355"/>
      <c r="S467" s="1355"/>
      <c r="W467" s="1355"/>
      <c r="X467" s="1355"/>
      <c r="AE467" s="1355"/>
      <c r="AF467" s="1355"/>
      <c r="AV467" s="1355"/>
      <c r="AW467" s="1355"/>
      <c r="AX467" s="1355"/>
      <c r="AY467" s="1355"/>
      <c r="AZ467" s="1355"/>
      <c r="BA467" s="1355"/>
      <c r="BC467" s="1355"/>
      <c r="BE467" s="1355"/>
      <c r="BF467" s="1355"/>
      <c r="BG467" s="1355"/>
    </row>
    <row r="468">
      <c r="R468" s="1355"/>
      <c r="S468" s="1355"/>
      <c r="W468" s="1355"/>
      <c r="X468" s="1355"/>
      <c r="AE468" s="1355"/>
      <c r="AF468" s="1355"/>
      <c r="AV468" s="1355"/>
      <c r="AW468" s="1355"/>
      <c r="AX468" s="1355"/>
      <c r="AY468" s="1355"/>
      <c r="AZ468" s="1355"/>
      <c r="BA468" s="1355"/>
      <c r="BC468" s="1355"/>
      <c r="BE468" s="1355"/>
      <c r="BF468" s="1355"/>
      <c r="BG468" s="1355"/>
    </row>
    <row r="469">
      <c r="R469" s="1355"/>
      <c r="S469" s="1355"/>
      <c r="W469" s="1355"/>
      <c r="X469" s="1355"/>
      <c r="AE469" s="1355"/>
      <c r="AF469" s="1355"/>
      <c r="AV469" s="1355"/>
      <c r="AW469" s="1355"/>
      <c r="AX469" s="1355"/>
      <c r="AY469" s="1355"/>
      <c r="AZ469" s="1355"/>
      <c r="BA469" s="1355"/>
      <c r="BC469" s="1355"/>
      <c r="BE469" s="1355"/>
      <c r="BF469" s="1355"/>
      <c r="BG469" s="1355"/>
    </row>
    <row r="470">
      <c r="R470" s="1355"/>
      <c r="S470" s="1355"/>
      <c r="W470" s="1355"/>
      <c r="X470" s="1355"/>
      <c r="AE470" s="1355"/>
      <c r="AF470" s="1355"/>
      <c r="AV470" s="1355"/>
      <c r="AW470" s="1355"/>
      <c r="AX470" s="1355"/>
      <c r="AY470" s="1355"/>
      <c r="AZ470" s="1355"/>
      <c r="BA470" s="1355"/>
      <c r="BC470" s="1355"/>
      <c r="BE470" s="1355"/>
      <c r="BF470" s="1355"/>
      <c r="BG470" s="1355"/>
    </row>
    <row r="471">
      <c r="R471" s="1355"/>
      <c r="S471" s="1355"/>
      <c r="W471" s="1355"/>
      <c r="X471" s="1355"/>
      <c r="AE471" s="1355"/>
      <c r="AF471" s="1355"/>
      <c r="AV471" s="1355"/>
      <c r="AW471" s="1355"/>
      <c r="AX471" s="1355"/>
      <c r="AY471" s="1355"/>
      <c r="AZ471" s="1355"/>
      <c r="BA471" s="1355"/>
      <c r="BC471" s="1355"/>
      <c r="BE471" s="1355"/>
      <c r="BF471" s="1355"/>
      <c r="BG471" s="1355"/>
    </row>
    <row r="472">
      <c r="R472" s="1355"/>
      <c r="S472" s="1355"/>
      <c r="W472" s="1355"/>
      <c r="X472" s="1355"/>
      <c r="AE472" s="1355"/>
      <c r="AF472" s="1355"/>
      <c r="AV472" s="1355"/>
      <c r="AW472" s="1355"/>
      <c r="AX472" s="1355"/>
      <c r="AY472" s="1355"/>
      <c r="AZ472" s="1355"/>
      <c r="BA472" s="1355"/>
      <c r="BC472" s="1355"/>
      <c r="BE472" s="1355"/>
      <c r="BF472" s="1355"/>
      <c r="BG472" s="1355"/>
    </row>
    <row r="473">
      <c r="R473" s="1355"/>
      <c r="S473" s="1355"/>
      <c r="W473" s="1355"/>
      <c r="X473" s="1355"/>
      <c r="AE473" s="1355"/>
      <c r="AF473" s="1355"/>
      <c r="AV473" s="1355"/>
      <c r="AW473" s="1355"/>
      <c r="AX473" s="1355"/>
      <c r="AY473" s="1355"/>
      <c r="AZ473" s="1355"/>
      <c r="BA473" s="1355"/>
      <c r="BC473" s="1355"/>
      <c r="BE473" s="1355"/>
      <c r="BF473" s="1355"/>
      <c r="BG473" s="1355"/>
    </row>
    <row r="474">
      <c r="R474" s="1355"/>
      <c r="S474" s="1355"/>
      <c r="W474" s="1355"/>
      <c r="X474" s="1355"/>
      <c r="AE474" s="1355"/>
      <c r="AF474" s="1355"/>
      <c r="AV474" s="1355"/>
      <c r="AW474" s="1355"/>
      <c r="AX474" s="1355"/>
      <c r="AY474" s="1355"/>
      <c r="AZ474" s="1355"/>
      <c r="BA474" s="1355"/>
      <c r="BC474" s="1355"/>
      <c r="BE474" s="1355"/>
      <c r="BF474" s="1355"/>
      <c r="BG474" s="1355"/>
    </row>
    <row r="475">
      <c r="R475" s="1355"/>
      <c r="S475" s="1355"/>
      <c r="W475" s="1355"/>
      <c r="X475" s="1355"/>
      <c r="AE475" s="1355"/>
      <c r="AF475" s="1355"/>
      <c r="AV475" s="1355"/>
      <c r="AW475" s="1355"/>
      <c r="AX475" s="1355"/>
      <c r="AY475" s="1355"/>
      <c r="AZ475" s="1355"/>
      <c r="BA475" s="1355"/>
      <c r="BC475" s="1355"/>
      <c r="BE475" s="1355"/>
      <c r="BF475" s="1355"/>
      <c r="BG475" s="1355"/>
    </row>
    <row r="476">
      <c r="R476" s="1355"/>
      <c r="S476" s="1355"/>
      <c r="W476" s="1355"/>
      <c r="X476" s="1355"/>
      <c r="AE476" s="1355"/>
      <c r="AF476" s="1355"/>
      <c r="AV476" s="1355"/>
      <c r="AW476" s="1355"/>
      <c r="AX476" s="1355"/>
      <c r="AY476" s="1355"/>
      <c r="AZ476" s="1355"/>
      <c r="BA476" s="1355"/>
      <c r="BC476" s="1355"/>
      <c r="BE476" s="1355"/>
      <c r="BF476" s="1355"/>
      <c r="BG476" s="1355"/>
    </row>
    <row r="477">
      <c r="R477" s="1355"/>
      <c r="S477" s="1355"/>
      <c r="W477" s="1355"/>
      <c r="X477" s="1355"/>
      <c r="AE477" s="1355"/>
      <c r="AF477" s="1355"/>
      <c r="AV477" s="1355"/>
      <c r="AW477" s="1355"/>
      <c r="AX477" s="1355"/>
      <c r="AY477" s="1355"/>
      <c r="AZ477" s="1355"/>
      <c r="BA477" s="1355"/>
      <c r="BC477" s="1355"/>
      <c r="BE477" s="1355"/>
      <c r="BF477" s="1355"/>
      <c r="BG477" s="1355"/>
    </row>
    <row r="478">
      <c r="R478" s="1355"/>
      <c r="S478" s="1355"/>
      <c r="W478" s="1355"/>
      <c r="X478" s="1355"/>
      <c r="AE478" s="1355"/>
      <c r="AF478" s="1355"/>
      <c r="AV478" s="1355"/>
      <c r="AW478" s="1355"/>
      <c r="AX478" s="1355"/>
      <c r="AY478" s="1355"/>
      <c r="AZ478" s="1355"/>
      <c r="BA478" s="1355"/>
      <c r="BC478" s="1355"/>
      <c r="BE478" s="1355"/>
      <c r="BF478" s="1355"/>
      <c r="BG478" s="1355"/>
    </row>
    <row r="479">
      <c r="R479" s="1355"/>
      <c r="S479" s="1355"/>
      <c r="W479" s="1355"/>
      <c r="X479" s="1355"/>
      <c r="AE479" s="1355"/>
      <c r="AF479" s="1355"/>
      <c r="AV479" s="1355"/>
      <c r="AW479" s="1355"/>
      <c r="AX479" s="1355"/>
      <c r="AY479" s="1355"/>
      <c r="AZ479" s="1355"/>
      <c r="BA479" s="1355"/>
      <c r="BC479" s="1355"/>
      <c r="BE479" s="1355"/>
      <c r="BF479" s="1355"/>
      <c r="BG479" s="1355"/>
    </row>
    <row r="480">
      <c r="R480" s="1355"/>
      <c r="S480" s="1355"/>
      <c r="W480" s="1355"/>
      <c r="X480" s="1355"/>
      <c r="AE480" s="1355"/>
      <c r="AF480" s="1355"/>
      <c r="AV480" s="1355"/>
      <c r="AW480" s="1355"/>
      <c r="AX480" s="1355"/>
      <c r="AY480" s="1355"/>
      <c r="AZ480" s="1355"/>
      <c r="BA480" s="1355"/>
      <c r="BC480" s="1355"/>
      <c r="BE480" s="1355"/>
      <c r="BF480" s="1355"/>
      <c r="BG480" s="1355"/>
    </row>
    <row r="481">
      <c r="R481" s="1355"/>
      <c r="S481" s="1355"/>
      <c r="W481" s="1355"/>
      <c r="X481" s="1355"/>
      <c r="AE481" s="1355"/>
      <c r="AF481" s="1355"/>
      <c r="AV481" s="1355"/>
      <c r="AW481" s="1355"/>
      <c r="AX481" s="1355"/>
      <c r="AY481" s="1355"/>
      <c r="AZ481" s="1355"/>
      <c r="BA481" s="1355"/>
      <c r="BC481" s="1355"/>
      <c r="BE481" s="1355"/>
      <c r="BF481" s="1355"/>
      <c r="BG481" s="1355"/>
    </row>
    <row r="482">
      <c r="R482" s="1355"/>
      <c r="S482" s="1355"/>
      <c r="W482" s="1355"/>
      <c r="X482" s="1355"/>
      <c r="AE482" s="1355"/>
      <c r="AF482" s="1355"/>
      <c r="AV482" s="1355"/>
      <c r="AW482" s="1355"/>
      <c r="AX482" s="1355"/>
      <c r="AY482" s="1355"/>
      <c r="AZ482" s="1355"/>
      <c r="BA482" s="1355"/>
      <c r="BC482" s="1355"/>
      <c r="BE482" s="1355"/>
      <c r="BF482" s="1355"/>
      <c r="BG482" s="1355"/>
    </row>
    <row r="483">
      <c r="R483" s="1355"/>
      <c r="S483" s="1355"/>
      <c r="W483" s="1355"/>
      <c r="X483" s="1355"/>
      <c r="AE483" s="1355"/>
      <c r="AF483" s="1355"/>
      <c r="AV483" s="1355"/>
      <c r="AW483" s="1355"/>
      <c r="AX483" s="1355"/>
      <c r="AY483" s="1355"/>
      <c r="AZ483" s="1355"/>
      <c r="BA483" s="1355"/>
      <c r="BC483" s="1355"/>
      <c r="BE483" s="1355"/>
      <c r="BF483" s="1355"/>
      <c r="BG483" s="1355"/>
    </row>
    <row r="484">
      <c r="R484" s="1355"/>
      <c r="S484" s="1355"/>
      <c r="W484" s="1355"/>
      <c r="X484" s="1355"/>
      <c r="AE484" s="1355"/>
      <c r="AF484" s="1355"/>
      <c r="AV484" s="1355"/>
      <c r="AW484" s="1355"/>
      <c r="AX484" s="1355"/>
      <c r="AY484" s="1355"/>
      <c r="AZ484" s="1355"/>
      <c r="BA484" s="1355"/>
      <c r="BC484" s="1355"/>
      <c r="BE484" s="1355"/>
      <c r="BF484" s="1355"/>
      <c r="BG484" s="1355"/>
    </row>
    <row r="485">
      <c r="R485" s="1355"/>
      <c r="S485" s="1355"/>
      <c r="W485" s="1355"/>
      <c r="X485" s="1355"/>
      <c r="AE485" s="1355"/>
      <c r="AF485" s="1355"/>
      <c r="AV485" s="1355"/>
      <c r="AW485" s="1355"/>
      <c r="AX485" s="1355"/>
      <c r="AY485" s="1355"/>
      <c r="AZ485" s="1355"/>
      <c r="BA485" s="1355"/>
      <c r="BC485" s="1355"/>
      <c r="BE485" s="1355"/>
      <c r="BF485" s="1355"/>
      <c r="BG485" s="1355"/>
    </row>
    <row r="486">
      <c r="R486" s="1355"/>
      <c r="S486" s="1355"/>
      <c r="W486" s="1355"/>
      <c r="X486" s="1355"/>
      <c r="AE486" s="1355"/>
      <c r="AF486" s="1355"/>
      <c r="AV486" s="1355"/>
      <c r="AW486" s="1355"/>
      <c r="AX486" s="1355"/>
      <c r="AY486" s="1355"/>
      <c r="AZ486" s="1355"/>
      <c r="BA486" s="1355"/>
      <c r="BC486" s="1355"/>
      <c r="BE486" s="1355"/>
      <c r="BF486" s="1355"/>
      <c r="BG486" s="1355"/>
    </row>
    <row r="487">
      <c r="R487" s="1355"/>
      <c r="S487" s="1355"/>
      <c r="W487" s="1355"/>
      <c r="X487" s="1355"/>
      <c r="AE487" s="1355"/>
      <c r="AF487" s="1355"/>
      <c r="AV487" s="1355"/>
      <c r="AW487" s="1355"/>
      <c r="AX487" s="1355"/>
      <c r="AY487" s="1355"/>
      <c r="AZ487" s="1355"/>
      <c r="BA487" s="1355"/>
      <c r="BC487" s="1355"/>
      <c r="BE487" s="1355"/>
      <c r="BF487" s="1355"/>
      <c r="BG487" s="1355"/>
    </row>
    <row r="488">
      <c r="R488" s="1355"/>
      <c r="S488" s="1355"/>
      <c r="W488" s="1355"/>
      <c r="X488" s="1355"/>
      <c r="AE488" s="1355"/>
      <c r="AF488" s="1355"/>
      <c r="AV488" s="1355"/>
      <c r="AW488" s="1355"/>
      <c r="AX488" s="1355"/>
      <c r="AY488" s="1355"/>
      <c r="AZ488" s="1355"/>
      <c r="BA488" s="1355"/>
      <c r="BC488" s="1355"/>
      <c r="BE488" s="1355"/>
      <c r="BF488" s="1355"/>
      <c r="BG488" s="1355"/>
    </row>
    <row r="489">
      <c r="R489" s="1355"/>
      <c r="S489" s="1355"/>
      <c r="W489" s="1355"/>
      <c r="X489" s="1355"/>
      <c r="AE489" s="1355"/>
      <c r="AF489" s="1355"/>
      <c r="AV489" s="1355"/>
      <c r="AW489" s="1355"/>
      <c r="AX489" s="1355"/>
      <c r="AY489" s="1355"/>
      <c r="AZ489" s="1355"/>
      <c r="BA489" s="1355"/>
      <c r="BC489" s="1355"/>
      <c r="BE489" s="1355"/>
      <c r="BF489" s="1355"/>
      <c r="BG489" s="1355"/>
    </row>
    <row r="490">
      <c r="R490" s="1355"/>
      <c r="S490" s="1355"/>
      <c r="W490" s="1355"/>
      <c r="X490" s="1355"/>
      <c r="AE490" s="1355"/>
      <c r="AF490" s="1355"/>
      <c r="AV490" s="1355"/>
      <c r="AW490" s="1355"/>
      <c r="AX490" s="1355"/>
      <c r="AY490" s="1355"/>
      <c r="AZ490" s="1355"/>
      <c r="BA490" s="1355"/>
      <c r="BC490" s="1355"/>
      <c r="BE490" s="1355"/>
      <c r="BF490" s="1355"/>
      <c r="BG490" s="1355"/>
    </row>
    <row r="491">
      <c r="R491" s="1355"/>
      <c r="S491" s="1355"/>
      <c r="W491" s="1355"/>
      <c r="X491" s="1355"/>
      <c r="AE491" s="1355"/>
      <c r="AF491" s="1355"/>
      <c r="AV491" s="1355"/>
      <c r="AW491" s="1355"/>
      <c r="AX491" s="1355"/>
      <c r="AY491" s="1355"/>
      <c r="AZ491" s="1355"/>
      <c r="BA491" s="1355"/>
      <c r="BC491" s="1355"/>
      <c r="BE491" s="1355"/>
      <c r="BF491" s="1355"/>
      <c r="BG491" s="1355"/>
    </row>
    <row r="492">
      <c r="R492" s="1355"/>
      <c r="S492" s="1355"/>
      <c r="W492" s="1355"/>
      <c r="X492" s="1355"/>
      <c r="AE492" s="1355"/>
      <c r="AF492" s="1355"/>
      <c r="AV492" s="1355"/>
      <c r="AW492" s="1355"/>
      <c r="AX492" s="1355"/>
      <c r="AY492" s="1355"/>
      <c r="AZ492" s="1355"/>
      <c r="BA492" s="1355"/>
      <c r="BC492" s="1355"/>
      <c r="BE492" s="1355"/>
      <c r="BF492" s="1355"/>
      <c r="BG492" s="1355"/>
    </row>
    <row r="493">
      <c r="R493" s="1355"/>
      <c r="S493" s="1355"/>
      <c r="W493" s="1355"/>
      <c r="X493" s="1355"/>
      <c r="AE493" s="1355"/>
      <c r="AF493" s="1355"/>
      <c r="AV493" s="1355"/>
      <c r="AW493" s="1355"/>
      <c r="AX493" s="1355"/>
      <c r="AY493" s="1355"/>
      <c r="AZ493" s="1355"/>
      <c r="BA493" s="1355"/>
      <c r="BC493" s="1355"/>
      <c r="BE493" s="1355"/>
      <c r="BF493" s="1355"/>
      <c r="BG493" s="1355"/>
    </row>
    <row r="494">
      <c r="R494" s="1355"/>
      <c r="S494" s="1355"/>
      <c r="W494" s="1355"/>
      <c r="X494" s="1355"/>
      <c r="AE494" s="1355"/>
      <c r="AF494" s="1355"/>
      <c r="AV494" s="1355"/>
      <c r="AW494" s="1355"/>
      <c r="AX494" s="1355"/>
      <c r="AY494" s="1355"/>
      <c r="AZ494" s="1355"/>
      <c r="BA494" s="1355"/>
      <c r="BC494" s="1355"/>
      <c r="BE494" s="1355"/>
      <c r="BF494" s="1355"/>
      <c r="BG494" s="1355"/>
    </row>
    <row r="495">
      <c r="R495" s="1355"/>
      <c r="S495" s="1355"/>
      <c r="W495" s="1355"/>
      <c r="X495" s="1355"/>
      <c r="AE495" s="1355"/>
      <c r="AF495" s="1355"/>
      <c r="AV495" s="1355"/>
      <c r="AW495" s="1355"/>
      <c r="AX495" s="1355"/>
      <c r="AY495" s="1355"/>
      <c r="AZ495" s="1355"/>
      <c r="BA495" s="1355"/>
      <c r="BC495" s="1355"/>
      <c r="BE495" s="1355"/>
      <c r="BF495" s="1355"/>
      <c r="BG495" s="1355"/>
    </row>
    <row r="496">
      <c r="R496" s="1355"/>
      <c r="S496" s="1355"/>
      <c r="W496" s="1355"/>
      <c r="X496" s="1355"/>
      <c r="AE496" s="1355"/>
      <c r="AF496" s="1355"/>
      <c r="AV496" s="1355"/>
      <c r="AW496" s="1355"/>
      <c r="AX496" s="1355"/>
      <c r="AY496" s="1355"/>
      <c r="AZ496" s="1355"/>
      <c r="BA496" s="1355"/>
      <c r="BC496" s="1355"/>
      <c r="BE496" s="1355"/>
      <c r="BF496" s="1355"/>
      <c r="BG496" s="1355"/>
    </row>
    <row r="497">
      <c r="R497" s="1355"/>
      <c r="S497" s="1355"/>
      <c r="W497" s="1355"/>
      <c r="X497" s="1355"/>
      <c r="AE497" s="1355"/>
      <c r="AF497" s="1355"/>
      <c r="AV497" s="1355"/>
      <c r="AW497" s="1355"/>
      <c r="AX497" s="1355"/>
      <c r="AY497" s="1355"/>
      <c r="AZ497" s="1355"/>
      <c r="BA497" s="1355"/>
      <c r="BC497" s="1355"/>
      <c r="BE497" s="1355"/>
      <c r="BF497" s="1355"/>
      <c r="BG497" s="1355"/>
    </row>
    <row r="498">
      <c r="R498" s="1355"/>
      <c r="S498" s="1355"/>
      <c r="W498" s="1355"/>
      <c r="X498" s="1355"/>
      <c r="AE498" s="1355"/>
      <c r="AF498" s="1355"/>
      <c r="AV498" s="1355"/>
      <c r="AW498" s="1355"/>
      <c r="AX498" s="1355"/>
      <c r="AY498" s="1355"/>
      <c r="AZ498" s="1355"/>
      <c r="BA498" s="1355"/>
      <c r="BC498" s="1355"/>
      <c r="BE498" s="1355"/>
      <c r="BF498" s="1355"/>
      <c r="BG498" s="1355"/>
    </row>
    <row r="499">
      <c r="R499" s="1355"/>
      <c r="S499" s="1355"/>
      <c r="W499" s="1355"/>
      <c r="X499" s="1355"/>
      <c r="AE499" s="1355"/>
      <c r="AF499" s="1355"/>
      <c r="AV499" s="1355"/>
      <c r="AW499" s="1355"/>
      <c r="AX499" s="1355"/>
      <c r="AY499" s="1355"/>
      <c r="AZ499" s="1355"/>
      <c r="BA499" s="1355"/>
      <c r="BC499" s="1355"/>
      <c r="BE499" s="1355"/>
      <c r="BF499" s="1355"/>
      <c r="BG499" s="1355"/>
    </row>
    <row r="500">
      <c r="R500" s="1355"/>
      <c r="S500" s="1355"/>
      <c r="W500" s="1355"/>
      <c r="X500" s="1355"/>
      <c r="AE500" s="1355"/>
      <c r="AF500" s="1355"/>
      <c r="AV500" s="1355"/>
      <c r="AW500" s="1355"/>
      <c r="AX500" s="1355"/>
      <c r="AY500" s="1355"/>
      <c r="AZ500" s="1355"/>
      <c r="BA500" s="1355"/>
      <c r="BC500" s="1355"/>
      <c r="BE500" s="1355"/>
      <c r="BF500" s="1355"/>
      <c r="BG500" s="1355"/>
    </row>
    <row r="501">
      <c r="R501" s="1355"/>
      <c r="S501" s="1355"/>
      <c r="W501" s="1355"/>
      <c r="X501" s="1355"/>
      <c r="AE501" s="1355"/>
      <c r="AF501" s="1355"/>
      <c r="AV501" s="1355"/>
      <c r="AW501" s="1355"/>
      <c r="AX501" s="1355"/>
      <c r="AY501" s="1355"/>
      <c r="AZ501" s="1355"/>
      <c r="BA501" s="1355"/>
      <c r="BC501" s="1355"/>
      <c r="BE501" s="1355"/>
      <c r="BF501" s="1355"/>
      <c r="BG501" s="1355"/>
    </row>
    <row r="502">
      <c r="R502" s="1355"/>
      <c r="S502" s="1355"/>
      <c r="W502" s="1355"/>
      <c r="X502" s="1355"/>
      <c r="AE502" s="1355"/>
      <c r="AF502" s="1355"/>
      <c r="AV502" s="1355"/>
      <c r="AW502" s="1355"/>
      <c r="AX502" s="1355"/>
      <c r="AY502" s="1355"/>
      <c r="AZ502" s="1355"/>
      <c r="BA502" s="1355"/>
      <c r="BC502" s="1355"/>
      <c r="BE502" s="1355"/>
      <c r="BF502" s="1355"/>
      <c r="BG502" s="135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40625" hidden="0" customWidth="1"/>
  </cols>
  <sheetData>
    <row r="1">
      <c r="A1" s="1364" t="s">
        <v>779</v>
      </c>
      <c r="B1" s="1364"/>
      <c r="C1" s="1364"/>
      <c r="D1" s="1364"/>
    </row>
    <row r="2">
      <c r="A2" t="s">
        <v>780</v>
      </c>
      <c r="B2" s="123" t="n">
        <v>2021</v>
      </c>
      <c r="C2" s="123" t="n">
        <v>2021</v>
      </c>
      <c r="D2" s="123" t="n">
        <v>2021</v>
      </c>
      <c r="E2" s="123" t="n">
        <v>2022</v>
      </c>
      <c r="F2" s="123" t="n">
        <v>2022</v>
      </c>
      <c r="G2" s="123" t="n">
        <v>2022</v>
      </c>
      <c r="H2" s="123" t="n">
        <v>2022</v>
      </c>
      <c r="I2" s="123" t="n">
        <v>2023</v>
      </c>
      <c r="J2" s="123" t="n">
        <v>2023</v>
      </c>
      <c r="K2" s="123" t="n">
        <v>2023</v>
      </c>
      <c r="L2" s="123" t="n">
        <v>2023</v>
      </c>
      <c r="M2" s="123" t="n">
        <v>2024</v>
      </c>
      <c r="N2" s="123" t="n">
        <v>2024</v>
      </c>
      <c r="O2" s="123" t="n">
        <v>2024</v>
      </c>
      <c r="P2" s="123" t="n">
        <v>2024</v>
      </c>
      <c r="Q2" s="123" t="n">
        <v>2025</v>
      </c>
      <c r="R2" s="123" t="n">
        <v>2025</v>
      </c>
      <c r="S2" s="123" t="n">
        <v>2025</v>
      </c>
      <c r="T2" s="123" t="n">
        <v>2025</v>
      </c>
      <c r="U2" s="123" t="n">
        <v>2026</v>
      </c>
    </row>
    <row r="3">
      <c r="A3" s="1136" t="s">
        <v>781</v>
      </c>
      <c r="B3" s="1140" t="s">
        <v>782</v>
      </c>
      <c r="C3" s="1140" t="s">
        <v>783</v>
      </c>
      <c r="D3" s="1140" t="s">
        <v>784</v>
      </c>
      <c r="E3" s="1140" t="s">
        <v>785</v>
      </c>
      <c r="F3" s="1140" t="s">
        <v>786</v>
      </c>
      <c r="G3" s="1140" t="s">
        <v>787</v>
      </c>
      <c r="H3" s="1140" t="s">
        <v>788</v>
      </c>
      <c r="I3" s="1140" t="s">
        <v>789</v>
      </c>
      <c r="J3" s="1140" t="s">
        <v>790</v>
      </c>
      <c r="K3" s="1140" t="s">
        <v>791</v>
      </c>
      <c r="L3" s="1140" t="s">
        <v>792</v>
      </c>
      <c r="M3" s="1140" t="s">
        <v>793</v>
      </c>
      <c r="N3" s="1140" t="s">
        <v>794</v>
      </c>
      <c r="O3" s="1140" t="s">
        <v>795</v>
      </c>
      <c r="P3" s="1140" t="s">
        <v>796</v>
      </c>
      <c r="Q3" s="1140" t="s">
        <v>797</v>
      </c>
      <c r="R3" s="1140" t="s">
        <v>798</v>
      </c>
      <c r="S3" s="1140" t="s">
        <v>799</v>
      </c>
      <c r="T3" s="1140" t="s">
        <v>800</v>
      </c>
      <c r="U3" s="1140" t="s">
        <v>801</v>
      </c>
    </row>
    <row r="4">
      <c r="A4" s="1136" t="s">
        <v>802</v>
      </c>
      <c r="B4" s="1140"/>
      <c r="C4" s="1140"/>
      <c r="D4" s="1140" t="n">
        <v>0</v>
      </c>
      <c r="E4" s="1140" t="n">
        <v>0</v>
      </c>
      <c r="F4" s="1140" t="n">
        <v>0.5</v>
      </c>
      <c r="G4" s="1140" t="n">
        <v>0.5</v>
      </c>
      <c r="H4" s="1140" t="n">
        <v>0</v>
      </c>
      <c r="I4" s="1140" t="n">
        <v>0</v>
      </c>
      <c r="J4" s="1140" t="n">
        <v>0</v>
      </c>
      <c r="K4" s="1140" t="n">
        <v>0</v>
      </c>
      <c r="L4" s="1140" t="n">
        <v>0</v>
      </c>
      <c r="M4" s="1140" t="n">
        <v>0</v>
      </c>
      <c r="N4" s="1140" t="n">
        <v>0</v>
      </c>
      <c r="O4" s="1140" t="n">
        <v>0</v>
      </c>
      <c r="P4" s="1140" t="n">
        <v>0</v>
      </c>
      <c r="Q4" s="1140" t="n">
        <v>0</v>
      </c>
      <c r="R4" s="1140" t="n">
        <v>0</v>
      </c>
      <c r="S4" s="1140" t="n">
        <v>0</v>
      </c>
      <c r="T4" s="1140" t="n">
        <v>0</v>
      </c>
      <c r="U4" s="1140" t="n">
        <v>0</v>
      </c>
    </row>
    <row r="5">
      <c r="A5" s="1136" t="s">
        <v>803</v>
      </c>
      <c r="B5" s="1140" t="n">
        <v>0.04</v>
      </c>
      <c r="C5" s="1140" t="n">
        <v>0.48</v>
      </c>
      <c r="D5" s="1140" t="n">
        <v>0.48</v>
      </c>
      <c r="E5" s="1140" t="n">
        <v>0</v>
      </c>
      <c r="F5" s="1140" t="n">
        <v>0</v>
      </c>
      <c r="G5" s="1140" t="n">
        <v>0</v>
      </c>
      <c r="H5" s="1140" t="n">
        <v>0</v>
      </c>
      <c r="I5" s="1140" t="n">
        <v>0</v>
      </c>
      <c r="J5" s="1140" t="n">
        <v>0</v>
      </c>
      <c r="K5" s="1140" t="n">
        <v>0</v>
      </c>
      <c r="L5" s="1140" t="n">
        <v>0</v>
      </c>
      <c r="M5" s="1140" t="n">
        <v>0</v>
      </c>
      <c r="N5" s="1140" t="n">
        <v>0</v>
      </c>
      <c r="O5" s="1140" t="n">
        <v>0</v>
      </c>
      <c r="P5" s="1140" t="n">
        <v>0</v>
      </c>
      <c r="Q5" s="1140" t="n">
        <v>0</v>
      </c>
      <c r="R5" s="1140" t="n">
        <v>0</v>
      </c>
      <c r="S5" s="1140" t="n">
        <v>0</v>
      </c>
      <c r="T5" s="1140" t="n">
        <v>0</v>
      </c>
      <c r="U5" s="1140" t="n">
        <v>0</v>
      </c>
    </row>
    <row r="6">
      <c r="A6" s="1136" t="s">
        <v>804</v>
      </c>
      <c r="B6" s="1140" t="n">
        <f>B8</f>
        <v>0</v>
      </c>
      <c r="C6" s="1140" t="n">
        <f>C8</f>
        <v>0.43</v>
      </c>
      <c r="D6" s="1140" t="n">
        <f t="shared" ref="D6:U6" si="0">D8</f>
        <v>0.56999999999999995</v>
      </c>
      <c r="E6" s="1140" t="n">
        <f t="shared" si="0"/>
        <v>0.25</v>
      </c>
      <c r="F6" s="1140" t="n">
        <f t="shared" si="0"/>
        <v>0.25</v>
      </c>
      <c r="G6" s="1140" t="n">
        <f t="shared" si="0"/>
        <v>0.25</v>
      </c>
      <c r="H6" s="1140" t="n">
        <f t="shared" si="0"/>
        <v>0.25</v>
      </c>
      <c r="I6" s="1140" t="n">
        <f t="shared" si="0"/>
        <v>0.25</v>
      </c>
      <c r="J6" s="1140" t="n">
        <f t="shared" si="0"/>
        <v>0.25</v>
      </c>
      <c r="K6" s="1140" t="n">
        <f t="shared" si="0"/>
        <v>0.25</v>
      </c>
      <c r="L6" s="1140" t="n">
        <f t="shared" si="0"/>
        <v>0.25</v>
      </c>
      <c r="M6" s="1140" t="n">
        <f t="shared" si="0"/>
        <v>0.25</v>
      </c>
      <c r="N6" s="1140" t="n">
        <f t="shared" si="0"/>
        <v>0.25</v>
      </c>
      <c r="O6" s="1140" t="n">
        <f t="shared" si="0"/>
        <v>0.25</v>
      </c>
      <c r="P6" s="1140" t="n">
        <f t="shared" si="0"/>
        <v>0.25</v>
      </c>
      <c r="Q6" s="1140" t="n">
        <f t="shared" si="0"/>
        <v>0.25</v>
      </c>
      <c r="R6" s="1140" t="n">
        <f t="shared" si="0"/>
        <v>0.25</v>
      </c>
      <c r="S6" s="1140" t="n">
        <f t="shared" si="0"/>
        <v>0.25</v>
      </c>
      <c r="T6" s="1140" t="n">
        <f t="shared" si="0"/>
        <v>0.25</v>
      </c>
      <c r="U6" s="1140" t="n">
        <f t="shared" si="0"/>
        <v>0.25</v>
      </c>
    </row>
    <row r="7">
      <c r="A7" s="1136" t="s">
        <v>805</v>
      </c>
      <c r="B7" s="1140" t="n">
        <v>0</v>
      </c>
      <c r="C7" s="1140" t="n">
        <v>0</v>
      </c>
      <c r="D7" s="1140" t="n">
        <v>1</v>
      </c>
      <c r="E7" s="1140" t="n">
        <v>0.25</v>
      </c>
      <c r="F7" s="1140" t="n">
        <v>0.25</v>
      </c>
      <c r="G7" s="1140" t="n">
        <v>0.25</v>
      </c>
      <c r="H7" s="1140" t="n">
        <v>0.25</v>
      </c>
      <c r="I7" s="1140" t="n">
        <v>0.25</v>
      </c>
      <c r="J7" s="1140" t="n">
        <v>0.25</v>
      </c>
      <c r="K7" s="1140" t="n">
        <v>0.25</v>
      </c>
      <c r="L7" s="1140" t="n">
        <v>0.25</v>
      </c>
      <c r="M7" s="1140" t="n">
        <v>0.25</v>
      </c>
      <c r="N7" s="1140" t="n">
        <v>0.25</v>
      </c>
      <c r="O7" s="1140" t="n">
        <v>0.25</v>
      </c>
      <c r="P7" s="1140" t="n">
        <v>0.25</v>
      </c>
      <c r="Q7" s="1140" t="n">
        <v>0.25</v>
      </c>
      <c r="R7" s="1140" t="n">
        <v>0.25</v>
      </c>
      <c r="S7" s="1140" t="n">
        <v>0.25</v>
      </c>
      <c r="T7" s="1140" t="n">
        <v>0.25</v>
      </c>
      <c r="U7" s="1140" t="n">
        <v>0.25</v>
      </c>
    </row>
    <row r="8">
      <c r="A8" s="1136" t="s">
        <v>806</v>
      </c>
      <c r="B8" s="1140" t="n">
        <v>0</v>
      </c>
      <c r="C8" s="1140" t="n">
        <v>0.43</v>
      </c>
      <c r="D8" s="1140" t="n">
        <v>0.56999999999999995</v>
      </c>
      <c r="E8" s="1140" t="n">
        <v>0.25</v>
      </c>
      <c r="F8" s="1140" t="n">
        <v>0.25</v>
      </c>
      <c r="G8" s="1140" t="n">
        <v>0.25</v>
      </c>
      <c r="H8" s="1140" t="n">
        <v>0.25</v>
      </c>
      <c r="I8" s="1140" t="n">
        <v>0.25</v>
      </c>
      <c r="J8" s="1140" t="n">
        <v>0.25</v>
      </c>
      <c r="K8" s="1140" t="n">
        <v>0.25</v>
      </c>
      <c r="L8" s="1140" t="n">
        <v>0.25</v>
      </c>
      <c r="M8" s="1140" t="n">
        <v>0.25</v>
      </c>
      <c r="N8" s="1140" t="n">
        <v>0.25</v>
      </c>
      <c r="O8" s="1140" t="n">
        <v>0.25</v>
      </c>
      <c r="P8" s="1140" t="n">
        <v>0.25</v>
      </c>
      <c r="Q8" s="1140" t="n">
        <v>0.25</v>
      </c>
      <c r="R8" s="1140" t="n">
        <v>0.25</v>
      </c>
      <c r="S8" s="1140" t="n">
        <v>0.25</v>
      </c>
      <c r="T8" s="1140" t="n">
        <v>0.25</v>
      </c>
      <c r="U8" s="1140" t="n">
        <v>0.25</v>
      </c>
    </row>
    <row r="9" ht="27" customHeight="1">
      <c r="A9" s="1136" t="s">
        <v>807</v>
      </c>
      <c r="B9" s="1140" t="n">
        <v>0</v>
      </c>
      <c r="C9" s="1140" t="n">
        <f>0.18</f>
        <v>0.18</v>
      </c>
      <c r="D9" s="1140" t="n">
        <f>1-C9</f>
        <v>0.82000000000000006</v>
      </c>
      <c r="E9" s="1140" t="n">
        <v>0.25</v>
      </c>
      <c r="F9" s="1140" t="n">
        <v>0.25</v>
      </c>
      <c r="G9" s="1140" t="n">
        <v>0.25</v>
      </c>
      <c r="H9" s="1140" t="n">
        <v>0.25</v>
      </c>
      <c r="I9" s="1140" t="n">
        <v>0.25</v>
      </c>
      <c r="J9" s="1140" t="n">
        <v>0.25</v>
      </c>
      <c r="K9" s="1140" t="n">
        <v>0.25</v>
      </c>
      <c r="L9" s="1140" t="n">
        <v>0.25</v>
      </c>
      <c r="M9" s="1140" t="n">
        <v>0.25</v>
      </c>
      <c r="N9" s="1140" t="n">
        <v>0.25</v>
      </c>
      <c r="O9" s="1140" t="n">
        <v>0.25</v>
      </c>
      <c r="P9" s="1140" t="n">
        <v>0.25</v>
      </c>
      <c r="Q9" s="1140" t="n">
        <v>0.25</v>
      </c>
      <c r="R9" s="1140" t="n">
        <v>0.25</v>
      </c>
      <c r="S9" s="1140" t="n">
        <v>0.25</v>
      </c>
      <c r="T9" s="1140" t="n">
        <v>0.25</v>
      </c>
      <c r="U9" s="1140" t="n">
        <v>0.25</v>
      </c>
    </row>
    <row r="10">
      <c r="A10" s="1136" t="s">
        <v>808</v>
      </c>
      <c r="B10" s="1140" t="n">
        <v>0</v>
      </c>
      <c r="C10" s="1140" t="n">
        <v>0.5</v>
      </c>
      <c r="D10" s="1140" t="n">
        <v>0.5</v>
      </c>
      <c r="E10" s="1140" t="n">
        <v>0.25</v>
      </c>
      <c r="F10" s="1140" t="n">
        <v>0.25</v>
      </c>
      <c r="G10" s="1140" t="n">
        <v>0.25</v>
      </c>
      <c r="H10" s="1140" t="n">
        <v>0.25</v>
      </c>
      <c r="I10" s="1140" t="n">
        <v>0.25</v>
      </c>
      <c r="J10" s="1140" t="n">
        <v>0.25</v>
      </c>
      <c r="K10" s="1140" t="n">
        <v>0.25</v>
      </c>
      <c r="L10" s="1140" t="n">
        <v>0.25</v>
      </c>
      <c r="M10" s="1140" t="n">
        <v>0.25</v>
      </c>
      <c r="N10" s="1140" t="n">
        <v>0.25</v>
      </c>
      <c r="O10" s="1140" t="n">
        <v>0.25</v>
      </c>
      <c r="P10" s="1140" t="n">
        <v>0.25</v>
      </c>
      <c r="Q10" s="1140" t="n">
        <v>0.25</v>
      </c>
      <c r="R10" s="1140" t="n">
        <v>0.25</v>
      </c>
      <c r="S10" s="1140" t="n">
        <v>0.25</v>
      </c>
      <c r="T10" s="1140" t="n">
        <v>0.25</v>
      </c>
      <c r="U10" s="1140" t="n">
        <v>0.25</v>
      </c>
    </row>
    <row r="11">
      <c r="A11" s="1136" t="s">
        <v>809</v>
      </c>
      <c r="B11" s="1140" t="n">
        <v>0</v>
      </c>
      <c r="C11" s="1140" t="n">
        <v>0.5</v>
      </c>
      <c r="D11" s="1140" t="n">
        <v>0.5</v>
      </c>
      <c r="E11" s="1140" t="n">
        <v>0.25</v>
      </c>
      <c r="F11" s="1140" t="n">
        <v>0.25</v>
      </c>
      <c r="G11" s="1140" t="n">
        <v>0.25</v>
      </c>
      <c r="H11" s="1140" t="n">
        <v>0.25</v>
      </c>
      <c r="I11" s="1140" t="n">
        <v>0.25</v>
      </c>
      <c r="J11" s="1140" t="n">
        <v>0.25</v>
      </c>
      <c r="K11" s="1140" t="n">
        <v>0.25</v>
      </c>
      <c r="L11" s="1140" t="n">
        <v>0.25</v>
      </c>
      <c r="M11" s="1140" t="n">
        <v>0.25</v>
      </c>
      <c r="N11" s="1140" t="n">
        <v>0.25</v>
      </c>
      <c r="O11" s="1140" t="n">
        <v>0.25</v>
      </c>
      <c r="P11" s="1140" t="n">
        <v>0.25</v>
      </c>
      <c r="Q11" s="1140" t="n">
        <v>0.25</v>
      </c>
      <c r="R11" s="1140" t="n">
        <v>0.25</v>
      </c>
      <c r="S11" s="1140" t="n">
        <v>0.25</v>
      </c>
      <c r="T11" s="1140" t="n">
        <v>0.25</v>
      </c>
      <c r="U11" s="1140" t="n">
        <v>0.25</v>
      </c>
    </row>
    <row r="12" ht="14.25" customHeight="1">
      <c r="A12" s="1136" t="s">
        <v>810</v>
      </c>
      <c r="B12" s="1140" t="n">
        <v>1</v>
      </c>
      <c r="C12" s="1140"/>
      <c r="D12" s="1140"/>
      <c r="E12" s="1140"/>
      <c r="F12" s="1140"/>
      <c r="G12" s="1140"/>
      <c r="H12" s="1140"/>
      <c r="I12" s="1140"/>
      <c r="J12" s="1140"/>
      <c r="K12" s="1140"/>
      <c r="L12" s="1140"/>
      <c r="M12" s="1140"/>
      <c r="N12" s="1140"/>
      <c r="O12" s="1140"/>
      <c r="P12" s="1140"/>
      <c r="Q12" s="1140"/>
      <c r="R12" s="1140"/>
      <c r="S12" s="1140"/>
      <c r="T12" s="1140"/>
      <c r="U12" s="1140"/>
    </row>
    <row r="13">
      <c r="A13" s="1136" t="s">
        <v>811</v>
      </c>
      <c r="B13" s="1140" t="n">
        <v>0</v>
      </c>
      <c r="C13" s="1140" t="n">
        <v>0.4</v>
      </c>
      <c r="D13" s="1140" t="n">
        <v>0.6</v>
      </c>
      <c r="E13" s="1140" t="n">
        <v>0.4</v>
      </c>
      <c r="F13" s="1140" t="n">
        <v>0.3</v>
      </c>
      <c r="G13" s="1140" t="n">
        <v>0.2</v>
      </c>
      <c r="H13" s="1140" t="n">
        <v>0.1</v>
      </c>
      <c r="I13" s="1140" t="n">
        <v>0.25</v>
      </c>
      <c r="J13" s="1140" t="n">
        <v>0.25</v>
      </c>
      <c r="K13" s="1140" t="n">
        <v>0.25</v>
      </c>
      <c r="L13" s="1140" t="n">
        <v>0.25</v>
      </c>
      <c r="M13" s="1140" t="n">
        <v>0.25</v>
      </c>
      <c r="N13" s="1140" t="n">
        <v>0.25</v>
      </c>
      <c r="O13" s="1140" t="n">
        <v>0.25</v>
      </c>
      <c r="P13" s="1140" t="n">
        <v>0.25</v>
      </c>
      <c r="Q13" s="1140" t="n">
        <v>0.25</v>
      </c>
      <c r="R13" s="1140" t="n">
        <v>0.25</v>
      </c>
      <c r="S13" s="1140" t="n">
        <v>0.25</v>
      </c>
      <c r="T13" s="1140" t="n">
        <v>0.25</v>
      </c>
      <c r="U13" s="1140" t="n">
        <v>0.25</v>
      </c>
    </row>
    <row r="14">
      <c r="A14" s="1136"/>
      <c r="B14" s="1140"/>
      <c r="C14" s="1140"/>
      <c r="D14" s="1140"/>
      <c r="E14" s="1140"/>
      <c r="F14" s="1140"/>
      <c r="G14" s="1140"/>
      <c r="H14" s="1140"/>
      <c r="I14" s="1140"/>
      <c r="J14" s="1140"/>
      <c r="K14" s="1140"/>
      <c r="L14" s="1140"/>
      <c r="M14" s="1140"/>
      <c r="N14" s="1140"/>
      <c r="O14" s="1140"/>
      <c r="P14" s="1140"/>
      <c r="Q14" s="1140"/>
      <c r="R14" s="1140"/>
      <c r="S14" s="1140"/>
      <c r="T14" s="1140"/>
      <c r="U14" s="1140"/>
    </row>
    <row r="15" ht="27" customHeight="1">
      <c r="A15" s="1363" t="s">
        <v>812</v>
      </c>
      <c r="B15" s="1140" t="n">
        <v>1</v>
      </c>
      <c r="C15" s="1140" t="n">
        <v>2</v>
      </c>
      <c r="D15" s="1140" t="n">
        <v>3</v>
      </c>
      <c r="E15" s="1140" t="n">
        <v>4</v>
      </c>
      <c r="F15" s="1140" t="n">
        <v>5</v>
      </c>
      <c r="G15" s="1140" t="n">
        <v>6</v>
      </c>
      <c r="H15" s="1140" t="n">
        <v>7</v>
      </c>
      <c r="I15" s="1140" t="n">
        <v>8</v>
      </c>
      <c r="J15" s="1140" t="n">
        <v>9</v>
      </c>
      <c r="K15" s="1140" t="n">
        <v>10</v>
      </c>
      <c r="L15" s="1140" t="n">
        <v>11</v>
      </c>
      <c r="M15" s="1140" t="n">
        <v>12</v>
      </c>
      <c r="N15" s="1140" t="n">
        <v>13</v>
      </c>
      <c r="O15" s="1140" t="n">
        <v>14</v>
      </c>
      <c r="P15" s="1140" t="n">
        <v>15</v>
      </c>
      <c r="Q15" s="1140" t="n">
        <v>16</v>
      </c>
      <c r="R15" s="1140" t="n">
        <v>17</v>
      </c>
      <c r="S15" s="1140" t="n">
        <v>18</v>
      </c>
      <c r="T15" s="1140" t="n">
        <v>19</v>
      </c>
      <c r="U15" s="1140" t="n">
        <v>20</v>
      </c>
    </row>
    <row r="16">
      <c r="A16" s="1136" t="s">
        <v>813</v>
      </c>
      <c r="B16" s="1140" t="n">
        <v>7.0000000000000007E-2</v>
      </c>
      <c r="C16" s="1140" t="n">
        <v>7.0000000000000007E-2</v>
      </c>
      <c r="D16" s="1140" t="n">
        <v>4.9000000000000002E-2</v>
      </c>
      <c r="E16" s="1140" t="n">
        <v>4.9000000000000002E-2</v>
      </c>
      <c r="F16" s="1140" t="n">
        <v>4.9000000000000002E-2</v>
      </c>
      <c r="G16" s="1140" t="n">
        <v>4.9000000000000002E-2</v>
      </c>
      <c r="H16" s="1140" t="n">
        <v>4.9000000000000002E-2</v>
      </c>
      <c r="I16" s="1140" t="n">
        <v>4.9000000000000002E-2</v>
      </c>
      <c r="J16" s="1140" t="n">
        <v>4.9000000000000002E-2</v>
      </c>
      <c r="K16" s="1140" t="n">
        <v>4.9000000000000002E-2</v>
      </c>
      <c r="L16" s="1140" t="n">
        <v>4.9000000000000002E-2</v>
      </c>
      <c r="M16" s="1140" t="n">
        <v>4.9000000000000002E-2</v>
      </c>
      <c r="N16" s="1140" t="n">
        <f t="shared" ref="N16:T16" si="1">0.0475</f>
        <v>4.7500000000000001E-2</v>
      </c>
      <c r="O16" s="1140" t="n">
        <f t="shared" si="1"/>
        <v>4.7500000000000001E-2</v>
      </c>
      <c r="P16" s="1140" t="n">
        <f t="shared" si="1"/>
        <v>4.7500000000000001E-2</v>
      </c>
      <c r="Q16" s="1140" t="n">
        <f t="shared" si="1"/>
        <v>4.7500000000000001E-2</v>
      </c>
      <c r="R16" s="1140" t="n">
        <f t="shared" si="1"/>
        <v>4.7500000000000001E-2</v>
      </c>
      <c r="S16" s="1140" t="n">
        <f t="shared" si="1"/>
        <v>4.7500000000000001E-2</v>
      </c>
      <c r="T16" s="1140" t="n">
        <f t="shared" si="1"/>
        <v>4.7500000000000001E-2</v>
      </c>
      <c r="U16" s="1140" t="n">
        <f>0.0375</f>
        <v>3.7499999999999999E-2</v>
      </c>
      <c r="V16" s="1140" t="n">
        <f>SUM(B16:U16)</f>
        <v>0.99999999999999989</v>
      </c>
    </row>
    <row r="17" ht="27" customHeight="1">
      <c r="A17" s="1136" t="s">
        <v>814</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140" t="n">
        <f>SUM(B17:U17)</f>
        <v>0.94000000000000006</v>
      </c>
      <c r="W17" t="s">
        <v>815</v>
      </c>
    </row>
    <row r="19">
      <c r="B19" s="1362" t="e">
        <f>'Federal and State Purchases'!#REF!</f>
        <v>#REF!</v>
      </c>
      <c r="C19" s="1362" t="e">
        <f>'Federal and State Purchases'!#REF!</f>
        <v>#REF!</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8" zoomScaleNormal="80" workbookViewId="0">
      <selection activeCell="J6" sqref="J6"/>
    </sheetView>
  </sheetViews>
  <sheetFormatPr defaultRowHeight="15.0" baseColWidth="10"/>
  <cols>
    <col min="1" max="1" width="15.42578125" hidden="0" customWidth="1"/>
    <col min="2" max="2" width="32.42578125" hidden="0" customWidth="1"/>
  </cols>
  <sheetData>
    <row r="1">
      <c r="A1" s="1318" t="s">
        <v>816</v>
      </c>
      <c r="B1" s="1318" t="s">
        <v>726</v>
      </c>
      <c r="C1" s="1365" t="n">
        <v>2021</v>
      </c>
      <c r="D1" s="1365" t="n">
        <f>C1</f>
        <v>2021</v>
      </c>
      <c r="E1" s="1365" t="n">
        <f>D1</f>
        <v>2021</v>
      </c>
      <c r="F1" s="1365" t="n">
        <v>2022</v>
      </c>
      <c r="G1" s="1365" t="n">
        <v>2022</v>
      </c>
      <c r="H1" s="1365" t="n">
        <v>2022</v>
      </c>
      <c r="I1" s="1365" t="n">
        <v>2022</v>
      </c>
      <c r="J1" s="1365" t="n">
        <v>2023</v>
      </c>
      <c r="K1" s="1365" t="n">
        <v>2023</v>
      </c>
      <c r="L1" s="1365" t="n">
        <v>2023</v>
      </c>
      <c r="M1" s="1365" t="n">
        <v>2023</v>
      </c>
      <c r="N1" s="1365" t="n">
        <v>2024</v>
      </c>
      <c r="O1" s="1365" t="n">
        <v>2024</v>
      </c>
      <c r="P1" s="1365" t="n">
        <v>2024</v>
      </c>
      <c r="Q1" s="1365" t="n">
        <v>2024</v>
      </c>
      <c r="R1" s="1365" t="n">
        <v>2025</v>
      </c>
      <c r="S1" s="1365" t="n">
        <v>2025</v>
      </c>
      <c r="T1" s="1365" t="n">
        <v>2025</v>
      </c>
      <c r="U1" s="1365" t="n">
        <v>2025</v>
      </c>
      <c r="V1" s="1365" t="n">
        <v>2026</v>
      </c>
    </row>
    <row r="2">
      <c r="B2" s="1318" t="s">
        <v>817</v>
      </c>
      <c r="C2" s="123" t="s">
        <v>295</v>
      </c>
      <c r="D2" s="123" t="s">
        <v>296</v>
      </c>
      <c r="E2" s="123" t="s">
        <v>180</v>
      </c>
      <c r="F2" s="123" t="s">
        <v>181</v>
      </c>
      <c r="G2" s="123" t="s">
        <v>182</v>
      </c>
      <c r="H2" s="123" t="s">
        <v>183</v>
      </c>
      <c r="I2" s="123" t="s">
        <v>184</v>
      </c>
      <c r="J2" s="123" t="s">
        <v>185</v>
      </c>
      <c r="K2" s="123" t="s">
        <v>186</v>
      </c>
      <c r="L2" s="123" t="s">
        <v>187</v>
      </c>
      <c r="M2" s="123" t="s">
        <v>188</v>
      </c>
      <c r="N2" s="123" t="s">
        <v>189</v>
      </c>
      <c r="O2" s="123" t="s">
        <v>190</v>
      </c>
      <c r="P2" s="123" t="s">
        <v>191</v>
      </c>
      <c r="Q2" s="123" t="s">
        <v>175</v>
      </c>
      <c r="R2" s="123" t="s">
        <v>176</v>
      </c>
      <c r="S2" s="123" t="s">
        <v>177</v>
      </c>
      <c r="T2" s="123" t="s">
        <v>818</v>
      </c>
      <c r="U2" s="123" t="s">
        <v>819</v>
      </c>
      <c r="V2" s="123" t="s">
        <v>820</v>
      </c>
    </row>
    <row r="3">
      <c r="A3" s="1318" t="n">
        <v>3</v>
      </c>
      <c r="B3" s="1318" t="s">
        <v>581</v>
      </c>
      <c r="C3" s="1366" t="n">
        <f>4*'ARP Timing'!B6*VLOOKUP(C$1,'ARP Score'!$A$5:$M14,$A3)</f>
        <v>0</v>
      </c>
      <c r="D3" s="1366" t="n">
        <f>4*'ARP Timing'!C6*VLOOKUP(D$1,'ARP Score'!$A$5:$M14,$A3)</f>
        <v>336.60399999999998</v>
      </c>
      <c r="E3" s="1366" t="n">
        <f>4*'ARP Timing'!D6*VLOOKUP(E$1,'ARP Score'!$A$5:$M14,$A3)</f>
        <v>446.19599999999991</v>
      </c>
      <c r="F3" s="1366" t="n">
        <f>4*'ARP Timing'!E6*VLOOKUP(F$1,'ARP Score'!$A$5:$M14,$A3)</f>
        <v>10.1</v>
      </c>
      <c r="G3" s="1366" t="n">
        <f>4*'ARP Timing'!F6*VLOOKUP(G$1,'ARP Score'!$A$5:$M14,$A3)</f>
        <v>10.1</v>
      </c>
      <c r="H3" s="1366" t="n">
        <f>4*'ARP Timing'!G6*VLOOKUP(H$1,'ARP Score'!$A$5:$M14,$A3)</f>
        <v>10.1</v>
      </c>
      <c r="I3" s="1366" t="n">
        <f>4*'ARP Timing'!H6*VLOOKUP(I$1,'ARP Score'!$A$5:$M14,$A3)</f>
        <v>10.1</v>
      </c>
      <c r="J3" s="1366" t="n">
        <f>4*'ARP Timing'!I6*VLOOKUP(J$1,'ARP Score'!$A$5:$M14,$A3)</f>
        <v>0</v>
      </c>
      <c r="K3" s="1366" t="n">
        <f>4*'ARP Timing'!J6*VLOOKUP(K$1,'ARP Score'!$A$5:$M14,$A3)</f>
        <v>0</v>
      </c>
      <c r="L3" s="1366" t="n">
        <f>4*'ARP Timing'!K6*VLOOKUP(L$1,'ARP Score'!$A$5:$M14,$A3)</f>
        <v>0</v>
      </c>
      <c r="M3" s="1366" t="n">
        <f>4*'ARP Timing'!L6*VLOOKUP(M$1,'ARP Score'!$A$5:$M14,$A3)</f>
        <v>0</v>
      </c>
      <c r="N3" s="1366" t="n">
        <f>4*'ARP Timing'!M6*VLOOKUP(N$1,'ARP Score'!$A$5:$M14,$A3)</f>
        <v>0</v>
      </c>
      <c r="O3" s="1366" t="n">
        <f>4*'ARP Timing'!N6*VLOOKUP(O$1,'ARP Score'!$A$5:$M14,$A3)</f>
        <v>0</v>
      </c>
      <c r="P3" s="1366" t="n">
        <f>4*'ARP Timing'!O6*VLOOKUP(P$1,'ARP Score'!$A$5:$M14,$A3)</f>
        <v>0</v>
      </c>
      <c r="Q3" s="1366" t="n">
        <f>4*'ARP Timing'!P6*VLOOKUP(Q$1,'ARP Score'!$A$5:$M14,$A3)</f>
        <v>0</v>
      </c>
      <c r="R3" s="1366" t="n">
        <f>4*'ARP Timing'!Q6*VLOOKUP(R$1,'ARP Score'!$A$5:$M14,$A3)</f>
        <v>0</v>
      </c>
      <c r="S3" s="1366" t="n">
        <f>4*'ARP Timing'!R6*VLOOKUP(S$1,'ARP Score'!$A$5:$M14,$A3)</f>
        <v>0</v>
      </c>
      <c r="T3" s="1366" t="n">
        <f>4*'ARP Timing'!S6*VLOOKUP(T$1,'ARP Score'!$A$5:$M14,$A3)</f>
        <v>0</v>
      </c>
      <c r="U3" s="1366" t="n">
        <f>4*'ARP Timing'!T6*VLOOKUP(U$1,'ARP Score'!$A$5:$M14,$A3)</f>
        <v>0</v>
      </c>
      <c r="V3" s="1366" t="n">
        <f>4*'ARP Timing'!U6*VLOOKUP(V$1,'ARP Score'!$A$5:$M14,$A3)</f>
        <v>0</v>
      </c>
      <c r="W3" s="1366" t="n">
        <f>SUM(C3:U3)/4</f>
        <v>205.8</v>
      </c>
    </row>
    <row r="4">
      <c r="A4" s="1318" t="n">
        <v>5</v>
      </c>
      <c r="B4" s="61" t="s">
        <v>728</v>
      </c>
      <c r="C4" s="1366" t="n">
        <f>4*'ARP Timing'!B7*VLOOKUP(C$1,'ARP Score'!$A$5:$M15,$A4)</f>
        <v>0</v>
      </c>
      <c r="D4" s="1366" t="n">
        <f>4*'ARP Timing'!C7*VLOOKUP(D$1,'ARP Score'!$A$5:$M15,$A4)</f>
        <v>0</v>
      </c>
      <c r="E4" s="1366" t="n">
        <f>4*'ARP Timing'!D7*VLOOKUP(E$1,'ARP Score'!$A$5:$M15,$A4)</f>
        <v>3.1040000000000418</v>
      </c>
      <c r="F4" s="1366" t="n">
        <f>4*'ARP Timing'!E7*VLOOKUP(F$1,'ARP Score'!$A$5:$M15,$A4)</f>
        <v>19.719000000000005</v>
      </c>
      <c r="G4" s="1366" t="n">
        <f>4*'ARP Timing'!F7*VLOOKUP(G$1,'ARP Score'!$A$5:$M15,$A4)</f>
        <v>19.719000000000005</v>
      </c>
      <c r="H4" s="1366" t="n">
        <f>4*'ARP Timing'!G7*VLOOKUP(H$1,'ARP Score'!$A$5:$M15,$A4)</f>
        <v>19.719000000000005</v>
      </c>
      <c r="I4" s="1366" t="n">
        <f>4*'ARP Timing'!H7*VLOOKUP(I$1,'ARP Score'!$A$5:$M15,$A4)</f>
        <v>19.719000000000005</v>
      </c>
      <c r="J4" s="1366" t="n">
        <f>4*'ARP Timing'!I7*VLOOKUP(J$1,'ARP Score'!$A$5:$M15,$A4)</f>
        <v>1.4159999999999999</v>
      </c>
      <c r="K4" s="1366" t="n">
        <f>4*'ARP Timing'!J7*VLOOKUP(K$1,'ARP Score'!$A$5:$M15,$A4)</f>
        <v>1.4159999999999999</v>
      </c>
      <c r="L4" s="1366" t="n">
        <f>4*'ARP Timing'!K7*VLOOKUP(L$1,'ARP Score'!$A$5:$M15,$A4)</f>
        <v>1.4159999999999999</v>
      </c>
      <c r="M4" s="1366" t="n">
        <f>4*'ARP Timing'!L7*VLOOKUP(M$1,'ARP Score'!$A$5:$M15,$A4)</f>
        <v>1.4159999999999999</v>
      </c>
      <c r="N4" s="1366" t="n">
        <f>4*'ARP Timing'!M7*VLOOKUP(N$1,'ARP Score'!$A$5:$M15,$A4)</f>
        <v>1.4790000000000001</v>
      </c>
      <c r="O4" s="1366" t="n">
        <f>4*'ARP Timing'!N7*VLOOKUP(O$1,'ARP Score'!$A$5:$M15,$A4)</f>
        <v>1.4790000000000001</v>
      </c>
      <c r="P4" s="1366" t="n">
        <f>4*'ARP Timing'!O7*VLOOKUP(P$1,'ARP Score'!$A$5:$M15,$A4)</f>
        <v>1.4790000000000001</v>
      </c>
      <c r="Q4" s="1366" t="n">
        <f>4*'ARP Timing'!P7*VLOOKUP(Q$1,'ARP Score'!$A$5:$M15,$A4)</f>
        <v>1.4790000000000001</v>
      </c>
      <c r="R4" s="1366" t="n">
        <f>4*'ARP Timing'!Q7*VLOOKUP(R$1,'ARP Score'!$A$5:$M15,$A4)</f>
        <v>1.63</v>
      </c>
      <c r="S4" s="1366" t="n">
        <f>4*'ARP Timing'!R7*VLOOKUP(S$1,'ARP Score'!$A$5:$M15,$A4)</f>
        <v>1.63</v>
      </c>
      <c r="T4" s="1366" t="n">
        <f>4*'ARP Timing'!S7*VLOOKUP(T$1,'ARP Score'!$A$5:$M15,$A4)</f>
        <v>1.63</v>
      </c>
      <c r="U4" s="1366" t="n">
        <f>4*'ARP Timing'!T7*VLOOKUP(U$1,'ARP Score'!$A$5:$M15,$A4)</f>
        <v>1.63</v>
      </c>
      <c r="V4" s="1366" t="n">
        <f>4*'ARP Timing'!U7*VLOOKUP(V$1,'ARP Score'!$A$5:$M15,$A4)</f>
        <v>1.671</v>
      </c>
      <c r="W4" s="1366" t="n">
        <f>SUM(C4:U4)/4</f>
        <v>25.020000000000007</v>
      </c>
    </row>
    <row r="5">
      <c r="A5" s="1318" t="n">
        <v>6</v>
      </c>
      <c r="B5" s="61" t="s">
        <v>729</v>
      </c>
      <c r="C5" s="1366" t="n">
        <f>4*'ARP Timing'!B8*VLOOKUP(C$1,'ARP Score'!$A$5:$M16,$A5)</f>
        <v>0</v>
      </c>
      <c r="D5" s="1366" t="n">
        <f>4*'ARP Timing'!C8*VLOOKUP(D$1,'ARP Score'!$A$5:$M16,$A5)</f>
        <v>33.921840000000024</v>
      </c>
      <c r="E5" s="1366" t="n">
        <f>4*'ARP Timing'!D8*VLOOKUP(E$1,'ARP Score'!$A$5:$M16,$A5)</f>
        <v>44.966160000000031</v>
      </c>
      <c r="F5" s="1366" t="n">
        <f>4*'ARP Timing'!E8*VLOOKUP(F$1,'ARP Score'!$A$5:$M16,$A5)</f>
        <v>52.756999999999998</v>
      </c>
      <c r="G5" s="1366" t="n">
        <f>4*'ARP Timing'!F8*VLOOKUP(G$1,'ARP Score'!$A$5:$M16,$A5)</f>
        <v>52.756999999999998</v>
      </c>
      <c r="H5" s="1366" t="n">
        <f>4*'ARP Timing'!G8*VLOOKUP(H$1,'ARP Score'!$A$5:$M16,$A5)</f>
        <v>52.756999999999998</v>
      </c>
      <c r="I5" s="1366" t="n">
        <f>4*'ARP Timing'!H8*VLOOKUP(I$1,'ARP Score'!$A$5:$M16,$A5)</f>
        <v>52.756999999999998</v>
      </c>
      <c r="J5" s="1366" t="n">
        <f>4*'ARP Timing'!I8*VLOOKUP(J$1,'ARP Score'!$A$5:$M16,$A5)</f>
        <v>12</v>
      </c>
      <c r="K5" s="1366" t="n">
        <f>4*'ARP Timing'!J8*VLOOKUP(K$1,'ARP Score'!$A$5:$M16,$A5)</f>
        <v>12</v>
      </c>
      <c r="L5" s="1366" t="n">
        <f>4*'ARP Timing'!K8*VLOOKUP(L$1,'ARP Score'!$A$5:$M16,$A5)</f>
        <v>12</v>
      </c>
      <c r="M5" s="1366" t="n">
        <f>4*'ARP Timing'!L8*VLOOKUP(M$1,'ARP Score'!$A$5:$M16,$A5)</f>
        <v>12</v>
      </c>
      <c r="N5" s="1366" t="n">
        <f>4*'ARP Timing'!M8*VLOOKUP(N$1,'ARP Score'!$A$5:$M16,$A5)</f>
        <v>4.2219999999999995</v>
      </c>
      <c r="O5" s="1366" t="n">
        <f>4*'ARP Timing'!N8*VLOOKUP(O$1,'ARP Score'!$A$5:$M16,$A5)</f>
        <v>4.2219999999999995</v>
      </c>
      <c r="P5" s="1366" t="n">
        <f>4*'ARP Timing'!O8*VLOOKUP(P$1,'ARP Score'!$A$5:$M16,$A5)</f>
        <v>4.2219999999999995</v>
      </c>
      <c r="Q5" s="1366" t="n">
        <f>4*'ARP Timing'!P8*VLOOKUP(Q$1,'ARP Score'!$A$5:$M16,$A5)</f>
        <v>4.2219999999999995</v>
      </c>
      <c r="R5" s="1366" t="n">
        <f>4*'ARP Timing'!Q8*VLOOKUP(R$1,'ARP Score'!$A$5:$M16,$A5)</f>
        <v>2.3719999999999999</v>
      </c>
      <c r="S5" s="1366" t="n">
        <f>4*'ARP Timing'!R8*VLOOKUP(S$1,'ARP Score'!$A$5:$M16,$A5)</f>
        <v>2.3719999999999999</v>
      </c>
      <c r="T5" s="1366" t="n">
        <f>4*'ARP Timing'!S8*VLOOKUP(T$1,'ARP Score'!$A$5:$M16,$A5)</f>
        <v>2.3719999999999999</v>
      </c>
      <c r="U5" s="1366" t="n">
        <f>4*'ARP Timing'!T8*VLOOKUP(U$1,'ARP Score'!$A$5:$M16,$A5)</f>
        <v>2.3719999999999999</v>
      </c>
      <c r="V5" s="1366" t="n">
        <f>4*'ARP Timing'!U8*VLOOKUP(V$1,'ARP Score'!$A$5:$M16,$A5)</f>
        <v>0.49</v>
      </c>
      <c r="W5" s="1366" t="n">
        <f t="shared" ref="W5:W15" si="0">SUM(C5:U5)/4</f>
        <v>91.073000000000008</v>
      </c>
    </row>
    <row r="6">
      <c r="A6" s="1318" t="n">
        <v>7</v>
      </c>
      <c r="B6" s="61" t="s">
        <v>821</v>
      </c>
      <c r="C6" s="1366" t="n">
        <f>4*'ARP Timing'!B9*VLOOKUP(C$1,'ARP Score'!$A$5:$M17,$A6)</f>
        <v>0</v>
      </c>
      <c r="D6" s="1366" t="n">
        <f>4*'ARP Timing'!C9*VLOOKUP(D$1,'ARP Score'!$A$5:$M17,$A6)</f>
        <v>58.782959999999989</v>
      </c>
      <c r="E6" s="1366" t="n">
        <f>4*'ARP Timing'!D9*VLOOKUP(E$1,'ARP Score'!$A$5:$M17,$A6)</f>
        <v>267.78904</v>
      </c>
      <c r="F6" s="1366" t="n">
        <f>4*'ARP Timing'!E9*VLOOKUP(F$1,'ARP Score'!$A$5:$M17,$A6)</f>
        <v>110.24799999999999</v>
      </c>
      <c r="G6" s="1366" t="n">
        <f>4*'ARP Timing'!F9*VLOOKUP(G$1,'ARP Score'!$A$5:$M17,$A6)</f>
        <v>110.24799999999999</v>
      </c>
      <c r="H6" s="1366" t="n">
        <f>4*'ARP Timing'!G9*VLOOKUP(H$1,'ARP Score'!$A$5:$M17,$A6)</f>
        <v>110.24799999999999</v>
      </c>
      <c r="I6" s="1366" t="n">
        <f>4*'ARP Timing'!H9*VLOOKUP(I$1,'ARP Score'!$A$5:$M17,$A6)</f>
        <v>110.24799999999999</v>
      </c>
      <c r="J6" s="1366" t="n">
        <f>4*'ARP Timing'!I9*VLOOKUP(J$1,'ARP Score'!$A$5:$M17,$A6)</f>
        <v>12.726000000000001</v>
      </c>
      <c r="K6" s="1366" t="n">
        <f>4*'ARP Timing'!J9*VLOOKUP(K$1,'ARP Score'!$A$5:$M17,$A6)</f>
        <v>12.726000000000001</v>
      </c>
      <c r="L6" s="1366" t="n">
        <f>4*'ARP Timing'!K9*VLOOKUP(L$1,'ARP Score'!$A$5:$M17,$A6)</f>
        <v>12.726000000000001</v>
      </c>
      <c r="M6" s="1366" t="n">
        <f>4*'ARP Timing'!L9*VLOOKUP(M$1,'ARP Score'!$A$5:$M17,$A6)</f>
        <v>12.726000000000001</v>
      </c>
      <c r="N6" s="1366" t="n">
        <f>4*'ARP Timing'!M9*VLOOKUP(N$1,'ARP Score'!$A$5:$M17,$A6)</f>
        <v>1.365</v>
      </c>
      <c r="O6" s="1366" t="n">
        <f>4*'ARP Timing'!N9*VLOOKUP(O$1,'ARP Score'!$A$5:$M17,$A6)</f>
        <v>1.365</v>
      </c>
      <c r="P6" s="1366" t="n">
        <f>4*'ARP Timing'!O9*VLOOKUP(P$1,'ARP Score'!$A$5:$M17,$A6)</f>
        <v>1.365</v>
      </c>
      <c r="Q6" s="1366" t="n">
        <f>4*'ARP Timing'!P9*VLOOKUP(Q$1,'ARP Score'!$A$5:$M17,$A6)</f>
        <v>1.365</v>
      </c>
      <c r="R6" s="1366" t="n">
        <f>4*'ARP Timing'!Q9*VLOOKUP(R$1,'ARP Score'!$A$5:$M17,$A6)</f>
        <v>-0.90100000000000025</v>
      </c>
      <c r="S6" s="1366" t="n">
        <f>4*'ARP Timing'!R9*VLOOKUP(S$1,'ARP Score'!$A$5:$M17,$A6)</f>
        <v>-0.90100000000000025</v>
      </c>
      <c r="T6" s="1366" t="n">
        <f>4*'ARP Timing'!S9*VLOOKUP(T$1,'ARP Score'!$A$5:$M17,$A6)</f>
        <v>-0.90100000000000025</v>
      </c>
      <c r="U6" s="1366" t="n">
        <f>4*'ARP Timing'!T9*VLOOKUP(U$1,'ARP Score'!$A$5:$M17,$A6)</f>
        <v>-0.90100000000000025</v>
      </c>
      <c r="V6" s="1366" t="n">
        <f>4*'ARP Timing'!U9*VLOOKUP(V$1,'ARP Score'!$A$5:$M17,$A6)</f>
        <v>-2.1500000000000004</v>
      </c>
      <c r="W6" s="1366" t="n">
        <f t="shared" si="0"/>
        <v>205.08100000000007</v>
      </c>
    </row>
    <row r="7">
      <c r="A7" s="1318" t="n">
        <v>8</v>
      </c>
      <c r="B7" s="61" t="s">
        <v>131</v>
      </c>
      <c r="C7" s="1366" t="n">
        <f>4*'ARP Timing'!B10*VLOOKUP(C$1,'ARP Score'!$A$5:$M18,$A7)</f>
        <v>0</v>
      </c>
      <c r="D7" s="1366" t="n">
        <f>4*'ARP Timing'!C10*VLOOKUP(D$1,'ARP Score'!$A$5:$M18,$A7)</f>
        <v>15.596</v>
      </c>
      <c r="E7" s="1366" t="n">
        <f>4*'ARP Timing'!D10*VLOOKUP(E$1,'ARP Score'!$A$5:$M18,$A7)</f>
        <v>15.596</v>
      </c>
      <c r="F7" s="1366" t="n">
        <f>4*'ARP Timing'!E10*VLOOKUP(F$1,'ARP Score'!$A$5:$M18,$A7)</f>
        <v>7.9489999999999998</v>
      </c>
      <c r="G7" s="1366" t="n">
        <f>4*'ARP Timing'!F10*VLOOKUP(G$1,'ARP Score'!$A$5:$M18,$A7)</f>
        <v>7.9489999999999998</v>
      </c>
      <c r="H7" s="1366" t="n">
        <f>4*'ARP Timing'!G10*VLOOKUP(H$1,'ARP Score'!$A$5:$M18,$A7)</f>
        <v>7.9489999999999998</v>
      </c>
      <c r="I7" s="1366" t="n">
        <f>4*'ARP Timing'!H10*VLOOKUP(I$1,'ARP Score'!$A$5:$M18,$A7)</f>
        <v>7.9489999999999998</v>
      </c>
      <c r="J7" s="1366" t="n">
        <f>4*'ARP Timing'!I10*VLOOKUP(J$1,'ARP Score'!$A$5:$M18,$A7)</f>
        <v>4.7519999999999998</v>
      </c>
      <c r="K7" s="1366" t="n">
        <f>4*'ARP Timing'!J10*VLOOKUP(K$1,'ARP Score'!$A$5:$M18,$A7)</f>
        <v>4.7519999999999998</v>
      </c>
      <c r="L7" s="1366" t="n">
        <f>4*'ARP Timing'!K10*VLOOKUP(L$1,'ARP Score'!$A$5:$M18,$A7)</f>
        <v>4.7519999999999998</v>
      </c>
      <c r="M7" s="1366" t="n">
        <f>4*'ARP Timing'!L10*VLOOKUP(M$1,'ARP Score'!$A$5:$M18,$A7)</f>
        <v>4.7519999999999998</v>
      </c>
      <c r="N7" s="1366" t="n">
        <f>4*'ARP Timing'!M10*VLOOKUP(N$1,'ARP Score'!$A$5:$M18,$A7)</f>
        <v>4.637999999999999</v>
      </c>
      <c r="O7" s="1366" t="n">
        <f>4*'ARP Timing'!N10*VLOOKUP(O$1,'ARP Score'!$A$5:$M18,$A7)</f>
        <v>4.637999999999999</v>
      </c>
      <c r="P7" s="1366" t="n">
        <f>4*'ARP Timing'!O10*VLOOKUP(P$1,'ARP Score'!$A$5:$M18,$A7)</f>
        <v>4.637999999999999</v>
      </c>
      <c r="Q7" s="1366" t="n">
        <f>4*'ARP Timing'!P10*VLOOKUP(Q$1,'ARP Score'!$A$5:$M18,$A7)</f>
        <v>4.637999999999999</v>
      </c>
      <c r="R7" s="1366" t="n">
        <f>4*'ARP Timing'!Q10*VLOOKUP(R$1,'ARP Score'!$A$5:$M18,$A7)</f>
        <v>1.8800000000000001</v>
      </c>
      <c r="S7" s="1366" t="n">
        <f>4*'ARP Timing'!R10*VLOOKUP(S$1,'ARP Score'!$A$5:$M18,$A7)</f>
        <v>1.8800000000000001</v>
      </c>
      <c r="T7" s="1366" t="n">
        <f>4*'ARP Timing'!S10*VLOOKUP(T$1,'ARP Score'!$A$5:$M18,$A7)</f>
        <v>1.8800000000000001</v>
      </c>
      <c r="U7" s="1366" t="n">
        <f>4*'ARP Timing'!T10*VLOOKUP(U$1,'ARP Score'!$A$5:$M18,$A7)</f>
        <v>1.8800000000000001</v>
      </c>
      <c r="V7" s="1366" t="n">
        <f>4*'ARP Timing'!U10*VLOOKUP(V$1,'ARP Score'!$A$5:$M18,$A7)</f>
        <v>1.446</v>
      </c>
      <c r="W7" s="1366" t="n">
        <f t="shared" si="0"/>
        <v>27.016999999999996</v>
      </c>
    </row>
    <row r="8">
      <c r="A8" s="1318" t="n">
        <v>9</v>
      </c>
      <c r="B8" s="1368" t="s">
        <v>395</v>
      </c>
      <c r="C8" s="1366" t="n">
        <f>4*'ARP Timing'!B$11*VLOOKUP(C$1,'ARP Score'!$A$5:$M19,$A8)</f>
        <v>0</v>
      </c>
      <c r="D8" s="1366" t="n">
        <f>0.6*SUM('ARP Score'!B5:B7)*4</f>
        <v>989.16719999999987</v>
      </c>
      <c r="E8" s="1365" t="n">
        <v>0</v>
      </c>
      <c r="F8" s="1366" t="n">
        <v>0</v>
      </c>
      <c r="G8" s="1366" t="n">
        <v>0</v>
      </c>
      <c r="H8" s="1366" t="n">
        <f>D8*0.4/0.6</f>
        <v>659.44479999999999</v>
      </c>
      <c r="I8" s="1366" t="n">
        <v>0</v>
      </c>
      <c r="J8" s="1318" t="n">
        <v>0</v>
      </c>
      <c r="K8" s="1366" t="n">
        <v>0</v>
      </c>
      <c r="L8" s="1366" t="n">
        <v>0</v>
      </c>
      <c r="M8" s="1366" t="n">
        <v>0</v>
      </c>
      <c r="N8" s="1366" t="n">
        <v>0</v>
      </c>
      <c r="O8" s="1366" t="n">
        <v>0</v>
      </c>
      <c r="P8" s="1366" t="n">
        <v>0</v>
      </c>
      <c r="Q8" s="1366" t="n">
        <v>0</v>
      </c>
      <c r="R8" s="1366" t="n">
        <v>0</v>
      </c>
      <c r="S8" s="1366" t="n">
        <v>0</v>
      </c>
      <c r="T8" s="1366" t="n">
        <v>0</v>
      </c>
      <c r="U8" s="1366" t="n">
        <v>0</v>
      </c>
      <c r="V8" s="1366" t="n">
        <v>0</v>
      </c>
      <c r="W8" s="1366" t="n">
        <f t="shared" si="0"/>
        <v>412.15299999999996</v>
      </c>
    </row>
    <row r="9">
      <c r="A9" s="1318" t="n">
        <v>10</v>
      </c>
      <c r="B9" s="1368" t="s">
        <v>150</v>
      </c>
      <c r="C9" s="1366" t="n">
        <f>4*'ARP Timing'!B$11*VLOOKUP(C$1,'ARP Score'!$A$5:$M20,$A9)</f>
        <v>0</v>
      </c>
      <c r="D9" s="1366" t="n">
        <f>4*'ARP Timing'!C$11*VLOOKUP(D$1,'ARP Score'!$A$5:$M20,$A9)</f>
        <v>24.693999999999999</v>
      </c>
      <c r="E9" s="1366" t="n">
        <f>4*'ARP Timing'!D$11*VLOOKUP(E$1,'ARP Score'!$A$5:$M20,$A9)</f>
        <v>24.693999999999999</v>
      </c>
      <c r="F9" s="1366" t="n">
        <f>4*'ARP Timing'!E$11*VLOOKUP(F$1,'ARP Score'!$A$5:$M20,$A9)</f>
        <v>46.79</v>
      </c>
      <c r="G9" s="1366" t="n">
        <f>4*'ARP Timing'!F$11*VLOOKUP(G$1,'ARP Score'!$A$5:$M20,$A9)</f>
        <v>46.79</v>
      </c>
      <c r="H9" s="1366" t="n">
        <f>4*'ARP Timing'!G$11*VLOOKUP(H$1,'ARP Score'!$A$5:$M20,$A9)</f>
        <v>46.79</v>
      </c>
      <c r="I9" s="1366" t="n">
        <f>4*'ARP Timing'!H$11*VLOOKUP(I$1,'ARP Score'!$A$5:$M20,$A9)</f>
        <v>46.79</v>
      </c>
      <c r="J9" s="1366" t="n">
        <f>4*'ARP Timing'!I$11*VLOOKUP(J$1,'ARP Score'!$A$5:$M20,$A9)</f>
        <v>38.595999999999997</v>
      </c>
      <c r="K9" s="1366" t="n">
        <f>4*'ARP Timing'!J$11*VLOOKUP(K$1,'ARP Score'!$A$5:$M20,$A9)</f>
        <v>38.595999999999997</v>
      </c>
      <c r="L9" s="1366" t="n">
        <f>4*'ARP Timing'!K$11*VLOOKUP(L$1,'ARP Score'!$A$5:$M20,$A9)</f>
        <v>38.595999999999997</v>
      </c>
      <c r="M9" s="1366" t="n">
        <f>4*'ARP Timing'!L$11*VLOOKUP(M$1,'ARP Score'!$A$5:$M20,$A9)</f>
        <v>38.595999999999997</v>
      </c>
      <c r="N9" s="1366" t="n">
        <f>4*'ARP Timing'!M$11*VLOOKUP(N$1,'ARP Score'!$A$5:$M20,$A9)</f>
        <v>31.911000000000001</v>
      </c>
      <c r="O9" s="1366" t="n">
        <f>4*'ARP Timing'!N$11*VLOOKUP(O$1,'ARP Score'!$A$5:$M20,$A9)</f>
        <v>31.911000000000001</v>
      </c>
      <c r="P9" s="1366" t="n">
        <f>4*'ARP Timing'!O$11*VLOOKUP(P$1,'ARP Score'!$A$5:$M20,$A9)</f>
        <v>31.911000000000001</v>
      </c>
      <c r="Q9" s="1366" t="n">
        <f>4*'ARP Timing'!P$11*VLOOKUP(Q$1,'ARP Score'!$A$5:$M20,$A9)</f>
        <v>31.911000000000001</v>
      </c>
      <c r="R9" s="1366" t="n">
        <f>4*'ARP Timing'!Q$11*VLOOKUP(R$1,'ARP Score'!$A$5:$M20,$A9)</f>
        <v>23.099</v>
      </c>
      <c r="S9" s="1366" t="n">
        <f>4*'ARP Timing'!R$11*VLOOKUP(S$1,'ARP Score'!$A$5:$M20,$A9)</f>
        <v>23.099</v>
      </c>
      <c r="T9" s="1366" t="n">
        <f>4*'ARP Timing'!S$11*VLOOKUP(T$1,'ARP Score'!$A$5:$M20,$A9)</f>
        <v>23.099</v>
      </c>
      <c r="U9" s="1366" t="n">
        <f>4*'ARP Timing'!T$11*VLOOKUP(U$1,'ARP Score'!$A$5:$M20,$A9)</f>
        <v>23.099</v>
      </c>
      <c r="V9" s="1366" t="n">
        <f>4*'ARP Timing'!U$11*VLOOKUP(V$1,'ARP Score'!$A$5:$M20,$A9)</f>
        <v>10.766999999999999</v>
      </c>
      <c r="W9" s="1366" t="n">
        <f t="shared" si="0"/>
        <v>152.74300000000005</v>
      </c>
    </row>
    <row r="10">
      <c r="A10" s="1372" t="n">
        <v>11</v>
      </c>
      <c r="B10" s="1368" t="s">
        <v>411</v>
      </c>
      <c r="C10" s="1366" t="n">
        <f>4*'ARP Timing'!B$11*VLOOKUP(C$1,'ARP Score'!$A$5:$M22,$A10)</f>
        <v>0</v>
      </c>
      <c r="D10" s="1366" t="n">
        <f>4*'ARP Timing'!C$11*VLOOKUP(D$1,'ARP Score'!$A$5:$M22,$A10)</f>
        <v>59.256</v>
      </c>
      <c r="E10" s="1366" t="n">
        <f>4*'ARP Timing'!D$11*VLOOKUP(E$1,'ARP Score'!$A$5:$M22,$A10)</f>
        <v>59.256</v>
      </c>
      <c r="F10" s="1366" t="n">
        <f>4*'ARP Timing'!E$11*VLOOKUP(F$1,'ARP Score'!$A$5:$M22,$A10)</f>
        <v>35.671000000000006</v>
      </c>
      <c r="G10" s="1366" t="n">
        <f>4*'ARP Timing'!F$11*VLOOKUP(G$1,'ARP Score'!$A$5:$M22,$A10)</f>
        <v>35.671000000000006</v>
      </c>
      <c r="H10" s="1366" t="n">
        <f>4*'ARP Timing'!G$11*VLOOKUP(H$1,'ARP Score'!$A$5:$M22,$A10)</f>
        <v>35.671000000000006</v>
      </c>
      <c r="I10" s="1366" t="n">
        <f>4*'ARP Timing'!H$11*VLOOKUP(I$1,'ARP Score'!$A$5:$M22,$A10)</f>
        <v>35.671000000000006</v>
      </c>
      <c r="J10" s="1366" t="n">
        <f>4*'ARP Timing'!I$11*VLOOKUP(J$1,'ARP Score'!$A$5:$M22,$A10)</f>
        <v>24.216000000000001</v>
      </c>
      <c r="K10" s="1366" t="n">
        <f>4*'ARP Timing'!J$11*VLOOKUP(K$1,'ARP Score'!$A$5:$M22,$A10)</f>
        <v>24.216000000000001</v>
      </c>
      <c r="L10" s="1366" t="n">
        <f>4*'ARP Timing'!K$11*VLOOKUP(L$1,'ARP Score'!$A$5:$M22,$A10)</f>
        <v>24.216000000000001</v>
      </c>
      <c r="M10" s="1366" t="n">
        <f>4*'ARP Timing'!L$11*VLOOKUP(M$1,'ARP Score'!$A$5:$M22,$A10)</f>
        <v>24.216000000000001</v>
      </c>
      <c r="N10" s="1366" t="n">
        <f>4*'ARP Timing'!M$11*VLOOKUP(N$1,'ARP Score'!$A$5:$M22,$A10)</f>
        <v>9.6430000000000007</v>
      </c>
      <c r="O10" s="1366" t="n">
        <f>4*'ARP Timing'!N$11*VLOOKUP(O$1,'ARP Score'!$A$5:$M22,$A10)</f>
        <v>9.6430000000000007</v>
      </c>
      <c r="P10" s="1366" t="n">
        <f>4*'ARP Timing'!O$11*VLOOKUP(P$1,'ARP Score'!$A$5:$M22,$A10)</f>
        <v>9.6430000000000007</v>
      </c>
      <c r="Q10" s="1366" t="n">
        <f>4*'ARP Timing'!P$11*VLOOKUP(Q$1,'ARP Score'!$A$5:$M22,$A10)</f>
        <v>9.6430000000000007</v>
      </c>
      <c r="R10" s="1366" t="n">
        <f>4*'ARP Timing'!Q$11*VLOOKUP(R$1,'ARP Score'!$A$5:$M22,$A10)</f>
        <v>4.5789999999999997</v>
      </c>
      <c r="S10" s="1366" t="n">
        <f>4*'ARP Timing'!R$11*VLOOKUP(S$1,'ARP Score'!$A$5:$M22,$A10)</f>
        <v>4.5789999999999997</v>
      </c>
      <c r="T10" s="1366" t="n">
        <f>4*'ARP Timing'!S$11*VLOOKUP(T$1,'ARP Score'!$A$5:$M22,$A10)</f>
        <v>4.5789999999999997</v>
      </c>
      <c r="U10" s="1366" t="n">
        <f>4*'ARP Timing'!T$11*VLOOKUP(U$1,'ARP Score'!$A$5:$M22,$A10)</f>
        <v>4.5789999999999997</v>
      </c>
      <c r="V10" s="1366" t="n">
        <f>4*'ARP Timing'!U$11*VLOOKUP(V$1,'ARP Score'!$A$5:$M22,$A10)</f>
        <v>2.9130000000000003</v>
      </c>
      <c r="W10" s="1366" t="n">
        <f t="shared" si="0"/>
        <v>103.73700000000002</v>
      </c>
    </row>
    <row r="11">
      <c r="A11" s="1318" t="n">
        <v>12</v>
      </c>
      <c r="B11" s="34" t="s">
        <v>159</v>
      </c>
      <c r="C11" s="1366" t="n">
        <f>4*'ARP Timing'!B12*VLOOKUP(C$1,'ARP Score'!$A$5:$M20,$A11)</f>
        <v>103</v>
      </c>
      <c r="D11" s="1366" t="n">
        <f>4*'ARP Timing'!C12*VLOOKUP(D$1,'ARP Score'!$A$5:$M20,$A11)</f>
        <v>0</v>
      </c>
      <c r="E11" s="1366" t="n">
        <f>4*'ARP Timing'!D12*VLOOKUP(E$1,'ARP Score'!$A$5:$M20,$A11)</f>
        <v>0</v>
      </c>
      <c r="F11" s="1366" t="n">
        <f>4*'ARP Timing'!E12*VLOOKUP(F$1,'ARP Score'!$A$5:$M20,$A11)</f>
        <v>0</v>
      </c>
      <c r="G11" s="1366" t="n">
        <f>4*'ARP Timing'!F12*VLOOKUP(G$1,'ARP Score'!$A$5:$M20,$A11)</f>
        <v>0</v>
      </c>
      <c r="H11" s="1366" t="n">
        <f>4*'ARP Timing'!G12*VLOOKUP(H$1,'ARP Score'!$A$5:$M20,$A11)</f>
        <v>0</v>
      </c>
      <c r="I11" s="1366" t="n">
        <f>4*'ARP Timing'!H12*VLOOKUP(I$1,'ARP Score'!$A$5:$M20,$A11)</f>
        <v>0</v>
      </c>
      <c r="J11" s="1366" t="n">
        <f>4*'ARP Timing'!I12*VLOOKUP(J$1,'ARP Score'!$A$5:$M20,$A11)</f>
        <v>0</v>
      </c>
      <c r="K11" s="1366" t="n">
        <f>4*'ARP Timing'!J12*VLOOKUP(K$1,'ARP Score'!$A$5:$M20,$A11)</f>
        <v>0</v>
      </c>
      <c r="L11" s="1366" t="n">
        <f>4*'ARP Timing'!K12*VLOOKUP(L$1,'ARP Score'!$A$5:$M20,$A11)</f>
        <v>0</v>
      </c>
      <c r="M11" s="1366" t="n">
        <f>4*'ARP Timing'!L12*VLOOKUP(M$1,'ARP Score'!$A$5:$M20,$A11)</f>
        <v>0</v>
      </c>
      <c r="N11" s="1366" t="n">
        <f>4*'ARP Timing'!M12*VLOOKUP(N$1,'ARP Score'!$A$5:$M20,$A11)</f>
        <v>0</v>
      </c>
      <c r="O11" s="1366" t="n">
        <f>4*'ARP Timing'!N12*VLOOKUP(O$1,'ARP Score'!$A$5:$M20,$A11)</f>
        <v>0</v>
      </c>
      <c r="P11" s="1366" t="n">
        <f>4*'ARP Timing'!O12*VLOOKUP(P$1,'ARP Score'!$A$5:$M20,$A11)</f>
        <v>0</v>
      </c>
      <c r="Q11" s="1366" t="n">
        <f>4*'ARP Timing'!P12*VLOOKUP(Q$1,'ARP Score'!$A$5:$M20,$A11)</f>
        <v>0</v>
      </c>
      <c r="R11" s="1366" t="n">
        <f>4*'ARP Timing'!Q12*VLOOKUP(R$1,'ARP Score'!$A$5:$M20,$A11)</f>
        <v>0</v>
      </c>
      <c r="S11" s="1366" t="n">
        <f>4*'ARP Timing'!R12*VLOOKUP(S$1,'ARP Score'!$A$5:$M20,$A11)</f>
        <v>0</v>
      </c>
      <c r="T11" s="1366" t="n">
        <f>4*'ARP Timing'!S12*VLOOKUP(T$1,'ARP Score'!$A$5:$M20,$A11)</f>
        <v>0</v>
      </c>
      <c r="U11" s="1366" t="n">
        <f>4*'ARP Timing'!T12*VLOOKUP(U$1,'ARP Score'!$A$5:$M20,$A11)</f>
        <v>0</v>
      </c>
      <c r="V11" s="1366" t="n">
        <f>4*'ARP Timing'!U12*VLOOKUP(V$1,'ARP Score'!$A$5:$M20,$A11)</f>
        <v>0</v>
      </c>
      <c r="W11" s="1366" t="n">
        <f t="shared" si="0"/>
        <v>25.75</v>
      </c>
    </row>
    <row r="12">
      <c r="A12" s="1318" t="n">
        <v>13</v>
      </c>
      <c r="B12" s="61" t="s">
        <v>109</v>
      </c>
      <c r="C12" s="1366" t="n">
        <f>4*'ARP Timing'!B13*VLOOKUP(C$1,'ARP Score'!$A$5:$M21,$A12)</f>
        <v>0</v>
      </c>
      <c r="D12" s="1366" t="n">
        <f>4*'ARP Timing'!C13*VLOOKUP(D$1,'ARP Score'!$A$5:$M21,$A12)</f>
        <v>51.102400000000003</v>
      </c>
      <c r="E12" s="1366" t="n">
        <f>4*'ARP Timing'!D13*VLOOKUP(E$1,'ARP Score'!$A$5:$M21,$A12)</f>
        <v>76.653599999999997</v>
      </c>
      <c r="F12" s="1366" t="n">
        <f>4*'ARP Timing'!E13*VLOOKUP(F$1,'ARP Score'!$A$5:$M21,$A12)</f>
        <v>90.260800000000003</v>
      </c>
      <c r="G12" s="1366" t="n">
        <f>4*'ARP Timing'!F13*VLOOKUP(G$1,'ARP Score'!$A$5:$M21,$A12)</f>
        <v>67.695599999999999</v>
      </c>
      <c r="H12" s="1366" t="n">
        <f>4*'ARP Timing'!G13*VLOOKUP(H$1,'ARP Score'!$A$5:$M21,$A12)</f>
        <v>45.130400000000002</v>
      </c>
      <c r="I12" s="1366" t="n">
        <f>4*'ARP Timing'!H13*VLOOKUP(I$1,'ARP Score'!$A$5:$M21,$A12)</f>
        <v>22.565200000000001</v>
      </c>
      <c r="J12" s="1366" t="n">
        <f>4*'ARP Timing'!I13*VLOOKUP(J$1,'ARP Score'!$A$5:$M21,$A12)</f>
        <v>15.652999999999999</v>
      </c>
      <c r="K12" s="1366" t="n">
        <f>4*'ARP Timing'!J13*VLOOKUP(K$1,'ARP Score'!$A$5:$M21,$A12)</f>
        <v>15.652999999999999</v>
      </c>
      <c r="L12" s="1366" t="n">
        <f>4*'ARP Timing'!K13*VLOOKUP(L$1,'ARP Score'!$A$5:$M21,$A12)</f>
        <v>15.652999999999999</v>
      </c>
      <c r="M12" s="1366" t="n">
        <f>4*'ARP Timing'!L13*VLOOKUP(M$1,'ARP Score'!$A$5:$M21,$A12)</f>
        <v>15.652999999999999</v>
      </c>
      <c r="N12" s="1366" t="n">
        <f>4*'ARP Timing'!M13*VLOOKUP(N$1,'ARP Score'!$A$5:$M21,$A12)</f>
        <v>3.9320000000000004</v>
      </c>
      <c r="O12" s="1366" t="n">
        <f>4*'ARP Timing'!N13*VLOOKUP(O$1,'ARP Score'!$A$5:$M21,$A12)</f>
        <v>3.9320000000000004</v>
      </c>
      <c r="P12" s="1366" t="n">
        <f>4*'ARP Timing'!O13*VLOOKUP(P$1,'ARP Score'!$A$5:$M21,$A12)</f>
        <v>3.9320000000000004</v>
      </c>
      <c r="Q12" s="1366" t="n">
        <f>4*'ARP Timing'!P13*VLOOKUP(Q$1,'ARP Score'!$A$5:$M21,$A12)</f>
        <v>3.9320000000000004</v>
      </c>
      <c r="R12" s="1366" t="n">
        <f>4*'ARP Timing'!Q13*VLOOKUP(R$1,'ARP Score'!$A$5:$M21,$A12)</f>
        <v>-0.74299999999999988</v>
      </c>
      <c r="S12" s="1366" t="n">
        <f>4*'ARP Timing'!R13*VLOOKUP(S$1,'ARP Score'!$A$5:$M21,$A12)</f>
        <v>-0.74299999999999988</v>
      </c>
      <c r="T12" s="1366" t="n">
        <f>4*'ARP Timing'!S13*VLOOKUP(T$1,'ARP Score'!$A$5:$M21,$A12)</f>
        <v>-0.74299999999999988</v>
      </c>
      <c r="U12" s="1366" t="n">
        <f>4*'ARP Timing'!T13*VLOOKUP(U$1,'ARP Score'!$A$5:$M21,$A12)</f>
        <v>-0.74299999999999988</v>
      </c>
      <c r="V12" s="1366" t="n">
        <f>4*'ARP Timing'!U13*VLOOKUP(V$1,'ARP Score'!$A$5:$M21,$A12)</f>
        <v>-21.606000000000002</v>
      </c>
      <c r="W12" s="1366" t="n">
        <f t="shared" si="0"/>
        <v>107.19400000000005</v>
      </c>
    </row>
    <row r="13">
      <c r="A13" s="1318" t="n">
        <v>15</v>
      </c>
      <c r="B13" s="1318" t="s">
        <v>822</v>
      </c>
      <c r="C13" s="1366" t="n">
        <f>0.3*'ARP Score'!$N5*4*'ARP Timing'!B6</f>
        <v>0</v>
      </c>
      <c r="D13" s="1366" t="n">
        <f>0.3*'ARP Score'!$N5*4*'ARP Timing'!C6</f>
        <v>1.7544</v>
      </c>
      <c r="E13" s="1366" t="n">
        <f>0.3*'ARP Score'!$N5*4*'ARP Timing'!D6</f>
        <v>2.3255999999999997</v>
      </c>
      <c r="F13" s="1366" t="n">
        <f>0.3*'ARP Score'!$N6*4*'ARP Timing'!E6</f>
        <v>1.5299999999999998</v>
      </c>
      <c r="G13" s="1366" t="n">
        <f>0.3*'ARP Score'!$N6*4*'ARP Timing'!F6</f>
        <v>1.5299999999999998</v>
      </c>
      <c r="H13" s="1366" t="n">
        <f>0.3*'ARP Score'!$N6*4*'ARP Timing'!G6</f>
        <v>1.5299999999999998</v>
      </c>
      <c r="I13" s="1366" t="n">
        <f>0.3*'ARP Score'!$N6*4*'ARP Timing'!H6</f>
        <v>1.5299999999999998</v>
      </c>
      <c r="J13" s="1366" t="n">
        <f>0.3*'ARP Score'!$N7*4*'ARP Timing'!I6</f>
        <v>0</v>
      </c>
      <c r="K13" s="1366" t="n">
        <f>0.3*'ARP Score'!$N7*4*'ARP Timing'!J6</f>
        <v>0</v>
      </c>
      <c r="L13" s="1366" t="n">
        <f>0.3*'ARP Score'!$N7*4*'ARP Timing'!K6</f>
        <v>0</v>
      </c>
      <c r="M13" s="1366" t="n">
        <f>0.3*'ARP Score'!$N7*4*'ARP Timing'!L6</f>
        <v>0</v>
      </c>
      <c r="N13" s="1366" t="n">
        <f>0.3*'ARP Score'!$N7*4*'ARP Timing'!M6</f>
        <v>0</v>
      </c>
      <c r="O13" s="1366" t="n">
        <f>0.3*'ARP Score'!$N7*4*'ARP Timing'!N6</f>
        <v>0</v>
      </c>
      <c r="P13" s="1366" t="n">
        <f>0.3*'ARP Score'!$N7*4*'ARP Timing'!O6</f>
        <v>0</v>
      </c>
      <c r="Q13" s="1366" t="n">
        <f>0.3*'ARP Score'!$N7*4*'ARP Timing'!P6</f>
        <v>0</v>
      </c>
      <c r="R13" s="1366" t="n">
        <f>0.3*'ARP Score'!$N7*4*'ARP Timing'!Q6</f>
        <v>0</v>
      </c>
      <c r="S13" s="1366" t="n">
        <f>0.3*'ARP Score'!$N7*4*'ARP Timing'!R6</f>
        <v>0</v>
      </c>
      <c r="T13" s="1366" t="n">
        <f>0.3*'ARP Score'!$N7*4*'ARP Timing'!S6</f>
        <v>0</v>
      </c>
      <c r="U13" s="1366" t="n">
        <f>0.3*'ARP Score'!$N7*4*'ARP Timing'!T6</f>
        <v>0</v>
      </c>
      <c r="V13" s="1366" t="n">
        <f>0.3*'ARP Score'!$N7*4*'ARP Timing'!U6</f>
        <v>0</v>
      </c>
      <c r="W13" s="1366" t="n">
        <f t="shared" si="0"/>
        <v>2.5499999999999994</v>
      </c>
    </row>
    <row r="14">
      <c r="A14" s="1318" t="n">
        <v>14</v>
      </c>
      <c r="B14" s="1318" t="s">
        <v>823</v>
      </c>
      <c r="C14" s="1366" t="n">
        <f>C13/0.3*0.2</f>
        <v>0</v>
      </c>
      <c r="D14" s="1366" t="n">
        <f t="shared" ref="D14:F14" si="1">D13/0.3*0.2</f>
        <v>1.1696</v>
      </c>
      <c r="E14" s="1366" t="n">
        <f t="shared" si="1"/>
        <v>1.5503999999999998</v>
      </c>
      <c r="F14" s="1366" t="n">
        <f t="shared" si="1"/>
        <v>1.02</v>
      </c>
      <c r="G14" s="1366" t="n">
        <f t="shared" ref="G14" si="2">G13/0.3*0.2</f>
        <v>1.02</v>
      </c>
      <c r="H14" s="1366" t="n">
        <f t="shared" ref="H14" si="3">H13/0.3*0.2</f>
        <v>1.02</v>
      </c>
      <c r="I14" s="1366" t="n">
        <f t="shared" ref="I14" si="4">I13/0.3*0.2</f>
        <v>1.02</v>
      </c>
      <c r="J14" s="1366" t="n">
        <f t="shared" ref="J14" si="5">J13/0.3*0.2</f>
        <v>0</v>
      </c>
      <c r="K14" s="1366" t="n">
        <f t="shared" ref="K14" si="6">K13/0.3*0.2</f>
        <v>0</v>
      </c>
      <c r="L14" s="1366" t="n">
        <f t="shared" ref="L14" si="7">L13/0.3*0.2</f>
        <v>0</v>
      </c>
      <c r="M14" s="1366" t="n">
        <f t="shared" ref="M14" si="8">M13/0.3*0.2</f>
        <v>0</v>
      </c>
      <c r="N14" s="1366" t="n">
        <f t="shared" ref="N14" si="9">N13/0.3*0.2</f>
        <v>0</v>
      </c>
      <c r="O14" s="1366" t="n">
        <f t="shared" ref="O14" si="10">O13/0.3*0.2</f>
        <v>0</v>
      </c>
      <c r="P14" s="1366" t="n">
        <f t="shared" ref="P14" si="11">P13/0.3*0.2</f>
        <v>0</v>
      </c>
      <c r="Q14" s="1366" t="n">
        <f t="shared" ref="Q14" si="12">Q13/0.3*0.2</f>
        <v>0</v>
      </c>
      <c r="R14" s="1366" t="n">
        <f t="shared" ref="R14" si="13">R13/0.3*0.2</f>
        <v>0</v>
      </c>
      <c r="S14" s="1366" t="n">
        <f t="shared" ref="S14" si="14">S13/0.3*0.2</f>
        <v>0</v>
      </c>
      <c r="T14" s="1366" t="n">
        <f t="shared" ref="T14" si="15">T13/0.3*0.2</f>
        <v>0</v>
      </c>
      <c r="U14" s="1366" t="n">
        <f t="shared" ref="U14" si="16">U13/0.3*0.2</f>
        <v>0</v>
      </c>
      <c r="V14" s="1366" t="n">
        <f t="shared" ref="V14" si="17">V13/0.3*0.2</f>
        <v>0</v>
      </c>
      <c r="W14" s="1366" t="n">
        <f t="shared" si="0"/>
        <v>1.6999999999999997</v>
      </c>
    </row>
    <row r="15">
      <c r="A15" s="1318" t="n">
        <v>14</v>
      </c>
      <c r="B15" s="1318" t="s">
        <v>521</v>
      </c>
      <c r="C15" s="1366" t="n">
        <f>C14/0.2*0.5</f>
        <v>0</v>
      </c>
      <c r="D15" s="1366" t="n">
        <f t="shared" ref="D15:F15" si="18">D14/0.2*0.5</f>
        <v>2.9239999999999999</v>
      </c>
      <c r="E15" s="1366" t="n">
        <f t="shared" si="18"/>
        <v>3.8759999999999994</v>
      </c>
      <c r="F15" s="1366" t="n">
        <f t="shared" si="18"/>
        <v>2.5499999999999998</v>
      </c>
      <c r="G15" s="1366" t="n">
        <f t="shared" ref="G15" si="19">G14/0.2*0.5</f>
        <v>2.5499999999999998</v>
      </c>
      <c r="H15" s="1366" t="n">
        <f t="shared" ref="H15" si="20">H14/0.2*0.5</f>
        <v>2.5499999999999998</v>
      </c>
      <c r="I15" s="1366" t="n">
        <f t="shared" ref="I15" si="21">I14/0.2*0.5</f>
        <v>2.5499999999999998</v>
      </c>
      <c r="J15" s="1366" t="n">
        <f t="shared" ref="J15" si="22">J14/0.2*0.5</f>
        <v>0</v>
      </c>
      <c r="K15" s="1366" t="n">
        <f t="shared" ref="K15" si="23">K14/0.2*0.5</f>
        <v>0</v>
      </c>
      <c r="L15" s="1366" t="n">
        <f t="shared" ref="L15" si="24">L14/0.2*0.5</f>
        <v>0</v>
      </c>
      <c r="M15" s="1366" t="n">
        <f t="shared" ref="M15" si="25">M14/0.2*0.5</f>
        <v>0</v>
      </c>
      <c r="N15" s="1366" t="n">
        <f t="shared" ref="N15" si="26">N14/0.2*0.5</f>
        <v>0</v>
      </c>
      <c r="O15" s="1366" t="n">
        <f t="shared" ref="O15" si="27">O14/0.2*0.5</f>
        <v>0</v>
      </c>
      <c r="P15" s="1366" t="n">
        <f t="shared" ref="P15" si="28">P14/0.2*0.5</f>
        <v>0</v>
      </c>
      <c r="Q15" s="1366" t="n">
        <f t="shared" ref="Q15" si="29">Q14/0.2*0.5</f>
        <v>0</v>
      </c>
      <c r="R15" s="1366" t="n">
        <f t="shared" ref="R15" si="30">R14/0.2*0.5</f>
        <v>0</v>
      </c>
      <c r="S15" s="1366" t="n">
        <f t="shared" ref="S15" si="31">S14/0.2*0.5</f>
        <v>0</v>
      </c>
      <c r="T15" s="1366" t="n">
        <f t="shared" ref="T15" si="32">T14/0.2*0.5</f>
        <v>0</v>
      </c>
      <c r="U15" s="1366" t="n">
        <f t="shared" ref="U15" si="33">U14/0.2*0.5</f>
        <v>0</v>
      </c>
      <c r="V15" s="1366" t="n">
        <f t="shared" ref="V15" si="34">V14/0.2*0.5</f>
        <v>0</v>
      </c>
      <c r="W15" s="1366" t="n">
        <f t="shared" si="0"/>
        <v>4.25</v>
      </c>
    </row>
    <row r="16">
      <c r="C16" s="1366"/>
      <c r="D16" s="1366"/>
      <c r="E16" s="1366"/>
      <c r="F16" s="1366"/>
      <c r="G16" s="1366"/>
      <c r="H16" s="1366"/>
      <c r="I16" s="1366"/>
      <c r="J16" s="1366"/>
      <c r="K16" s="1366"/>
      <c r="L16" s="1366"/>
      <c r="M16" s="1366"/>
      <c r="N16" s="1366"/>
      <c r="O16" s="1366"/>
      <c r="P16" s="1366"/>
      <c r="Q16" s="1366"/>
      <c r="R16" s="1366"/>
      <c r="S16" s="1366"/>
      <c r="T16" s="1366"/>
      <c r="U16" s="1366"/>
      <c r="V16" s="1366"/>
      <c r="W16" s="1366"/>
    </row>
    <row r="17">
      <c r="A17" s="1318" t="s">
        <v>824</v>
      </c>
      <c r="C17" s="1366"/>
      <c r="D17" s="1366"/>
      <c r="E17" s="1366"/>
      <c r="F17" s="1366"/>
      <c r="G17" s="1366"/>
      <c r="H17" s="1366"/>
      <c r="I17" s="1366"/>
      <c r="J17" s="1366"/>
      <c r="K17" s="1366"/>
      <c r="L17" s="1366"/>
      <c r="M17" s="1366"/>
      <c r="N17" s="1366"/>
      <c r="O17" s="1366"/>
      <c r="P17" s="1366"/>
      <c r="Q17" s="1366"/>
      <c r="R17" s="1366"/>
      <c r="S17" s="1366"/>
      <c r="T17" s="1366"/>
      <c r="U17" s="1366"/>
      <c r="V17" s="1366"/>
      <c r="W17" s="1366"/>
    </row>
    <row r="18">
      <c r="B18" s="574" t="s">
        <v>143</v>
      </c>
      <c r="C18" s="1366" t="n">
        <f>'ARP Score'!$BG5/'ARP Score'!$G5*C6</f>
        <v>0</v>
      </c>
      <c r="D18" s="1366" t="n">
        <f>'ARP Score'!$BG5/'ARP Score'!$G5*D6</f>
        <v>2.2132800000000001</v>
      </c>
      <c r="E18" s="1366" t="n">
        <f>'ARP Score'!$BG5/'ARP Score'!$G5*E6</f>
        <v>10.082720000000002</v>
      </c>
      <c r="F18" s="1366" t="n">
        <f>'ARP Score'!$BG6/'ARP Score'!$G6*F6</f>
        <v>7.1439999999999992</v>
      </c>
      <c r="G18" s="1366" t="n">
        <f>'ARP Score'!$BG6/'ARP Score'!$G6*G6</f>
        <v>7.1439999999999992</v>
      </c>
      <c r="H18" s="1366" t="n">
        <f>'ARP Score'!$BG6/'ARP Score'!$G6*H6</f>
        <v>7.1439999999999992</v>
      </c>
      <c r="I18" s="1366" t="n">
        <f>'ARP Score'!$BG6/'ARP Score'!$G6*I6</f>
        <v>7.1439999999999992</v>
      </c>
      <c r="J18" s="1366" t="n">
        <f>'ARP Score'!$BG7/'ARP Score'!$G7*J6</f>
        <v>0</v>
      </c>
      <c r="K18" s="1366" t="n">
        <f>'ARP Score'!$BG7/'ARP Score'!$G7*K6</f>
        <v>0</v>
      </c>
      <c r="L18" s="1366" t="n">
        <f>'ARP Score'!$BG7/'ARP Score'!$G7*L6</f>
        <v>0</v>
      </c>
      <c r="M18" s="1366" t="n">
        <f>'ARP Score'!$BG7/'ARP Score'!$G7*M6</f>
        <v>0</v>
      </c>
      <c r="N18" s="1366"/>
      <c r="O18" s="1366"/>
      <c r="P18" s="1366"/>
      <c r="Q18" s="1366"/>
      <c r="R18" s="1366"/>
      <c r="S18" s="1366"/>
      <c r="T18" s="1366"/>
      <c r="U18" s="1366"/>
      <c r="V18" s="1366"/>
      <c r="W18" s="1366"/>
    </row>
    <row r="19">
      <c r="B19" s="574" t="s">
        <v>825</v>
      </c>
      <c r="C19" s="1366" t="n">
        <f>'ARP Score'!$BI5/'ARP Score'!$G5*C6</f>
        <v>0</v>
      </c>
      <c r="D19" s="1366" t="n">
        <f>'ARP Score'!$BI5/'ARP Score'!$G5*D6</f>
        <v>15.128640000000001</v>
      </c>
      <c r="E19" s="1366" t="n">
        <f>'ARP Score'!$BI5/'ARP Score'!$G5*E6</f>
        <v>68.919360000000012</v>
      </c>
      <c r="F19" s="1366" t="n">
        <f>'ARP Score'!$BI6/'ARP Score'!$G6*F6</f>
        <v>5.6120000000000001</v>
      </c>
      <c r="G19" s="1366" t="n">
        <f>'ARP Score'!$BI6/'ARP Score'!$G6*G6</f>
        <v>5.6120000000000001</v>
      </c>
      <c r="H19" s="1366" t="n">
        <f>'ARP Score'!$BI6/'ARP Score'!$G6*H6</f>
        <v>5.6120000000000001</v>
      </c>
      <c r="I19" s="1366" t="n">
        <f>'ARP Score'!$BI6/'ARP Score'!$G6*I6</f>
        <v>5.6120000000000001</v>
      </c>
      <c r="J19" s="1366" t="n">
        <f>'ARP Score'!$B7/'ARP Score'!$G7*J6</f>
        <v>0.48599999999999993</v>
      </c>
      <c r="K19" s="1366" t="n">
        <f>'ARP Score'!$B7/'ARP Score'!$G7*K6</f>
        <v>0.48599999999999993</v>
      </c>
      <c r="L19" s="1366" t="n">
        <f>'ARP Score'!$B7/'ARP Score'!$G7*L6</f>
        <v>0.48599999999999993</v>
      </c>
      <c r="M19" s="1366" t="n">
        <f>'ARP Score'!$B7/'ARP Score'!$G7*M6</f>
        <v>0.48599999999999993</v>
      </c>
      <c r="N19" s="1366" t="n">
        <f>'ARP Score'!$B8/'ARP Score'!$G8*N6</f>
        <v>0</v>
      </c>
      <c r="O19" s="1366"/>
      <c r="P19" s="1366"/>
      <c r="Q19" s="1366"/>
      <c r="R19" s="1366"/>
      <c r="S19" s="1366"/>
      <c r="T19" s="1366"/>
      <c r="U19" s="1366"/>
      <c r="V19" s="1366"/>
      <c r="W19" s="1366"/>
    </row>
    <row r="20">
      <c r="B20" s="574" t="s">
        <v>148</v>
      </c>
      <c r="C20" s="1366" t="n">
        <f>'ARP Score'!$BF5/'ARP Score'!$G5*C6</f>
        <v>0</v>
      </c>
      <c r="D20" s="1366" t="n">
        <f>'ARP Score'!$BF5/'ARP Score'!$G5*D6</f>
        <v>3.2479199999999997</v>
      </c>
      <c r="E20" s="1366" t="n">
        <f>'ARP Score'!$BF5/'ARP Score'!$G5*E6</f>
        <v>14.796080000000002</v>
      </c>
      <c r="F20" s="1366" t="n">
        <f>'ARP Score'!$BF6/'ARP Score'!$G6*F6</f>
        <v>1.7329999999999999</v>
      </c>
      <c r="G20" s="1366" t="n">
        <f>'ARP Score'!$BF6/'ARP Score'!$G6*G6</f>
        <v>1.7329999999999999</v>
      </c>
      <c r="H20" s="1366" t="n">
        <f>'ARP Score'!$BF6/'ARP Score'!$G6*H6</f>
        <v>1.7329999999999999</v>
      </c>
      <c r="I20" s="1366" t="n">
        <f>'ARP Score'!$BF6/'ARP Score'!$G6*I6</f>
        <v>1.7329999999999999</v>
      </c>
      <c r="J20" s="1366" t="n">
        <f>'ARP Score'!$BF7/'ARP Score'!$G7*J6</f>
        <v>0</v>
      </c>
      <c r="K20" s="1366" t="n">
        <f>'ARP Score'!$BF7/'ARP Score'!$G7*K6</f>
        <v>0</v>
      </c>
      <c r="L20" s="1366" t="n">
        <f>'ARP Score'!$BF7/'ARP Score'!$G7*L6</f>
        <v>0</v>
      </c>
      <c r="M20" s="1366" t="n">
        <f>'ARP Score'!$BF7/'ARP Score'!$G7*M6</f>
        <v>0</v>
      </c>
      <c r="N20" s="1366"/>
      <c r="O20" s="1366"/>
      <c r="P20" s="1366"/>
      <c r="Q20" s="1366"/>
      <c r="R20" s="1366"/>
      <c r="S20" s="1366"/>
      <c r="T20" s="1366"/>
      <c r="U20" s="1366"/>
      <c r="V20" s="1366"/>
      <c r="W20" s="1366"/>
    </row>
    <row r="21">
      <c r="B21" s="1373" t="s">
        <v>463</v>
      </c>
      <c r="C21" s="1366" t="n">
        <f>15/40*(C6*'ARP Score'!$BD5/'ARP Score'!$G5)</f>
        <v>0</v>
      </c>
      <c r="D21" s="1366" t="n">
        <f>15/40*(D6*('ARP Score'!$BD5+'ARP Score'!$BE5)/'ARP Score'!$G5)</f>
        <v>13.2921</v>
      </c>
      <c r="E21" s="1366" t="n">
        <f>15/40*(E6*('ARP Score'!$BD5+'ARP Score'!$BE5)/'ARP Score'!$G5)</f>
        <v>60.552900000000008</v>
      </c>
      <c r="F21" s="1366" t="n">
        <f>15/40*(F6*('ARP Score'!$BD6+'ARP Score'!$BE6)/'ARP Score'!$G6)</f>
        <v>1.0687500000000001</v>
      </c>
      <c r="G21" s="1366" t="n">
        <f>15/40*(G6*('ARP Score'!$BD6+'ARP Score'!$BE6)/'ARP Score'!$G6)</f>
        <v>1.0687500000000001</v>
      </c>
      <c r="H21" s="1366" t="n">
        <f>15/40*(H6*('ARP Score'!$BD6+'ARP Score'!$BE6)/'ARP Score'!$G6)</f>
        <v>1.0687500000000001</v>
      </c>
      <c r="I21" s="1366" t="n">
        <f>15/40*(I6*('ARP Score'!$BD6+'ARP Score'!$BE6)/'ARP Score'!$G6)</f>
        <v>1.0687500000000001</v>
      </c>
      <c r="J21" s="1366" t="n">
        <f>15/40*(J6*('ARP Score'!$BD7+'ARP Score'!$BE7)/'ARP Score'!$G7)</f>
        <v>0.78750000000000009</v>
      </c>
      <c r="K21" s="1366" t="n">
        <f>15/40*(K6*('ARP Score'!$BD7+'ARP Score'!$BE7)/'ARP Score'!$G7)</f>
        <v>0.78750000000000009</v>
      </c>
      <c r="L21" s="1366" t="n">
        <f>15/40*(L6*('ARP Score'!$BD7+'ARP Score'!$BE7)/'ARP Score'!$G7)</f>
        <v>0.78750000000000009</v>
      </c>
      <c r="M21" s="1366" t="n">
        <f>15/40*(M6*('ARP Score'!$BD7+'ARP Score'!$BE7)/'ARP Score'!$G7)</f>
        <v>0.78750000000000009</v>
      </c>
      <c r="N21" s="1366"/>
      <c r="O21" s="1366"/>
      <c r="P21" s="1366"/>
      <c r="Q21" s="1366"/>
      <c r="R21" s="1366"/>
      <c r="S21" s="1366"/>
      <c r="T21" s="1366"/>
      <c r="U21" s="1366"/>
      <c r="V21" s="1366"/>
      <c r="W21" s="1366"/>
    </row>
    <row r="22">
      <c r="B22" s="1373" t="s">
        <v>826</v>
      </c>
      <c r="C22" s="1366"/>
      <c r="D22" s="1366" t="n">
        <f>D21/15*25</f>
        <v>22.153499999999998</v>
      </c>
      <c r="E22" s="1366" t="n">
        <f>E21/15*25</f>
        <v>100.92150000000002</v>
      </c>
      <c r="F22" s="1366" t="n">
        <f>F21/15*25</f>
        <v>1.7812500000000002</v>
      </c>
      <c r="G22" s="1366" t="n">
        <f>G21/15*25</f>
        <v>1.7812500000000002</v>
      </c>
      <c r="H22" s="1366" t="n">
        <f t="shared" ref="H22:J22" si="35">H21/15*25</f>
        <v>1.7812500000000002</v>
      </c>
      <c r="I22" s="1366" t="n">
        <f t="shared" si="35"/>
        <v>1.7812500000000002</v>
      </c>
      <c r="J22" s="1366" t="n">
        <f t="shared" si="35"/>
        <v>1.3125000000000002</v>
      </c>
      <c r="K22" s="1366" t="n">
        <f t="shared" ref="K22" si="36">K21/15*25</f>
        <v>1.3125000000000002</v>
      </c>
      <c r="L22" s="1366" t="n">
        <f t="shared" ref="L22" si="37">L21/15*25</f>
        <v>1.3125000000000002</v>
      </c>
      <c r="M22" s="1366" t="n">
        <f t="shared" ref="M22" si="38">M21/15*25</f>
        <v>1.3125000000000002</v>
      </c>
      <c r="N22" s="1366"/>
      <c r="O22" s="1366"/>
      <c r="P22" s="1366"/>
      <c r="Q22" s="1366"/>
      <c r="R22" s="1366"/>
      <c r="S22" s="1366"/>
      <c r="T22" s="1366"/>
      <c r="U22" s="1366"/>
      <c r="V22" s="1366"/>
      <c r="W22" s="1366"/>
    </row>
    <row r="23">
      <c r="B23" s="574" t="s">
        <v>475</v>
      </c>
      <c r="C23" s="1366" t="n">
        <f>'ARP Score'!$BB5/'ARP Score'!$G5*C6</f>
        <v>0</v>
      </c>
      <c r="D23" s="1366" t="n">
        <f>'ARP Score'!$BB5/'ARP Score'!$G5*D6</f>
        <v>2.9519999999999995</v>
      </c>
      <c r="E23" s="1366" t="n">
        <f>'ARP Score'!$BB5/'ARP Score'!$G5*E6</f>
        <v>13.448</v>
      </c>
      <c r="F23" s="1366" t="n">
        <f>'ARP Score'!$BB6/'ARP Score'!$G6*F6</f>
        <v>11.3</v>
      </c>
      <c r="G23" s="1366" t="n">
        <f>'ARP Score'!$BB6/'ARP Score'!$G6*G6</f>
        <v>11.3</v>
      </c>
      <c r="H23" s="1366" t="n">
        <f>'ARP Score'!$BB6/'ARP Score'!$G6*H6</f>
        <v>11.3</v>
      </c>
      <c r="I23" s="1366" t="n">
        <f>'ARP Score'!$BB6/'ARP Score'!$G6*I6</f>
        <v>11.3</v>
      </c>
      <c r="J23" s="1366" t="n">
        <f>'ARP Score'!$BB7/'ARP Score'!$G7*J6</f>
        <v>8.4</v>
      </c>
      <c r="K23" s="1366" t="n">
        <f>'ARP Score'!$BB7/'ARP Score'!$G7*K6</f>
        <v>8.4</v>
      </c>
      <c r="L23" s="1366" t="n">
        <f>'ARP Score'!$BB7/'ARP Score'!$G7*L6</f>
        <v>8.4</v>
      </c>
      <c r="M23" s="1366" t="n">
        <f>'ARP Score'!$BB7/'ARP Score'!$G7*M6</f>
        <v>8.4</v>
      </c>
      <c r="N23" s="1366" t="n">
        <f>'ARP Score'!$BB8/'ARP Score'!$G8*N6</f>
        <v>0.2</v>
      </c>
      <c r="O23" s="1366" t="n">
        <f>'ARP Score'!$BB8/'ARP Score'!$G8*O6</f>
        <v>0.2</v>
      </c>
      <c r="P23" s="1366" t="n">
        <f>'ARP Score'!$BB8/'ARP Score'!$G8*P6</f>
        <v>0.2</v>
      </c>
      <c r="Q23" s="1366" t="n">
        <f>'ARP Score'!$BB8/'ARP Score'!$G8*Q6</f>
        <v>0.2</v>
      </c>
      <c r="R23" s="1366"/>
      <c r="S23" s="1366"/>
      <c r="T23" s="1366"/>
      <c r="U23" s="1366"/>
      <c r="V23" s="1366"/>
      <c r="W23" s="1366"/>
    </row>
    <row r="24">
      <c r="B24" s="574" t="s">
        <v>476</v>
      </c>
      <c r="C24" s="1366" t="n">
        <f>'ARP Score'!$BH5/'ARP Score'!$G5*C6</f>
        <v>0</v>
      </c>
      <c r="D24" s="1366" t="n">
        <f>'ARP Score'!$BH5/'ARP Score'!$G5*D6</f>
        <v>-0.20447999999999997</v>
      </c>
      <c r="E24" s="1366" t="n">
        <f>'ARP Score'!$BH5/'ARP Score'!$G5*E6</f>
        <v>-0.93152000000000001</v>
      </c>
      <c r="F24" s="1366" t="n">
        <f>'ARP Score'!$BH6/'ARP Score'!$G6*F6</f>
        <v>81.608999999999995</v>
      </c>
      <c r="G24" s="1366" t="n">
        <f>'ARP Score'!$BH6/'ARP Score'!$G6*G6</f>
        <v>81.608999999999995</v>
      </c>
      <c r="H24" s="1366" t="n">
        <f>'ARP Score'!$BH6/'ARP Score'!$G6*H6</f>
        <v>81.608999999999995</v>
      </c>
      <c r="I24" s="1366" t="n">
        <f>'ARP Score'!$BH6/'ARP Score'!$G6*I6</f>
        <v>81.608999999999995</v>
      </c>
      <c r="J24" s="1366" t="n">
        <f>'ARP Score'!$BH7/'ARP Score'!$G7*J6</f>
        <v>1.3759999999999999</v>
      </c>
      <c r="K24" s="1366" t="n">
        <f>'ARP Score'!$BH7/'ARP Score'!$G7*K6</f>
        <v>1.3759999999999999</v>
      </c>
      <c r="L24" s="1366" t="n">
        <f>'ARP Score'!$BH7/'ARP Score'!$G7*L6</f>
        <v>1.3759999999999999</v>
      </c>
      <c r="M24" s="1366" t="n">
        <f>'ARP Score'!$BH7/'ARP Score'!$G7*M6</f>
        <v>1.3759999999999999</v>
      </c>
      <c r="N24" s="1366" t="n">
        <f>'ARP Score'!$BH8/'ARP Score'!$G8*N6</f>
        <v>-0.87500000000000011</v>
      </c>
      <c r="O24" s="1366" t="n">
        <f>'ARP Score'!$BH8/'ARP Score'!$G8*O6</f>
        <v>-0.87500000000000011</v>
      </c>
      <c r="P24" s="1366" t="n">
        <f>'ARP Score'!$BH8/'ARP Score'!$G8*P6</f>
        <v>-0.87500000000000011</v>
      </c>
      <c r="Q24" s="1366" t="n">
        <f>'ARP Score'!$BH8/'ARP Score'!$G8*Q6</f>
        <v>-0.87500000000000011</v>
      </c>
      <c r="R24" s="1366"/>
      <c r="S24" s="1366"/>
      <c r="T24" s="1366"/>
      <c r="U24" s="1366"/>
      <c r="V24" s="1366"/>
      <c r="W24" s="1366"/>
    </row>
    <row r="25">
      <c r="B25" s="574" t="s">
        <v>359</v>
      </c>
      <c r="C25" s="1366" t="n">
        <f>SUM(C18:C24)</f>
        <v>0</v>
      </c>
      <c r="D25" s="1366" t="n">
        <f t="shared" ref="D25:Q25" si="39">SUM(D18:D24)</f>
        <v>58.782959999999996</v>
      </c>
      <c r="E25" s="1366" t="n">
        <f t="shared" si="39"/>
        <v>267.78904000000006</v>
      </c>
      <c r="F25" s="1366" t="n">
        <f t="shared" si="39"/>
        <v>110.24799999999999</v>
      </c>
      <c r="G25" s="1366" t="n">
        <f t="shared" si="39"/>
        <v>110.24799999999999</v>
      </c>
      <c r="H25" s="1366" t="n">
        <f t="shared" si="39"/>
        <v>110.24799999999999</v>
      </c>
      <c r="I25" s="1366" t="n">
        <f t="shared" si="39"/>
        <v>110.24799999999999</v>
      </c>
      <c r="J25" s="1366" t="n">
        <f t="shared" si="39"/>
        <v>12.362</v>
      </c>
      <c r="K25" s="1366" t="n">
        <f t="shared" si="39"/>
        <v>12.362</v>
      </c>
      <c r="L25" s="1366" t="n">
        <f t="shared" si="39"/>
        <v>12.362</v>
      </c>
      <c r="M25" s="1366" t="n">
        <f t="shared" si="39"/>
        <v>12.362</v>
      </c>
      <c r="N25" s="1366" t="n">
        <f t="shared" si="39"/>
        <v>-0.67500000000000004</v>
      </c>
      <c r="O25" s="1366" t="n">
        <f t="shared" si="39"/>
        <v>-0.67500000000000004</v>
      </c>
      <c r="P25" s="1366" t="n">
        <f t="shared" si="39"/>
        <v>-0.67500000000000004</v>
      </c>
      <c r="Q25" s="1366" t="n">
        <f t="shared" si="39"/>
        <v>-0.67500000000000004</v>
      </c>
      <c r="R25" s="1366"/>
      <c r="S25" s="1366"/>
      <c r="T25" s="1366"/>
      <c r="U25" s="1366"/>
      <c r="V25" s="1366"/>
      <c r="W25" s="1366"/>
    </row>
    <row r="26">
      <c r="D26" s="1367" t="n">
        <f>D6-D25</f>
        <v>0</v>
      </c>
      <c r="E26" s="1367" t="n">
        <f t="shared" ref="E26:M26" si="40">E6-E25</f>
        <v>0</v>
      </c>
      <c r="F26" s="1367" t="n">
        <f t="shared" si="40"/>
        <v>0</v>
      </c>
      <c r="G26" s="1367" t="n">
        <f t="shared" si="40"/>
        <v>0</v>
      </c>
      <c r="H26" s="1367" t="n">
        <f t="shared" si="40"/>
        <v>0</v>
      </c>
      <c r="I26" s="1367" t="n">
        <f t="shared" si="40"/>
        <v>0</v>
      </c>
      <c r="J26" s="1367" t="n">
        <f t="shared" si="40"/>
        <v>0.36400000000000077</v>
      </c>
      <c r="K26" s="1367" t="n">
        <f t="shared" si="40"/>
        <v>0.36400000000000077</v>
      </c>
      <c r="L26" s="1367" t="n">
        <f t="shared" si="40"/>
        <v>0.36400000000000077</v>
      </c>
      <c r="M26" s="1367" t="n">
        <f t="shared" si="40"/>
        <v>0.36400000000000077</v>
      </c>
    </row>
    <row r="27">
      <c r="B27" s="1318" t="s">
        <v>827</v>
      </c>
      <c r="D27" s="123" t="s">
        <v>296</v>
      </c>
      <c r="E27" s="123" t="s">
        <v>180</v>
      </c>
      <c r="F27" s="123" t="s">
        <v>181</v>
      </c>
      <c r="G27" s="123" t="s">
        <v>182</v>
      </c>
      <c r="H27" s="123" t="s">
        <v>183</v>
      </c>
      <c r="I27" s="123" t="s">
        <v>184</v>
      </c>
      <c r="J27" s="123" t="s">
        <v>185</v>
      </c>
      <c r="K27" s="123" t="s">
        <v>186</v>
      </c>
      <c r="L27" s="123" t="s">
        <v>187</v>
      </c>
      <c r="M27" s="123" t="s">
        <v>188</v>
      </c>
      <c r="N27" s="123" t="s">
        <v>189</v>
      </c>
      <c r="O27" s="123" t="s">
        <v>190</v>
      </c>
      <c r="P27" s="123" t="s">
        <v>191</v>
      </c>
      <c r="Q27" s="123" t="s">
        <v>175</v>
      </c>
      <c r="R27" s="123" t="s">
        <v>176</v>
      </c>
      <c r="S27" s="123" t="s">
        <v>177</v>
      </c>
      <c r="T27" s="123" t="s">
        <v>818</v>
      </c>
      <c r="U27" s="123" t="s">
        <v>819</v>
      </c>
      <c r="V27" s="123" t="s">
        <v>820</v>
      </c>
    </row>
    <row r="28">
      <c r="B28" s="61"/>
      <c r="C28" s="1367" t="s">
        <v>359</v>
      </c>
      <c r="D28" s="1369" t="n">
        <f>SUM(D29:D43)</f>
        <v>5.8765000000000009</v>
      </c>
      <c r="E28" s="1369" t="n">
        <f t="shared" ref="E28:V28" si="41">SUM(E29:E43)</f>
        <v>11.753000000000002</v>
      </c>
      <c r="F28" s="1369" t="n">
        <f t="shared" si="41"/>
        <v>15.762320000000003</v>
      </c>
      <c r="G28" s="1369" t="n">
        <f t="shared" si="41"/>
        <v>19.771640000000005</v>
      </c>
      <c r="H28" s="1369" t="n">
        <f t="shared" si="41"/>
        <v>23.812229000000006</v>
      </c>
      <c r="I28" s="1369" t="n">
        <f t="shared" si="41"/>
        <v>27.852818000000006</v>
      </c>
      <c r="J28" s="1369" t="n">
        <f t="shared" si="41"/>
        <v>30.517977000000005</v>
      </c>
      <c r="K28" s="1369" t="n">
        <f t="shared" si="41"/>
        <v>33.183136000000005</v>
      </c>
      <c r="L28" s="1369" t="n">
        <f t="shared" si="41"/>
        <v>36.260924000000003</v>
      </c>
      <c r="M28" s="1369" t="n">
        <f t="shared" si="41"/>
        <v>39.338711999999994</v>
      </c>
      <c r="N28" s="1369" t="n">
        <f t="shared" si="41"/>
        <v>40.928439999999995</v>
      </c>
      <c r="O28" s="1369" t="n">
        <f t="shared" si="41"/>
        <v>42.518167999999996</v>
      </c>
      <c r="P28" s="1369" t="n">
        <f t="shared" si="41"/>
        <v>44.428388999999996</v>
      </c>
      <c r="Q28" s="1369" t="n">
        <f t="shared" si="41"/>
        <v>46.338610000000003</v>
      </c>
      <c r="R28" s="1369" t="n">
        <f t="shared" si="41"/>
        <v>47.279744500000007</v>
      </c>
      <c r="S28" s="1369" t="n">
        <f t="shared" si="41"/>
        <v>46.283419000000009</v>
      </c>
      <c r="T28" s="1369" t="n">
        <f t="shared" si="41"/>
        <v>45.578489500000011</v>
      </c>
      <c r="U28" s="1369" t="n">
        <f t="shared" si="41"/>
        <v>45.454798000000011</v>
      </c>
      <c r="V28" s="1369" t="n">
        <f t="shared" si="41"/>
        <v>45.360580000000013</v>
      </c>
    </row>
    <row r="29">
      <c r="A29" s="1318" t="n">
        <v>2021</v>
      </c>
      <c r="B29" s="61" t="s">
        <v>828</v>
      </c>
      <c r="C29" s="1367"/>
      <c r="D29" s="1318" t="n">
        <f>($D$9+$D$10)*'ARP Timing'!B$16</f>
        <v>5.8765000000000009</v>
      </c>
      <c r="E29" s="1318" t="n">
        <f>($D$9+$D$10)*'ARP Timing'!C$16</f>
        <v>5.8765000000000009</v>
      </c>
      <c r="F29" s="1318" t="n">
        <f>($D$9+$D$10)*'ARP Timing'!D$16</f>
        <v>4.11355</v>
      </c>
      <c r="G29" s="1318" t="n">
        <f>($D$9+$D$10)*'ARP Timing'!E$16</f>
        <v>4.11355</v>
      </c>
      <c r="H29" s="1318" t="n">
        <f>($D$9+$D$10)*'ARP Timing'!F$16</f>
        <v>4.11355</v>
      </c>
      <c r="I29" s="1318" t="n">
        <f>($D$9+$D$10)*'ARP Timing'!G$16</f>
        <v>4.11355</v>
      </c>
      <c r="J29" s="1318" t="n">
        <f>($D$9+$D$10)*'ARP Timing'!H$16</f>
        <v>4.11355</v>
      </c>
      <c r="K29" s="1318" t="n">
        <f>($D$9+$D$10)*'ARP Timing'!I$16</f>
        <v>4.11355</v>
      </c>
      <c r="L29" s="1318" t="n">
        <f>($D$9+$D$10)*'ARP Timing'!J$16</f>
        <v>4.11355</v>
      </c>
      <c r="M29" s="1318" t="n">
        <f>($D$9+$D$10)*'ARP Timing'!K$16</f>
        <v>4.11355</v>
      </c>
      <c r="N29" s="1318" t="n">
        <f>($D$9+$D$10)*'ARP Timing'!L$16</f>
        <v>4.11355</v>
      </c>
      <c r="O29" s="1318" t="n">
        <f>($D$9+$D$10)*'ARP Timing'!M$16</f>
        <v>4.11355</v>
      </c>
      <c r="P29" s="1318" t="n">
        <f>($D$9+$D$10)*'ARP Timing'!N$16</f>
        <v>3.987625</v>
      </c>
      <c r="Q29" s="1318" t="n">
        <f>($D$9+$D$10)*'ARP Timing'!O$16</f>
        <v>3.987625</v>
      </c>
      <c r="R29" s="1318" t="n">
        <f>($D$9+$D$10)*'ARP Timing'!P$16</f>
        <v>3.987625</v>
      </c>
      <c r="S29" s="1318" t="n">
        <f>($D$9+$D$10)*'ARP Timing'!Q$16</f>
        <v>3.987625</v>
      </c>
      <c r="T29" s="1318" t="n">
        <f>($D$9+$D$10)*'ARP Timing'!R$16</f>
        <v>3.987625</v>
      </c>
      <c r="U29" s="1318" t="n">
        <f>($D$9+$D$10)*'ARP Timing'!S$16</f>
        <v>3.987625</v>
      </c>
      <c r="V29" s="1318" t="n">
        <f>($D$9+$D$10)*'ARP Timing'!T$16</f>
        <v>3.987625</v>
      </c>
    </row>
    <row r="30">
      <c r="B30" s="61" t="s">
        <v>378</v>
      </c>
      <c r="C30" s="1367"/>
      <c r="E30" s="1318" t="n">
        <f>($E$9+$E$10)*'ARP Timing'!B$16</f>
        <v>5.8765000000000009</v>
      </c>
      <c r="F30" s="1318" t="n">
        <f>($E$9+$E$10)*'ARP Timing'!C$16</f>
        <v>5.8765000000000009</v>
      </c>
      <c r="G30" s="1318" t="n">
        <f>($E$9+$E$10)*'ARP Timing'!D$16</f>
        <v>4.11355</v>
      </c>
      <c r="H30" s="1318" t="n">
        <f>($E$9+$E$10)*'ARP Timing'!E$16</f>
        <v>4.11355</v>
      </c>
      <c r="I30" s="1318" t="n">
        <f>($E$9+$E$10)*'ARP Timing'!F$16</f>
        <v>4.11355</v>
      </c>
      <c r="J30" s="1318" t="n">
        <f>($E$9+$E$10)*'ARP Timing'!G$16</f>
        <v>4.11355</v>
      </c>
      <c r="K30" s="1318" t="n">
        <f>($E$9+$E$10)*'ARP Timing'!H$16</f>
        <v>4.11355</v>
      </c>
      <c r="L30" s="1318" t="n">
        <f>($E$9+$E$10)*'ARP Timing'!I$16</f>
        <v>4.11355</v>
      </c>
      <c r="M30" s="1318" t="n">
        <f>($E$9+$E$10)*'ARP Timing'!J$16</f>
        <v>4.11355</v>
      </c>
      <c r="N30" s="1318" t="n">
        <f>($E$9+$E$10)*'ARP Timing'!K$16</f>
        <v>4.11355</v>
      </c>
      <c r="O30" s="1318" t="n">
        <f>($E$9+$E$10)*'ARP Timing'!L$16</f>
        <v>4.11355</v>
      </c>
      <c r="P30" s="1318" t="n">
        <f>($E$9+$E$10)*'ARP Timing'!M$16</f>
        <v>4.11355</v>
      </c>
      <c r="Q30" s="1318" t="n">
        <f>($E$9+$E$10)*'ARP Timing'!N$16</f>
        <v>3.987625</v>
      </c>
      <c r="R30" s="1318" t="n">
        <f>($E$9+$E$10)*'ARP Timing'!O$16</f>
        <v>3.987625</v>
      </c>
      <c r="S30" s="1318" t="n">
        <f>($E$9+$E$10)*'ARP Timing'!P$16</f>
        <v>3.987625</v>
      </c>
      <c r="T30" s="1318" t="n">
        <f>($E$9+$E$10)*'ARP Timing'!Q$16</f>
        <v>3.987625</v>
      </c>
      <c r="U30" s="1318" t="n">
        <f>($E$9+$E$10)*'ARP Timing'!R$16</f>
        <v>3.987625</v>
      </c>
      <c r="V30" s="1318" t="n">
        <f>($E$9+$E$10)*'ARP Timing'!S$16</f>
        <v>3.987625</v>
      </c>
    </row>
    <row r="31">
      <c r="B31" s="61" t="s">
        <v>829</v>
      </c>
      <c r="C31" s="1367"/>
      <c r="F31" s="1318" t="n">
        <f>($F$9+$F$10)*'ARP Timing'!B$16</f>
        <v>5.7722700000000016</v>
      </c>
      <c r="G31" s="1318" t="n">
        <f>($F$9+$F$10)*'ARP Timing'!C$16</f>
        <v>5.7722700000000016</v>
      </c>
      <c r="H31" s="1318" t="n">
        <f>($F$9+$F$10)*'ARP Timing'!D$16</f>
        <v>4.0405890000000007</v>
      </c>
      <c r="I31" s="1318" t="n">
        <f>($F$9+$F$10)*'ARP Timing'!E$16</f>
        <v>4.0405890000000007</v>
      </c>
      <c r="J31" s="1318" t="n">
        <f>($F$9+$F$10)*'ARP Timing'!F$16</f>
        <v>4.0405890000000007</v>
      </c>
      <c r="K31" s="1318" t="n">
        <f>($F$9+$F$10)*'ARP Timing'!G$16</f>
        <v>4.0405890000000007</v>
      </c>
      <c r="L31" s="1318" t="n">
        <f>($F$9+$F$10)*'ARP Timing'!H$16</f>
        <v>4.0405890000000007</v>
      </c>
      <c r="M31" s="1318" t="n">
        <f>($F$9+$F$10)*'ARP Timing'!I$16</f>
        <v>4.0405890000000007</v>
      </c>
      <c r="N31" s="1318" t="n">
        <f>($F$9+$F$10)*'ARP Timing'!J$16</f>
        <v>4.0405890000000007</v>
      </c>
      <c r="O31" s="1318" t="n">
        <f>($F$9+$F$10)*'ARP Timing'!K$16</f>
        <v>4.0405890000000007</v>
      </c>
      <c r="P31" s="1318" t="n">
        <f>($F$9+$F$10)*'ARP Timing'!L$16</f>
        <v>4.0405890000000007</v>
      </c>
      <c r="Q31" s="1318" t="n">
        <f>($F$9+$F$10)*'ARP Timing'!M$16</f>
        <v>4.0405890000000007</v>
      </c>
      <c r="R31" s="1318" t="n">
        <f>($F$9+$F$10)*'ARP Timing'!N$16</f>
        <v>3.9168975000000006</v>
      </c>
      <c r="S31" s="1318" t="n">
        <f>($F$9+$F$10)*'ARP Timing'!O$16</f>
        <v>3.9168975000000006</v>
      </c>
      <c r="T31" s="1318" t="n">
        <f>($F$9+$F$10)*'ARP Timing'!P$16</f>
        <v>3.9168975000000006</v>
      </c>
      <c r="U31" s="1318" t="n">
        <f>($F$9+$F$10)*'ARP Timing'!Q$16</f>
        <v>3.9168975000000006</v>
      </c>
      <c r="V31" s="1318" t="n">
        <f>($F$9+$F$10)*'ARP Timing'!R$16</f>
        <v>3.9168975000000006</v>
      </c>
    </row>
    <row r="32">
      <c r="A32" s="1318" t="n">
        <v>2022</v>
      </c>
      <c r="B32" s="61" t="s">
        <v>247</v>
      </c>
      <c r="C32" s="1367"/>
      <c r="G32" s="1318" t="n">
        <f>($G$9+$G$10)*'ARP Timing'!B$16</f>
        <v>5.7722700000000016</v>
      </c>
      <c r="H32" s="1318" t="n">
        <f>($G$9+$G$10)*'ARP Timing'!C$16</f>
        <v>5.7722700000000016</v>
      </c>
      <c r="I32" s="1318" t="n">
        <f>($G$9+$G$10)*'ARP Timing'!D$16</f>
        <v>4.0405890000000007</v>
      </c>
      <c r="J32" s="1318" t="n">
        <f>($G$9+$G$10)*'ARP Timing'!E$16</f>
        <v>4.0405890000000007</v>
      </c>
      <c r="K32" s="1318" t="n">
        <f>($G$9+$G$10)*'ARP Timing'!F$16</f>
        <v>4.0405890000000007</v>
      </c>
      <c r="L32" s="1318" t="n">
        <f>($G$9+$G$10)*'ARP Timing'!G$16</f>
        <v>4.0405890000000007</v>
      </c>
      <c r="M32" s="1318" t="n">
        <f>($G$9+$G$10)*'ARP Timing'!H$16</f>
        <v>4.0405890000000007</v>
      </c>
      <c r="N32" s="1318" t="n">
        <f>($G$9+$G$10)*'ARP Timing'!I$16</f>
        <v>4.0405890000000007</v>
      </c>
      <c r="O32" s="1318" t="n">
        <f>($G$9+$G$10)*'ARP Timing'!J$16</f>
        <v>4.0405890000000007</v>
      </c>
      <c r="P32" s="1318" t="n">
        <f>($G$9+$G$10)*'ARP Timing'!K$16</f>
        <v>4.0405890000000007</v>
      </c>
      <c r="Q32" s="1318" t="n">
        <f>($G$9+$G$10)*'ARP Timing'!L$16</f>
        <v>4.0405890000000007</v>
      </c>
      <c r="R32" s="1318" t="n">
        <f>($G$9+$G$10)*'ARP Timing'!M$16</f>
        <v>4.0405890000000007</v>
      </c>
      <c r="S32" s="1318" t="n">
        <f>($G$9+$G$10)*'ARP Timing'!N$16</f>
        <v>3.9168975000000006</v>
      </c>
      <c r="T32" s="1318" t="n">
        <f>($G$9+$G$10)*'ARP Timing'!O$16</f>
        <v>3.9168975000000006</v>
      </c>
      <c r="U32" s="1318" t="n">
        <f>($G$9+$G$10)*'ARP Timing'!P$16</f>
        <v>3.9168975000000006</v>
      </c>
      <c r="V32" s="1318" t="n">
        <f>($G$9+$G$10)*'ARP Timing'!Q$16</f>
        <v>3.9168975000000006</v>
      </c>
    </row>
    <row r="33">
      <c r="B33" s="61" t="s">
        <v>248</v>
      </c>
      <c r="C33" s="1367"/>
      <c r="H33" s="1318" t="n">
        <f>($H$9+$H$10)*'ARP Timing'!B$16</f>
        <v>5.7722700000000016</v>
      </c>
      <c r="I33" s="1318" t="n">
        <f>($H$9+$H$10)*'ARP Timing'!C$16</f>
        <v>5.7722700000000016</v>
      </c>
      <c r="J33" s="1318" t="n">
        <f>($H$9+$H$10)*'ARP Timing'!D$16</f>
        <v>4.0405890000000007</v>
      </c>
      <c r="K33" s="1318" t="n">
        <f>($H$9+$H$10)*'ARP Timing'!E$16</f>
        <v>4.0405890000000007</v>
      </c>
      <c r="L33" s="1318" t="n">
        <f>($H$9+$H$10)*'ARP Timing'!F$16</f>
        <v>4.0405890000000007</v>
      </c>
      <c r="M33" s="1318" t="n">
        <f>($H$9+$H$10)*'ARP Timing'!G$16</f>
        <v>4.0405890000000007</v>
      </c>
      <c r="N33" s="1318" t="n">
        <f>($H$9+$H$10)*'ARP Timing'!H$16</f>
        <v>4.0405890000000007</v>
      </c>
      <c r="O33" s="1318" t="n">
        <f>($H$9+$H$10)*'ARP Timing'!I$16</f>
        <v>4.0405890000000007</v>
      </c>
      <c r="P33" s="1318" t="n">
        <f>($H$9+$H$10)*'ARP Timing'!J$16</f>
        <v>4.0405890000000007</v>
      </c>
      <c r="Q33" s="1318" t="n">
        <f>($H$9+$H$10)*'ARP Timing'!K$16</f>
        <v>4.0405890000000007</v>
      </c>
      <c r="R33" s="1318" t="n">
        <f>($H$9+$H$10)*'ARP Timing'!L$16</f>
        <v>4.0405890000000007</v>
      </c>
      <c r="S33" s="1318" t="n">
        <f>($H$9+$H$10)*'ARP Timing'!M$16</f>
        <v>4.0405890000000007</v>
      </c>
      <c r="T33" s="1318" t="n">
        <f>($H$9+$H$10)*'ARP Timing'!N$16</f>
        <v>3.9168975000000006</v>
      </c>
      <c r="U33" s="1318" t="n">
        <f>($H$9+$H$10)*'ARP Timing'!O$16</f>
        <v>3.9168975000000006</v>
      </c>
      <c r="V33" s="1318" t="n">
        <f>($H$9+$H$10)*'ARP Timing'!P$16</f>
        <v>3.9168975000000006</v>
      </c>
    </row>
    <row r="34">
      <c r="B34" s="61" t="s">
        <v>378</v>
      </c>
      <c r="C34" s="1367"/>
      <c r="H34" s="1367"/>
      <c r="I34" s="1318" t="n">
        <f>($I$9+$I10)*'ARP Timing'!B$16</f>
        <v>5.7722700000000016</v>
      </c>
      <c r="J34" s="1318" t="n">
        <f>($I$9+$I10)*'ARP Timing'!C$16</f>
        <v>5.7722700000000016</v>
      </c>
      <c r="K34" s="1318" t="n">
        <f>($I$9+$I10)*'ARP Timing'!D$16</f>
        <v>4.0405890000000007</v>
      </c>
      <c r="L34" s="1318" t="n">
        <f>($I$9+$I10)*'ARP Timing'!E$16</f>
        <v>4.0405890000000007</v>
      </c>
      <c r="M34" s="1318" t="n">
        <f>($I$9+$I10)*'ARP Timing'!F$16</f>
        <v>4.0405890000000007</v>
      </c>
      <c r="N34" s="1318" t="n">
        <f>($I$9+$I10)*'ARP Timing'!G$16</f>
        <v>4.0405890000000007</v>
      </c>
      <c r="O34" s="1318" t="n">
        <f>($I$9+$I10)*'ARP Timing'!H$16</f>
        <v>4.0405890000000007</v>
      </c>
      <c r="P34" s="1318" t="n">
        <f>($I$9+$I10)*'ARP Timing'!I$16</f>
        <v>4.0405890000000007</v>
      </c>
      <c r="Q34" s="1318" t="n">
        <f>($I$9+$I10)*'ARP Timing'!J$16</f>
        <v>4.0405890000000007</v>
      </c>
      <c r="R34" s="1318" t="n">
        <f>($I$9+$I10)*'ARP Timing'!K$16</f>
        <v>4.0405890000000007</v>
      </c>
      <c r="S34" s="1318" t="n">
        <f>($I$9+$I10)*'ARP Timing'!L$16</f>
        <v>4.0405890000000007</v>
      </c>
      <c r="T34" s="1318" t="n">
        <f>($I$9+$I10)*'ARP Timing'!M$16</f>
        <v>4.0405890000000007</v>
      </c>
      <c r="U34" s="1318" t="n">
        <f>($I$9+$I10)*'ARP Timing'!N$16</f>
        <v>3.9168975000000006</v>
      </c>
      <c r="V34" s="1318" t="n">
        <f>($I$9+$I10)*'ARP Timing'!O$16</f>
        <v>3.9168975000000006</v>
      </c>
    </row>
    <row r="35">
      <c r="B35" s="61" t="s">
        <v>829</v>
      </c>
      <c r="C35" s="1367"/>
      <c r="H35" s="1367"/>
      <c r="J35" s="1318" t="n">
        <f>($J$9+$J$10)*'ARP Timing'!B$16</f>
        <v>4.3968400000000001</v>
      </c>
      <c r="K35" s="1318" t="n">
        <f>($J$9+$J$10)*'ARP Timing'!C$16</f>
        <v>4.3968400000000001</v>
      </c>
      <c r="L35" s="1318" t="n">
        <f>($J$9+$J$10)*'ARP Timing'!D$16</f>
        <v>3.077788</v>
      </c>
      <c r="M35" s="1318" t="n">
        <f>($J$9+$J$10)*'ARP Timing'!E$16</f>
        <v>3.077788</v>
      </c>
      <c r="N35" s="1318" t="n">
        <f>($J$9+$J$10)*'ARP Timing'!F$16</f>
        <v>3.077788</v>
      </c>
      <c r="O35" s="1318" t="n">
        <f>($J$9+$J$10)*'ARP Timing'!G$16</f>
        <v>3.077788</v>
      </c>
      <c r="P35" s="1318" t="n">
        <f>($J$9+$J$10)*'ARP Timing'!H$16</f>
        <v>3.077788</v>
      </c>
      <c r="Q35" s="1318" t="n">
        <f>($J$9+$J$10)*'ARP Timing'!I$16</f>
        <v>3.077788</v>
      </c>
      <c r="R35" s="1318" t="n">
        <f>($J$9+$J$10)*'ARP Timing'!J$16</f>
        <v>3.077788</v>
      </c>
      <c r="S35" s="1318" t="n">
        <f>($J$9+$J$10)*'ARP Timing'!K$16</f>
        <v>3.077788</v>
      </c>
      <c r="T35" s="1318" t="n">
        <f>($J$9+$J$10)*'ARP Timing'!L$16</f>
        <v>3.077788</v>
      </c>
      <c r="U35" s="1318" t="n">
        <f>($J$9+$J$10)*'ARP Timing'!M$16</f>
        <v>3.077788</v>
      </c>
      <c r="V35" s="1318" t="n">
        <f>($J$9+$J$10)*'ARP Timing'!N$16</f>
        <v>2.9835699999999998</v>
      </c>
    </row>
    <row r="36">
      <c r="A36" s="1318" t="n">
        <v>2023</v>
      </c>
      <c r="B36" s="61" t="s">
        <v>247</v>
      </c>
      <c r="C36" s="1367"/>
      <c r="H36" s="1367"/>
      <c r="K36" s="1318" t="n">
        <f>($K$9+$K$10)*'ARP Timing'!B$16</f>
        <v>4.3968400000000001</v>
      </c>
      <c r="L36" s="1318" t="n">
        <f>($K$9+$K$10)*'ARP Timing'!C$16</f>
        <v>4.3968400000000001</v>
      </c>
      <c r="M36" s="1318" t="n">
        <f>($K$9+$K$10)*'ARP Timing'!D$16</f>
        <v>3.077788</v>
      </c>
      <c r="N36" s="1318" t="n">
        <f>($K$9+$K$10)*'ARP Timing'!E$16</f>
        <v>3.077788</v>
      </c>
      <c r="O36" s="1318" t="n">
        <f>($K$9+$K$10)*'ARP Timing'!F$16</f>
        <v>3.077788</v>
      </c>
      <c r="P36" s="1318" t="n">
        <f>($K$9+$K$10)*'ARP Timing'!G$16</f>
        <v>3.077788</v>
      </c>
      <c r="Q36" s="1318" t="n">
        <f>($K$9+$K$10)*'ARP Timing'!H$16</f>
        <v>3.077788</v>
      </c>
      <c r="R36" s="1318" t="n">
        <f>($K$9+$K$10)*'ARP Timing'!I$16</f>
        <v>3.077788</v>
      </c>
      <c r="S36" s="1318" t="n">
        <f>($K$9+$K$10)*'ARP Timing'!J$16</f>
        <v>3.077788</v>
      </c>
      <c r="T36" s="1318" t="n">
        <f>($K$9+$K$10)*'ARP Timing'!K$16</f>
        <v>3.077788</v>
      </c>
      <c r="U36" s="1318" t="n">
        <f>($K$9+$K$10)*'ARP Timing'!L$16</f>
        <v>3.077788</v>
      </c>
      <c r="V36" s="1318" t="n">
        <f>($K$9+$K$10)*'ARP Timing'!M$16</f>
        <v>3.077788</v>
      </c>
    </row>
    <row r="37">
      <c r="B37" s="61" t="s">
        <v>248</v>
      </c>
      <c r="C37" s="1367"/>
      <c r="H37" s="1367"/>
      <c r="L37" s="1318" t="n">
        <f>($L$9+$L$10)*'ARP Timing'!B$16</f>
        <v>4.3968400000000001</v>
      </c>
      <c r="M37" s="1318" t="n">
        <f>($L$9+$L$10)*'ARP Timing'!C$16</f>
        <v>4.3968400000000001</v>
      </c>
      <c r="N37" s="1318" t="n">
        <f>($L$9+$L$10)*'ARP Timing'!D$16</f>
        <v>3.077788</v>
      </c>
      <c r="O37" s="1318" t="n">
        <f>($L$9+$L$10)*'ARP Timing'!E$16</f>
        <v>3.077788</v>
      </c>
      <c r="P37" s="1318" t="n">
        <f>($L$9+$L$10)*'ARP Timing'!F$16</f>
        <v>3.077788</v>
      </c>
      <c r="Q37" s="1318" t="n">
        <f>($L$9+$L$10)*'ARP Timing'!G$16</f>
        <v>3.077788</v>
      </c>
      <c r="R37" s="1318" t="n">
        <f>($L$9+$L$10)*'ARP Timing'!H$16</f>
        <v>3.077788</v>
      </c>
      <c r="S37" s="1318" t="n">
        <f>($L$9+$L$10)*'ARP Timing'!I$16</f>
        <v>3.077788</v>
      </c>
      <c r="T37" s="1318" t="n">
        <f>($L$9+$L$10)*'ARP Timing'!J$16</f>
        <v>3.077788</v>
      </c>
      <c r="U37" s="1318" t="n">
        <f>($L$9+$L$10)*'ARP Timing'!K$16</f>
        <v>3.077788</v>
      </c>
      <c r="V37" s="1318" t="n">
        <f>($L$9+$L$10)*'ARP Timing'!L$16</f>
        <v>3.077788</v>
      </c>
    </row>
    <row r="38">
      <c r="B38" s="61" t="s">
        <v>378</v>
      </c>
      <c r="C38" s="1367"/>
      <c r="H38" s="1367"/>
      <c r="M38" s="1318" t="n">
        <f>($M$9+$M$10)*'ARP Timing'!B$16</f>
        <v>4.3968400000000001</v>
      </c>
      <c r="N38" s="1318" t="n">
        <f>($M$9+$M$10)*'ARP Timing'!C$16</f>
        <v>4.3968400000000001</v>
      </c>
      <c r="O38" s="1318" t="n">
        <f>($M$9+$M$10)*'ARP Timing'!D$16</f>
        <v>3.077788</v>
      </c>
      <c r="P38" s="1318" t="n">
        <f>($M$9+$M$10)*'ARP Timing'!E$16</f>
        <v>3.077788</v>
      </c>
      <c r="Q38" s="1318" t="n">
        <f>($M$9+$M$10)*'ARP Timing'!F$16</f>
        <v>3.077788</v>
      </c>
      <c r="R38" s="1318" t="n">
        <f>($M$9+$M$10)*'ARP Timing'!G$16</f>
        <v>3.077788</v>
      </c>
      <c r="S38" s="1318" t="n">
        <f>($M$9+$M$10)*'ARP Timing'!H$16</f>
        <v>3.077788</v>
      </c>
      <c r="T38" s="1318" t="n">
        <f>($M$9+$M$10)*'ARP Timing'!I$16</f>
        <v>3.077788</v>
      </c>
      <c r="U38" s="1318" t="n">
        <f>($M$9+$M$10)*'ARP Timing'!J$16</f>
        <v>3.077788</v>
      </c>
      <c r="V38" s="1318" t="n">
        <f>($M$9+$M$10)*'ARP Timing'!K$16</f>
        <v>3.077788</v>
      </c>
    </row>
    <row r="39">
      <c r="B39" s="61" t="s">
        <v>829</v>
      </c>
      <c r="C39" s="1367"/>
      <c r="H39" s="1367"/>
      <c r="N39" s="1318" t="n">
        <f>($N$9+$N$10)*'ARP Timing'!B$16</f>
        <v>2.9087800000000006</v>
      </c>
      <c r="O39" s="1318" t="n">
        <f>($N$9+$N$10)*'ARP Timing'!C$16</f>
        <v>2.9087800000000006</v>
      </c>
      <c r="P39" s="1318" t="n">
        <f>($N$9+$N$10)*'ARP Timing'!D$16</f>
        <v>2.036146</v>
      </c>
      <c r="Q39" s="1318" t="n">
        <f>($N$9+$N$10)*'ARP Timing'!E$16</f>
        <v>2.036146</v>
      </c>
      <c r="R39" s="1318" t="n">
        <f>($N$9+$N$10)*'ARP Timing'!F$16</f>
        <v>2.036146</v>
      </c>
      <c r="S39" s="1318" t="n">
        <f>($N$9+$N$10)*'ARP Timing'!G$16</f>
        <v>2.036146</v>
      </c>
      <c r="T39" s="1318" t="n">
        <f>($N$9+$N$10)*'ARP Timing'!H$16</f>
        <v>2.036146</v>
      </c>
      <c r="U39" s="1318" t="n">
        <f>($N$9+$N$10)*'ARP Timing'!I$16</f>
        <v>2.036146</v>
      </c>
      <c r="V39" s="1318" t="n">
        <f>($N$9+$N$10)*'ARP Timing'!J$16</f>
        <v>2.036146</v>
      </c>
    </row>
    <row r="40">
      <c r="A40" s="1318" t="n">
        <v>2024</v>
      </c>
      <c r="B40" s="61" t="s">
        <v>247</v>
      </c>
      <c r="C40" s="1367"/>
      <c r="H40" s="1367"/>
      <c r="O40" s="1318" t="n">
        <f>($O$9+$O$10)*'ARP Timing'!B$16</f>
        <v>2.9087800000000006</v>
      </c>
      <c r="P40" s="1318" t="n">
        <f>($O$9+$O$10)*'ARP Timing'!C$16</f>
        <v>2.9087800000000006</v>
      </c>
      <c r="Q40" s="1318" t="n">
        <f>($O$9+$O$10)*'ARP Timing'!D$16</f>
        <v>2.036146</v>
      </c>
      <c r="R40" s="1318" t="n">
        <f>($O$9+$O$10)*'ARP Timing'!E$16</f>
        <v>2.036146</v>
      </c>
      <c r="S40" s="1318" t="n">
        <f>($O$9+$O$10)*'ARP Timing'!F$16</f>
        <v>2.036146</v>
      </c>
      <c r="T40" s="1318" t="n">
        <f>($O$9+$O$10)*'ARP Timing'!G$16</f>
        <v>2.036146</v>
      </c>
      <c r="U40" s="1318" t="n">
        <f>($O$9+$O$10)*'ARP Timing'!H$16</f>
        <v>2.036146</v>
      </c>
      <c r="V40" s="1318" t="n">
        <f>($O$9+$O$10)*'ARP Timing'!I$16</f>
        <v>2.036146</v>
      </c>
    </row>
    <row r="41">
      <c r="B41" s="61" t="s">
        <v>248</v>
      </c>
      <c r="C41" s="1367"/>
      <c r="H41" s="1367"/>
      <c r="P41" s="1318" t="n">
        <f>($P$9+$P$10)*'ARP Timing'!B$16</f>
        <v>2.9087800000000006</v>
      </c>
      <c r="Q41" s="1318" t="n">
        <f>($P$9+$P$10)*'ARP Timing'!C$16</f>
        <v>2.9087800000000006</v>
      </c>
      <c r="R41" s="1318" t="n">
        <f>($P$9+$P$10)*'ARP Timing'!D$16</f>
        <v>2.036146</v>
      </c>
      <c r="S41" s="1318" t="n">
        <f>($P$9+$P$10)*'ARP Timing'!E$16</f>
        <v>2.036146</v>
      </c>
      <c r="T41" s="1318" t="n">
        <f>($P$9+$P$10)*'ARP Timing'!F$16</f>
        <v>2.036146</v>
      </c>
      <c r="U41" s="1318" t="n">
        <f>($P$9+$P$10)*'ARP Timing'!G$16</f>
        <v>2.036146</v>
      </c>
      <c r="V41" s="1318" t="n">
        <f>($P$9+$P$10)*'ARP Timing'!H$16</f>
        <v>2.036146</v>
      </c>
    </row>
    <row r="42">
      <c r="B42" s="61" t="s">
        <v>378</v>
      </c>
      <c r="C42" s="1367"/>
      <c r="H42" s="1367"/>
      <c r="Q42" s="1318" t="n">
        <f>($Q$9+$Q$10)*'ARP Timing'!B$16</f>
        <v>2.9087800000000006</v>
      </c>
      <c r="R42" s="1318" t="n">
        <f>($Q$9+$Q$10)*'ARP Timing'!C$16</f>
        <v>2.9087800000000006</v>
      </c>
      <c r="S42" s="1318" t="n">
        <f>($Q$9+$Q$10)*'ARP Timing'!D$16</f>
        <v>2.036146</v>
      </c>
      <c r="T42" s="1318" t="n">
        <f>($Q$9+$Q$10)*'ARP Timing'!E$16</f>
        <v>2.036146</v>
      </c>
      <c r="U42" s="1318" t="n">
        <f>($Q$9+$Q$10)*'ARP Timing'!F$16</f>
        <v>2.036146</v>
      </c>
      <c r="V42" s="1318" t="n">
        <f>($Q$9+$Q$10)*'ARP Timing'!G$16</f>
        <v>2.036146</v>
      </c>
    </row>
    <row r="43">
      <c r="B43" s="61" t="s">
        <v>829</v>
      </c>
      <c r="C43" s="1367"/>
      <c r="H43" s="1367"/>
      <c r="R43" s="1318" t="n">
        <f>($R$9+$R$10)*'ARP Timing'!B$16</f>
        <v>1.9374600000000002</v>
      </c>
      <c r="S43" s="1318" t="n">
        <f>($R$9+$R$10)*'ARP Timing'!C$16</f>
        <v>1.9374600000000002</v>
      </c>
      <c r="T43" s="1318" t="n">
        <f>($R$9+$R$10)*'ARP Timing'!D$16</f>
        <v>1.356222</v>
      </c>
      <c r="U43" s="1318" t="n">
        <f>($R$9+$R$10)*'ARP Timing'!E$16</f>
        <v>1.356222</v>
      </c>
      <c r="V43" s="1318" t="n">
        <f>($R$9+$R$10)*'ARP Timing'!F$16</f>
        <v>1.356222</v>
      </c>
    </row>
    <row r="44">
      <c r="S44" s="1318" t="n">
        <f>($S$9+$S$10)*'ARP Timing'!B$16</f>
        <v>1.9374600000000002</v>
      </c>
      <c r="T44" s="1318" t="n">
        <f>($S$9+$S$10)*'ARP Timing'!C$16</f>
        <v>1.9374600000000002</v>
      </c>
      <c r="U44" s="1318" t="n">
        <f>($S$9+$S$10)*'ARP Timing'!D$16</f>
        <v>1.356222</v>
      </c>
      <c r="V44" s="1318" t="n">
        <f>($S$9+$S$10)*'ARP Timing'!E$16</f>
        <v>1.356222</v>
      </c>
    </row>
    <row r="46">
      <c r="B46" s="1318" t="s">
        <v>830</v>
      </c>
      <c r="D46" s="123" t="s">
        <v>296</v>
      </c>
      <c r="E46" s="123" t="s">
        <v>180</v>
      </c>
      <c r="F46" s="123" t="s">
        <v>181</v>
      </c>
      <c r="G46" s="123" t="s">
        <v>182</v>
      </c>
      <c r="H46" s="123" t="s">
        <v>183</v>
      </c>
      <c r="I46" s="123" t="s">
        <v>184</v>
      </c>
      <c r="J46" s="123" t="s">
        <v>185</v>
      </c>
      <c r="K46" s="123" t="s">
        <v>186</v>
      </c>
      <c r="L46" s="123" t="s">
        <v>187</v>
      </c>
      <c r="M46" s="123" t="s">
        <v>188</v>
      </c>
      <c r="N46" s="123" t="s">
        <v>189</v>
      </c>
      <c r="O46" s="123" t="s">
        <v>190</v>
      </c>
      <c r="P46" s="123" t="s">
        <v>191</v>
      </c>
      <c r="Q46" s="123" t="s">
        <v>175</v>
      </c>
      <c r="R46" s="123" t="s">
        <v>176</v>
      </c>
      <c r="S46" s="123" t="s">
        <v>177</v>
      </c>
      <c r="T46" s="123" t="s">
        <v>818</v>
      </c>
      <c r="U46" s="123" t="s">
        <v>819</v>
      </c>
      <c r="V46" s="123" t="s">
        <v>820</v>
      </c>
    </row>
    <row r="47">
      <c r="B47" s="61"/>
      <c r="C47" s="1367" t="s">
        <v>359</v>
      </c>
      <c r="D47" s="1369" t="n">
        <f t="shared" ref="D47:U47" si="42">SUM(D48:D66)</f>
        <v>0</v>
      </c>
      <c r="E47" s="1369" t="n">
        <f t="shared" si="42"/>
        <v>0</v>
      </c>
      <c r="F47" s="1369" t="n">
        <f t="shared" si="42"/>
        <v>34.620851999999999</v>
      </c>
      <c r="G47" s="1369" t="n">
        <f t="shared" si="42"/>
        <v>50.996274799999995</v>
      </c>
      <c r="H47" s="1369" t="n">
        <f t="shared" si="42"/>
        <v>69.350031999999999</v>
      </c>
      <c r="I47" s="1369" t="n">
        <f t="shared" si="42"/>
        <v>79.295867999999999</v>
      </c>
      <c r="J47" s="1369" t="n">
        <f t="shared" si="42"/>
        <v>80.538927999999999</v>
      </c>
      <c r="K47" s="1369" t="n">
        <f t="shared" si="42"/>
        <v>80.122543199999996</v>
      </c>
      <c r="L47" s="1369" t="n">
        <f t="shared" si="42"/>
        <v>88.916719999999998</v>
      </c>
      <c r="M47" s="1369" t="n">
        <f t="shared" si="42"/>
        <v>92.213943999999998</v>
      </c>
      <c r="N47" s="1369" t="n">
        <f t="shared" si="42"/>
        <v>92.213943999999998</v>
      </c>
      <c r="O47" s="1369" t="n">
        <f t="shared" si="42"/>
        <v>94.213943999999998</v>
      </c>
      <c r="P47" s="1369" t="n">
        <f t="shared" si="42"/>
        <v>98.916719999999998</v>
      </c>
      <c r="Q47" s="1369" t="n">
        <f t="shared" si="42"/>
        <v>98.916719999999998</v>
      </c>
      <c r="R47" s="1369" t="n">
        <f t="shared" si="42"/>
        <v>99.081581199999988</v>
      </c>
      <c r="S47" s="1369" t="n">
        <f t="shared" si="42"/>
        <v>93.146578000000005</v>
      </c>
      <c r="T47" s="1369" t="n">
        <f t="shared" si="42"/>
        <v>86.552129999999991</v>
      </c>
      <c r="U47" s="1369" t="n">
        <f t="shared" si="42"/>
        <v>86.552129999999991</v>
      </c>
      <c r="V47" s="1369" t="n">
        <f>SUM(V48:V66)</f>
        <v>82.265738799999994</v>
      </c>
      <c r="W47" s="1318" t="n">
        <f>SUM(G47:V47)/4</f>
        <v>343.32344900000004</v>
      </c>
    </row>
    <row r="48">
      <c r="A48" s="1318" t="n">
        <v>2021</v>
      </c>
      <c r="B48" s="61" t="s">
        <v>828</v>
      </c>
      <c r="C48" s="1367"/>
      <c r="D48" s="1318" t="n">
        <f>($D$8)*'ARP Timing'!B17</f>
        <v>0</v>
      </c>
      <c r="E48" s="1318" t="n">
        <f>($D$8)*'ARP Timing'!C17</f>
        <v>0</v>
      </c>
      <c r="F48" s="1318" t="n">
        <f>($D$8)*'ARP Timing'!D17</f>
        <v>34.620851999999999</v>
      </c>
      <c r="G48" s="1318" t="n">
        <f>($D$8)*'ARP Timing'!E17</f>
        <v>45.996274799999995</v>
      </c>
      <c r="H48" s="1318" t="n">
        <f>($D$8)*'ARP Timing'!F17</f>
        <v>59.350031999999992</v>
      </c>
      <c r="I48" s="1318" t="n">
        <f>($D$8)*'ARP Timing'!G17</f>
        <v>64.295867999999999</v>
      </c>
      <c r="J48" s="1318" t="n">
        <f>($D$8)*'ARP Timing'!H17</f>
        <v>49.458359999999999</v>
      </c>
      <c r="K48" s="1318" t="n">
        <f>($D$8)*'ARP Timing'!I17</f>
        <v>49.458359999999999</v>
      </c>
      <c r="L48" s="1318" t="n">
        <f>($D$8)*'ARP Timing'!J17</f>
        <v>59.350031999999992</v>
      </c>
      <c r="M48" s="1318" t="n">
        <f>($D$8)*'ARP Timing'!K17</f>
        <v>59.350031999999992</v>
      </c>
      <c r="N48" s="1318" t="n">
        <f>($D$8)*'ARP Timing'!L17</f>
        <v>69.241703999999999</v>
      </c>
      <c r="O48" s="1318" t="n">
        <f>($D$8)*'ARP Timing'!M17</f>
        <v>69.241703999999999</v>
      </c>
      <c r="P48" s="1318" t="n">
        <f>($D$8)*'ARP Timing'!N17</f>
        <v>59.350031999999992</v>
      </c>
      <c r="Q48" s="1318" t="n">
        <f>($D$8)*'ARP Timing'!O17</f>
        <v>59.350031999999992</v>
      </c>
      <c r="R48" s="1318" t="n">
        <f>($D$8)*'ARP Timing'!P17</f>
        <v>52.920445199999989</v>
      </c>
      <c r="S48" s="1318" t="n">
        <f>($D$8)*'ARP Timing'!Q17</f>
        <v>46.985441999999992</v>
      </c>
      <c r="T48" s="1318" t="n">
        <f>($D$8)*'ARP Timing'!R17</f>
        <v>46.985441999999992</v>
      </c>
      <c r="U48" s="1318" t="n">
        <f>($D$8)*'ARP Timing'!S17</f>
        <v>46.985441999999992</v>
      </c>
      <c r="V48" s="1318" t="n">
        <f>($D$8)*'ARP Timing'!T17</f>
        <v>46.985441999999992</v>
      </c>
    </row>
    <row r="49">
      <c r="B49" s="61" t="s">
        <v>378</v>
      </c>
      <c r="C49" s="1367"/>
      <c r="E49" s="1318" t="n">
        <f>($E$8)*'ARP Timing'!B$17</f>
        <v>0</v>
      </c>
      <c r="F49" s="1318" t="n">
        <f>($E$8)*'ARP Timing'!C$16</f>
        <v>0</v>
      </c>
      <c r="G49" s="1318" t="n">
        <f>($E$8)*'ARP Timing'!D$16</f>
        <v>0</v>
      </c>
      <c r="H49" s="1318" t="n">
        <f>($E$8)*'ARP Timing'!E$16</f>
        <v>0</v>
      </c>
      <c r="I49" s="1318" t="n">
        <f>($E$8)*'ARP Timing'!F$16</f>
        <v>0</v>
      </c>
      <c r="J49" s="1318" t="n">
        <f>($E$8)*'ARP Timing'!G$16</f>
        <v>0</v>
      </c>
      <c r="K49" s="1318" t="n">
        <f>($E$8)*'ARP Timing'!H$16</f>
        <v>0</v>
      </c>
      <c r="L49" s="1318" t="n">
        <f>($E$8)*'ARP Timing'!I$16</f>
        <v>0</v>
      </c>
      <c r="M49" s="1318" t="n">
        <f>($E$8)*'ARP Timing'!J$16</f>
        <v>0</v>
      </c>
      <c r="N49" s="1318" t="n">
        <f>($E$8)*'ARP Timing'!K$16</f>
        <v>0</v>
      </c>
      <c r="O49" s="1318" t="n">
        <f>($E$8)*'ARP Timing'!L$16</f>
        <v>0</v>
      </c>
      <c r="P49" s="1318" t="n">
        <f>($E$8)*'ARP Timing'!M$16</f>
        <v>0</v>
      </c>
      <c r="Q49" s="1318" t="n">
        <f>($E$8)*'ARP Timing'!N$16</f>
        <v>0</v>
      </c>
      <c r="R49" s="1318" t="n">
        <f>($E$8)*'ARP Timing'!O$16</f>
        <v>0</v>
      </c>
      <c r="S49" s="1318" t="n">
        <f>($E$8)*'ARP Timing'!P$16</f>
        <v>0</v>
      </c>
      <c r="T49" s="1318" t="n">
        <f>($E$8)*'ARP Timing'!Q$16</f>
        <v>0</v>
      </c>
      <c r="U49" s="1318" t="n">
        <f>($E$8)*'ARP Timing'!R$16</f>
        <v>0</v>
      </c>
      <c r="V49" s="1318" t="n">
        <f>($E$8)*'ARP Timing'!S$16</f>
        <v>0</v>
      </c>
    </row>
    <row r="50">
      <c r="B50" s="61" t="s">
        <v>829</v>
      </c>
      <c r="C50" s="1367"/>
      <c r="F50" s="1318" t="n">
        <f>($F$8)*'ARP Timing'!C$17</f>
        <v>0</v>
      </c>
      <c r="G50" s="1318" t="n">
        <f>($F$8)*'ARP Timing'!D$17</f>
        <v>0</v>
      </c>
      <c r="H50" s="1318" t="n">
        <f>($F$8)*'ARP Timing'!E$17</f>
        <v>0</v>
      </c>
      <c r="I50" s="1318" t="n">
        <f>($F$8)*'ARP Timing'!F$17</f>
        <v>0</v>
      </c>
      <c r="J50" s="1318" t="n">
        <f>($F$8)*'ARP Timing'!G$17</f>
        <v>0</v>
      </c>
      <c r="K50" s="1318" t="n">
        <f>($F$8)*'ARP Timing'!H$17</f>
        <v>0</v>
      </c>
      <c r="L50" s="1318" t="n">
        <f>($F$8)*'ARP Timing'!I$17</f>
        <v>0</v>
      </c>
      <c r="M50" s="1318" t="n">
        <f>($F$8)*'ARP Timing'!J$17</f>
        <v>0</v>
      </c>
      <c r="N50" s="1318" t="n">
        <f>($F$8)*'ARP Timing'!K$17</f>
        <v>0</v>
      </c>
      <c r="O50" s="1318" t="n">
        <f>($F$8)*'ARP Timing'!L$17</f>
        <v>0</v>
      </c>
      <c r="P50" s="1318" t="n">
        <f>($F$8)*'ARP Timing'!M$17</f>
        <v>0</v>
      </c>
      <c r="Q50" s="1318" t="n">
        <f>($F$8)*'ARP Timing'!N$17</f>
        <v>0</v>
      </c>
      <c r="R50" s="1318" t="n">
        <f>($F$8)*'ARP Timing'!O$17</f>
        <v>0</v>
      </c>
      <c r="S50" s="1318" t="n">
        <f>($F$8)*'ARP Timing'!P$17</f>
        <v>0</v>
      </c>
      <c r="T50" s="1318" t="n">
        <f>($F$8)*'ARP Timing'!Q$17</f>
        <v>0</v>
      </c>
      <c r="U50" s="1318" t="n">
        <f>($F$8)*'ARP Timing'!R$17</f>
        <v>0</v>
      </c>
      <c r="V50" s="1318" t="n">
        <f>($F$8)*'ARP Timing'!S$17</f>
        <v>0</v>
      </c>
    </row>
    <row r="51">
      <c r="A51" s="1318" t="n">
        <v>2022</v>
      </c>
      <c r="B51" s="61" t="s">
        <v>247</v>
      </c>
      <c r="C51" s="1367"/>
      <c r="G51" s="1318" t="n">
        <f>($G$8)*'ARP Timing'!D$17</f>
        <v>0</v>
      </c>
      <c r="H51" s="1318" t="n">
        <f>($G$8)*'ARP Timing'!E$17</f>
        <v>0</v>
      </c>
      <c r="I51" s="1318" t="n">
        <f>($G$8)*'ARP Timing'!F$17</f>
        <v>0</v>
      </c>
      <c r="J51" s="1318" t="n">
        <f>($G$8)*'ARP Timing'!G$17</f>
        <v>0</v>
      </c>
      <c r="K51" s="1318" t="n">
        <f>($G$8)*'ARP Timing'!H$17</f>
        <v>0</v>
      </c>
      <c r="L51" s="1318" t="n">
        <f>($G$8)*'ARP Timing'!I$17</f>
        <v>0</v>
      </c>
      <c r="M51" s="1318" t="n">
        <f>($G$8)*'ARP Timing'!J$17</f>
        <v>0</v>
      </c>
      <c r="N51" s="1318" t="n">
        <f>($G$8)*'ARP Timing'!K$17</f>
        <v>0</v>
      </c>
      <c r="O51" s="1318" t="n">
        <f>($G$8)*'ARP Timing'!L$17</f>
        <v>0</v>
      </c>
      <c r="P51" s="1318" t="n">
        <f>($G$8)*'ARP Timing'!M$17</f>
        <v>0</v>
      </c>
      <c r="Q51" s="1318" t="n">
        <f>($G$8)*'ARP Timing'!N$17</f>
        <v>0</v>
      </c>
      <c r="R51" s="1318" t="n">
        <f>($G$8)*'ARP Timing'!O$17</f>
        <v>0</v>
      </c>
      <c r="S51" s="1318" t="n">
        <f>($G$8)*'ARP Timing'!P$17</f>
        <v>0</v>
      </c>
      <c r="T51" s="1318" t="n">
        <f>($G$8)*'ARP Timing'!Q$17</f>
        <v>0</v>
      </c>
      <c r="U51" s="1318" t="n">
        <f>($G$8)*'ARP Timing'!R$17</f>
        <v>0</v>
      </c>
      <c r="V51" s="1318" t="n">
        <f>($G$8)*'ARP Timing'!S$17</f>
        <v>0</v>
      </c>
    </row>
    <row r="52">
      <c r="B52" s="61" t="s">
        <v>248</v>
      </c>
      <c r="C52" s="1367"/>
      <c r="H52" s="1318" t="n">
        <f>($H$8)*'ARP Timing'!B$17</f>
        <v>0</v>
      </c>
      <c r="I52" s="1318" t="n">
        <f>($H$8)*'ARP Timing'!C$17</f>
        <v>0</v>
      </c>
      <c r="J52" s="1318" t="n">
        <f>($H$8)*'ARP Timing'!D$17</f>
        <v>23.080568000000003</v>
      </c>
      <c r="K52" s="1318" t="n">
        <f>($H$8)*'ARP Timing'!E$17</f>
        <v>30.6641832</v>
      </c>
      <c r="L52" s="1318" t="n">
        <f>($H$8)*'ARP Timing'!F$17</f>
        <v>39.566687999999999</v>
      </c>
      <c r="M52" s="1318" t="n">
        <f>($H$8)*'ARP Timing'!G$17</f>
        <v>42.863911999999999</v>
      </c>
      <c r="N52" s="1318" t="n">
        <f>($H$8)*'ARP Timing'!H$17</f>
        <v>32.972239999999999</v>
      </c>
      <c r="O52" s="1318" t="n">
        <f>($H$8)*'ARP Timing'!I$17</f>
        <v>32.972239999999999</v>
      </c>
      <c r="P52" s="1318" t="n">
        <f>($H$8)*'ARP Timing'!J$17</f>
        <v>39.566687999999999</v>
      </c>
      <c r="Q52" s="1318" t="n">
        <f>($H$8)*'ARP Timing'!K$17</f>
        <v>39.566687999999999</v>
      </c>
      <c r="R52" s="1318" t="n">
        <f>($H$8)*'ARP Timing'!L$17</f>
        <v>46.161136000000006</v>
      </c>
      <c r="S52" s="1318" t="n">
        <f>($H$8)*'ARP Timing'!M$17</f>
        <v>46.161136000000006</v>
      </c>
      <c r="T52" s="1318" t="n">
        <f>($H$8)*'ARP Timing'!N$17</f>
        <v>39.566687999999999</v>
      </c>
      <c r="U52" s="1318" t="n">
        <f>($H$8)*'ARP Timing'!O$17</f>
        <v>39.566687999999999</v>
      </c>
      <c r="V52" s="1318" t="n">
        <f>($H$8)*'ARP Timing'!P$17</f>
        <v>35.280296800000002</v>
      </c>
    </row>
    <row r="53">
      <c r="B53" s="61" t="s">
        <v>378</v>
      </c>
      <c r="C53" s="1367"/>
      <c r="H53" s="1367"/>
      <c r="I53" s="1318" t="n">
        <f>($I$8)*'ARP Timing'!B$17</f>
        <v>0</v>
      </c>
      <c r="J53" s="1318" t="n">
        <f>($I$8)*'ARP Timing'!C$17</f>
        <v>0</v>
      </c>
      <c r="K53" s="1318" t="n">
        <f>($I$8)*'ARP Timing'!D$17</f>
        <v>0</v>
      </c>
      <c r="L53" s="1318" t="n">
        <f>($I$8)*'ARP Timing'!E$17</f>
        <v>0</v>
      </c>
      <c r="M53" s="1318" t="n">
        <f>($I$8)*'ARP Timing'!F$17</f>
        <v>0</v>
      </c>
      <c r="N53" s="1318" t="n">
        <f>($I$8)*'ARP Timing'!G$17</f>
        <v>0</v>
      </c>
      <c r="O53" s="1318" t="n">
        <f>($I$8)*'ARP Timing'!H$17</f>
        <v>0</v>
      </c>
      <c r="P53" s="1318" t="n">
        <f>($I$8)*'ARP Timing'!I$17</f>
        <v>0</v>
      </c>
      <c r="Q53" s="1318" t="n">
        <f>($I$8)*'ARP Timing'!J$17</f>
        <v>0</v>
      </c>
      <c r="R53" s="1318" t="n">
        <f>($I$8)*'ARP Timing'!K$17</f>
        <v>0</v>
      </c>
      <c r="S53" s="1318" t="n">
        <f>($I$8)*'ARP Timing'!L$17</f>
        <v>0</v>
      </c>
      <c r="T53" s="1318" t="n">
        <f>($I$8)*'ARP Timing'!M$17</f>
        <v>0</v>
      </c>
      <c r="U53" s="1318" t="n">
        <f>($I$8)*'ARP Timing'!N$17</f>
        <v>0</v>
      </c>
      <c r="V53" s="1318" t="n">
        <f>($I$8)*'ARP Timing'!O$17</f>
        <v>0</v>
      </c>
    </row>
    <row r="54">
      <c r="B54" s="61" t="s">
        <v>829</v>
      </c>
      <c r="C54" s="1367"/>
      <c r="H54" s="1367"/>
    </row>
    <row r="55">
      <c r="A55" s="1318" t="n">
        <v>2023</v>
      </c>
      <c r="B55" s="61" t="s">
        <v>247</v>
      </c>
      <c r="C55" s="1367"/>
      <c r="H55" s="1367"/>
    </row>
    <row r="56">
      <c r="B56" s="61" t="s">
        <v>248</v>
      </c>
      <c r="C56" s="1367"/>
      <c r="H56" s="1367"/>
    </row>
    <row r="57">
      <c r="B57" s="61" t="s">
        <v>378</v>
      </c>
      <c r="C57" s="1367"/>
      <c r="H57" s="1367"/>
    </row>
    <row r="58">
      <c r="B58" s="61" t="s">
        <v>829</v>
      </c>
      <c r="C58" s="1367"/>
      <c r="H58" s="1367"/>
    </row>
    <row r="59">
      <c r="A59" s="1318" t="n">
        <v>2024</v>
      </c>
      <c r="B59" s="61" t="s">
        <v>247</v>
      </c>
      <c r="C59" s="1367"/>
      <c r="H59" s="1367"/>
    </row>
    <row r="60">
      <c r="B60" s="61" t="s">
        <v>248</v>
      </c>
      <c r="C60" s="1367"/>
      <c r="H60" s="1367"/>
    </row>
    <row r="61">
      <c r="B61" s="61" t="s">
        <v>378</v>
      </c>
      <c r="C61" s="1367"/>
      <c r="H61" s="1367"/>
    </row>
    <row r="62">
      <c r="B62" s="61" t="s">
        <v>829</v>
      </c>
      <c r="C62" s="1367"/>
      <c r="H62" s="1367"/>
    </row>
    <row r="63">
      <c r="A63" t="s">
        <v>953</v>
      </c>
      <c r="B63" s="61"/>
      <c r="C63" s="1367"/>
      <c r="G63" t="n">
        <v>5</v>
      </c>
      <c r="H63" s="1367" t="n">
        <v>10</v>
      </c>
      <c r="I63" t="n">
        <v>15</v>
      </c>
      <c r="J63" t="n">
        <v>8</v>
      </c>
      <c r="K63" t="n">
        <v>0</v>
      </c>
      <c r="L63" t="n">
        <v>-10</v>
      </c>
      <c r="M63" t="n">
        <v>-10</v>
      </c>
      <c r="N63" t="n">
        <v>-10</v>
      </c>
      <c r="O63" t="n">
        <v>-8</v>
      </c>
    </row>
    <row r="64">
      <c r="B64" s="61"/>
      <c r="C64" s="1367"/>
      <c r="H64" s="1367"/>
    </row>
    <row r="65">
      <c r="B65" s="61"/>
      <c r="C65" s="1367"/>
      <c r="H65" s="1367"/>
    </row>
    <row r="66">
      <c r="B66" s="61"/>
      <c r="C66" s="1367"/>
      <c r="H66" s="1367"/>
    </row>
    <row r="67">
      <c r="B67" s="61"/>
      <c r="C67" s="1367"/>
      <c r="H67" s="1367"/>
    </row>
    <row r="68">
      <c r="B68" s="61"/>
      <c r="C68" s="1367"/>
      <c r="H68" s="1367"/>
    </row>
    <row r="69">
      <c r="B69" s="61"/>
      <c r="C69" s="1367"/>
      <c r="H69" s="1367"/>
    </row>
    <row r="70">
      <c r="B70" s="61"/>
      <c r="C70" s="1367"/>
      <c r="H70" s="1367"/>
    </row>
    <row r="71">
      <c r="B71" s="61"/>
      <c r="C71" s="1367"/>
      <c r="H71" s="1367"/>
    </row>
    <row r="72">
      <c r="B72" s="61"/>
      <c r="C72" s="1367"/>
      <c r="H72" s="1367"/>
    </row>
    <row r="73">
      <c r="B73" s="61" t="s">
        <v>831</v>
      </c>
      <c r="C73" s="1365" t="n">
        <v>2021</v>
      </c>
      <c r="D73" s="1365" t="n">
        <v>2022</v>
      </c>
      <c r="E73" s="1365" t="n">
        <v>2023</v>
      </c>
      <c r="F73" s="1365" t="n">
        <v>2024</v>
      </c>
      <c r="G73" s="1365" t="n">
        <v>2025</v>
      </c>
      <c r="H73" s="1367"/>
    </row>
    <row r="74">
      <c r="B74" s="61" t="s">
        <v>728</v>
      </c>
      <c r="C74" s="1370" t="n">
        <f t="shared" ref="C74:C85" si="43">SUM(C4:E4)/4</f>
        <v>0.77600000000001046</v>
      </c>
      <c r="D74" s="1370" t="n">
        <f t="shared" ref="D74:D85" si="44">SUM(F4:I4)/4</f>
        <v>19.719000000000005</v>
      </c>
      <c r="E74" s="1370" t="n">
        <f t="shared" ref="E74:E85" si="45">SUM(J4:M4)/4</f>
        <v>1.4159999999999999</v>
      </c>
      <c r="F74" s="1370" t="n">
        <f t="shared" ref="F74:F85" si="46">SUM(N4:Q4)/4</f>
        <v>1.4790000000000001</v>
      </c>
      <c r="G74" s="1370" t="n">
        <f t="shared" ref="G74:G85" si="47">SUM(R4:U4)/4</f>
        <v>1.63</v>
      </c>
    </row>
    <row r="75">
      <c r="B75" s="61" t="s">
        <v>729</v>
      </c>
      <c r="C75" s="1370" t="n">
        <f t="shared" si="43"/>
        <v>19.722000000000016</v>
      </c>
      <c r="D75" s="1370" t="n">
        <f t="shared" si="44"/>
        <v>52.756999999999998</v>
      </c>
      <c r="E75" s="1370" t="n">
        <f t="shared" si="45"/>
        <v>12</v>
      </c>
      <c r="F75" s="1370" t="n">
        <f t="shared" si="46"/>
        <v>4.2219999999999995</v>
      </c>
      <c r="G75" s="1370" t="n">
        <f t="shared" si="47"/>
        <v>2.3719999999999999</v>
      </c>
      <c r="H75" s="1367"/>
    </row>
    <row r="76">
      <c r="B76" s="61" t="s">
        <v>52</v>
      </c>
      <c r="C76" s="1370" t="n">
        <f t="shared" si="43"/>
        <v>81.643000000000001</v>
      </c>
      <c r="D76" s="1370" t="n">
        <f t="shared" si="44"/>
        <v>110.24799999999999</v>
      </c>
      <c r="E76" s="1370" t="n">
        <f t="shared" si="45"/>
        <v>12.726000000000001</v>
      </c>
      <c r="F76" s="1370" t="n">
        <f t="shared" si="46"/>
        <v>1.365</v>
      </c>
      <c r="G76" s="1370" t="n">
        <f t="shared" si="47"/>
        <v>-0.90100000000000025</v>
      </c>
      <c r="H76" s="1367"/>
      <c r="O76" s="61"/>
      <c r="P76" s="61"/>
      <c r="Q76" s="61"/>
      <c r="R76" s="61"/>
      <c r="S76" s="1371"/>
      <c r="T76" s="1371"/>
      <c r="U76" s="1371"/>
      <c r="V76" s="34"/>
      <c r="W76" s="61"/>
      <c r="X76" s="61"/>
    </row>
    <row r="77">
      <c r="B77" s="61" t="s">
        <v>131</v>
      </c>
      <c r="C77" s="1370" t="n">
        <f t="shared" si="43"/>
        <v>7.798</v>
      </c>
      <c r="D77" s="1370" t="n">
        <f t="shared" si="44"/>
        <v>7.9489999999999998</v>
      </c>
      <c r="E77" s="1370" t="n">
        <f t="shared" si="45"/>
        <v>4.7519999999999998</v>
      </c>
      <c r="F77" s="1370" t="n">
        <f t="shared" si="46"/>
        <v>4.637999999999999</v>
      </c>
      <c r="G77" s="1370" t="n">
        <f t="shared" si="47"/>
        <v>1.8800000000000001</v>
      </c>
      <c r="H77" s="1367"/>
    </row>
    <row r="78">
      <c r="B78" s="1368" t="s">
        <v>395</v>
      </c>
      <c r="C78" s="1370" t="n">
        <f t="shared" si="43"/>
        <v>247.29179999999997</v>
      </c>
      <c r="D78" s="1370" t="n">
        <f t="shared" si="44"/>
        <v>164.8612</v>
      </c>
      <c r="E78" s="1370" t="n">
        <f t="shared" si="45"/>
        <v>0</v>
      </c>
      <c r="F78" s="1370" t="n">
        <f t="shared" si="46"/>
        <v>0</v>
      </c>
      <c r="G78" s="1370" t="n">
        <f t="shared" si="47"/>
        <v>0</v>
      </c>
      <c r="H78" s="1367"/>
      <c r="R78" s="1331"/>
      <c r="S78" s="1331"/>
    </row>
    <row r="79">
      <c r="B79" s="1368" t="s">
        <v>150</v>
      </c>
      <c r="C79" s="1370" t="n">
        <f t="shared" si="43"/>
        <v>12.347</v>
      </c>
      <c r="D79" s="1370" t="n">
        <f t="shared" si="44"/>
        <v>46.79</v>
      </c>
      <c r="E79" s="1370" t="n">
        <f t="shared" si="45"/>
        <v>38.595999999999997</v>
      </c>
      <c r="F79" s="1370" t="n">
        <f t="shared" si="46"/>
        <v>31.911000000000001</v>
      </c>
      <c r="G79" s="1370" t="n">
        <f t="shared" si="47"/>
        <v>23.099</v>
      </c>
      <c r="H79" s="1367"/>
      <c r="R79" s="1331"/>
      <c r="S79" s="1331"/>
    </row>
    <row r="80">
      <c r="B80" s="1368" t="s">
        <v>411</v>
      </c>
      <c r="C80" s="1370" t="n">
        <f t="shared" si="43"/>
        <v>29.628</v>
      </c>
      <c r="D80" s="1370" t="n">
        <f t="shared" si="44"/>
        <v>35.671000000000006</v>
      </c>
      <c r="E80" s="1370" t="n">
        <f t="shared" si="45"/>
        <v>24.216000000000001</v>
      </c>
      <c r="F80" s="1370" t="n">
        <f t="shared" si="46"/>
        <v>9.6430000000000007</v>
      </c>
      <c r="G80" s="1370" t="n">
        <f t="shared" si="47"/>
        <v>4.5789999999999997</v>
      </c>
      <c r="H80" s="1367"/>
      <c r="R80" s="1331"/>
      <c r="S80" s="1331"/>
    </row>
    <row r="81">
      <c r="B81" s="34" t="s">
        <v>159</v>
      </c>
      <c r="C81" s="1370" t="n">
        <f t="shared" si="43"/>
        <v>25.75</v>
      </c>
      <c r="D81" s="1370" t="n">
        <f t="shared" si="44"/>
        <v>0</v>
      </c>
      <c r="E81" s="1370" t="n">
        <f t="shared" si="45"/>
        <v>0</v>
      </c>
      <c r="F81" s="1370" t="n">
        <f t="shared" si="46"/>
        <v>0</v>
      </c>
      <c r="G81" s="1370" t="n">
        <f t="shared" si="47"/>
        <v>0</v>
      </c>
      <c r="H81" s="1367"/>
      <c r="R81" s="1331"/>
      <c r="S81" s="1331"/>
    </row>
    <row r="82">
      <c r="B82" s="61" t="s">
        <v>109</v>
      </c>
      <c r="C82" s="1370" t="n">
        <f t="shared" si="43"/>
        <v>31.939</v>
      </c>
      <c r="D82" s="1370" t="n">
        <f t="shared" si="44"/>
        <v>56.413000000000004</v>
      </c>
      <c r="E82" s="1370" t="n">
        <f t="shared" si="45"/>
        <v>15.652999999999999</v>
      </c>
      <c r="F82" s="1370" t="n">
        <f t="shared" si="46"/>
        <v>3.9320000000000004</v>
      </c>
      <c r="G82" s="1370" t="n">
        <f t="shared" si="47"/>
        <v>-0.74299999999999988</v>
      </c>
      <c r="R82" s="1331"/>
      <c r="S82" s="1331"/>
    </row>
    <row r="83">
      <c r="B83" s="1318" t="s">
        <v>822</v>
      </c>
      <c r="C83" s="1370" t="n">
        <f t="shared" si="43"/>
        <v>1.02</v>
      </c>
      <c r="D83" s="1370" t="n">
        <f t="shared" si="44"/>
        <v>1.5299999999999998</v>
      </c>
      <c r="E83" s="1370" t="n">
        <f t="shared" si="45"/>
        <v>0</v>
      </c>
      <c r="F83" s="1370" t="n">
        <f t="shared" si="46"/>
        <v>0</v>
      </c>
      <c r="G83" s="1370" t="n">
        <f t="shared" si="47"/>
        <v>0</v>
      </c>
      <c r="R83" s="1331"/>
      <c r="S83" s="1331"/>
    </row>
    <row r="84">
      <c r="B84" s="1318" t="s">
        <v>823</v>
      </c>
      <c r="C84" s="1370" t="n">
        <f t="shared" si="43"/>
        <v>0.67999999999999994</v>
      </c>
      <c r="D84" s="1370" t="n">
        <f t="shared" si="44"/>
        <v>1.02</v>
      </c>
      <c r="E84" s="1370" t="n">
        <f t="shared" si="45"/>
        <v>0</v>
      </c>
      <c r="F84" s="1370" t="n">
        <f t="shared" si="46"/>
        <v>0</v>
      </c>
      <c r="G84" s="1370" t="n">
        <f t="shared" si="47"/>
        <v>0</v>
      </c>
      <c r="R84" s="1331"/>
      <c r="S84" s="1331"/>
    </row>
    <row r="85">
      <c r="B85" s="1318" t="s">
        <v>521</v>
      </c>
      <c r="C85" s="1370" t="n">
        <f t="shared" si="43"/>
        <v>1.6999999999999997</v>
      </c>
      <c r="D85" s="1370" t="n">
        <f t="shared" si="44"/>
        <v>2.5499999999999998</v>
      </c>
      <c r="E85" s="1370" t="n">
        <f t="shared" si="45"/>
        <v>0</v>
      </c>
      <c r="F85" s="1370" t="n">
        <f t="shared" si="46"/>
        <v>0</v>
      </c>
      <c r="G85" s="1370" t="n">
        <f t="shared" si="47"/>
        <v>0</v>
      </c>
      <c r="R85" s="1331"/>
      <c r="S85" s="1331"/>
    </row>
    <row r="86">
      <c r="C86" s="1365" t="n">
        <v>2021</v>
      </c>
      <c r="D86" s="1365" t="n">
        <v>2022</v>
      </c>
      <c r="E86" s="1365" t="n">
        <v>2023</v>
      </c>
      <c r="F86" s="1365" t="n">
        <v>2024</v>
      </c>
      <c r="G86" s="1365" t="n">
        <v>2025</v>
      </c>
      <c r="R86" s="1331"/>
      <c r="S86" s="1331"/>
    </row>
    <row r="87">
      <c r="B87" s="1318" t="s">
        <v>832</v>
      </c>
      <c r="C87" s="1369" t="n">
        <f>SUM(C83:C85)</f>
        <v>3.3999999999999995</v>
      </c>
      <c r="D87" s="1369" t="n">
        <f t="shared" ref="D87:G87" si="48">SUM(D83:D85)</f>
        <v>5.0999999999999996</v>
      </c>
      <c r="E87" s="1369" t="n">
        <f t="shared" si="48"/>
        <v>0</v>
      </c>
      <c r="F87" s="1369" t="n">
        <f t="shared" si="48"/>
        <v>0</v>
      </c>
      <c r="G87" s="1369" t="n">
        <f t="shared" si="48"/>
        <v>0</v>
      </c>
      <c r="R87" s="1331"/>
      <c r="S87" s="1331"/>
    </row>
    <row r="90">
      <c r="B90" s="1318" t="s">
        <v>728</v>
      </c>
      <c r="C90" s="1370" t="n">
        <v>26.636000000000024</v>
      </c>
      <c r="D90" s="1370" t="n">
        <v>98.978999999999999</v>
      </c>
      <c r="E90" s="1370" t="n">
        <v>2.1159999999999997</v>
      </c>
      <c r="F90" s="1370" t="n">
        <v>2.1789999999999998</v>
      </c>
      <c r="G90" s="1370" t="n">
        <v>2.33</v>
      </c>
      <c r="H90" s="1370"/>
      <c r="I90" s="1370"/>
      <c r="J90" s="1370"/>
      <c r="K90" s="1370"/>
      <c r="L90" s="1370"/>
      <c r="M90" s="1370"/>
    </row>
    <row r="91">
      <c r="B91" s="1318" t="s">
        <v>729</v>
      </c>
      <c r="C91" s="1370" t="n">
        <v>47.722000000000016</v>
      </c>
      <c r="D91" s="1370" t="n">
        <v>52.756999999999998</v>
      </c>
      <c r="E91" s="1370" t="n">
        <v>12</v>
      </c>
      <c r="F91" s="1370" t="n">
        <v>4.2219999999999995</v>
      </c>
      <c r="G91" s="1370" t="n">
        <v>2.3719999999999999</v>
      </c>
      <c r="H91" s="1370"/>
      <c r="I91" s="1370"/>
      <c r="J91" s="1370"/>
      <c r="K91" s="1370"/>
      <c r="L91" s="1370"/>
      <c r="M91" s="1370"/>
    </row>
    <row r="92">
      <c r="B92" s="1318" t="s">
        <v>52</v>
      </c>
      <c r="C92" s="1370" t="n">
        <v>81.842999999999989</v>
      </c>
      <c r="D92" s="1370" t="n">
        <v>110.24799999999999</v>
      </c>
      <c r="E92" s="1370" t="n">
        <v>12.726000000000001</v>
      </c>
      <c r="F92" s="1370" t="n">
        <v>1.365</v>
      </c>
      <c r="G92" s="1370" t="n">
        <v>-0.90100000000000025</v>
      </c>
      <c r="H92" s="1370"/>
      <c r="I92" s="1370"/>
      <c r="J92" s="1370"/>
      <c r="K92" s="1370"/>
      <c r="L92" s="1370"/>
      <c r="M92" s="1370"/>
    </row>
    <row r="93">
      <c r="B93" s="1318" t="s">
        <v>131</v>
      </c>
      <c r="C93" s="1370" t="n">
        <v>7.798</v>
      </c>
      <c r="D93" s="1370" t="n">
        <v>7.9489999999999998</v>
      </c>
      <c r="E93" s="1370" t="n">
        <v>4.7519999999999998</v>
      </c>
      <c r="F93" s="1370" t="n">
        <v>4.637999999999999</v>
      </c>
      <c r="G93" s="1370" t="n">
        <v>1.8800000000000001</v>
      </c>
      <c r="H93" s="1370"/>
      <c r="I93" s="1370"/>
      <c r="J93" s="1370"/>
      <c r="K93" s="1370"/>
      <c r="L93" s="1370"/>
      <c r="M93" s="1370"/>
    </row>
    <row r="94">
      <c r="B94" s="1318" t="s">
        <v>395</v>
      </c>
      <c r="C94" s="1370" t="n">
        <v>283.95749999999998</v>
      </c>
      <c r="D94" s="1370" t="n">
        <v>77.092500000000001</v>
      </c>
      <c r="E94" s="1370" t="n">
        <v>1</v>
      </c>
      <c r="F94" s="1370" t="n">
        <v>0</v>
      </c>
      <c r="G94" s="1370" t="n">
        <v>0</v>
      </c>
      <c r="H94" s="1370"/>
      <c r="I94" s="1370"/>
      <c r="J94" s="1370"/>
      <c r="K94" s="1370"/>
      <c r="L94" s="1370"/>
      <c r="M94" s="1370"/>
    </row>
    <row r="95">
      <c r="B95" s="1318" t="s">
        <v>150</v>
      </c>
      <c r="C95" s="1370" t="n">
        <v>12.347</v>
      </c>
      <c r="D95" s="1370" t="n">
        <v>46.79</v>
      </c>
      <c r="E95" s="1370" t="n">
        <v>38.595999999999997</v>
      </c>
      <c r="F95" s="1370" t="n">
        <v>31.911000000000001</v>
      </c>
      <c r="G95" s="1370" t="n">
        <v>23.099</v>
      </c>
      <c r="H95" s="1370"/>
      <c r="I95" s="1370"/>
      <c r="J95" s="1370"/>
      <c r="K95" s="1370"/>
      <c r="L95" s="1370"/>
      <c r="M95" s="1370"/>
    </row>
    <row r="96">
      <c r="B96" s="1318" t="s">
        <v>411</v>
      </c>
      <c r="C96" s="1370" t="n">
        <v>2.286</v>
      </c>
      <c r="D96" s="1370" t="n">
        <v>4.6049999999999995</v>
      </c>
      <c r="E96" s="1370" t="n">
        <v>1.349</v>
      </c>
      <c r="F96" s="1370" t="n">
        <v>0.441</v>
      </c>
      <c r="G96" s="1370" t="n">
        <v>0.313</v>
      </c>
      <c r="H96" s="1370"/>
      <c r="I96" s="1370"/>
      <c r="J96" s="1370"/>
      <c r="K96" s="1370"/>
      <c r="L96" s="1370"/>
      <c r="M96" s="1370"/>
    </row>
    <row r="97">
      <c r="B97" s="1318" t="s">
        <v>159</v>
      </c>
      <c r="C97" s="1370" t="n">
        <v>25.75</v>
      </c>
      <c r="D97" s="1370" t="n">
        <v>0</v>
      </c>
      <c r="E97" s="1370" t="n">
        <v>0</v>
      </c>
      <c r="F97" s="1370" t="n">
        <v>0</v>
      </c>
      <c r="G97" s="1370" t="n">
        <v>0</v>
      </c>
      <c r="H97" s="1370"/>
      <c r="I97" s="1370"/>
      <c r="J97" s="1370"/>
      <c r="K97" s="1370"/>
      <c r="L97" s="1370"/>
      <c r="M97" s="1370"/>
    </row>
    <row r="98">
      <c r="B98" s="1318" t="s">
        <v>109</v>
      </c>
      <c r="C98" s="1370" t="n">
        <v>60.441000000000003</v>
      </c>
      <c r="D98" s="1370" t="n">
        <v>91.678999999999988</v>
      </c>
      <c r="E98" s="1370" t="n">
        <v>41.220000000000006</v>
      </c>
      <c r="F98" s="1370" t="n">
        <v>14.004000000000003</v>
      </c>
      <c r="G98" s="1370" t="n">
        <v>3.8530000000000006</v>
      </c>
      <c r="H98" s="1370"/>
      <c r="I98" s="1370"/>
      <c r="J98" s="1370"/>
      <c r="K98" s="1370"/>
      <c r="L98" s="1370"/>
      <c r="M98" s="1370"/>
    </row>
    <row r="99">
      <c r="C99" s="1365" t="n">
        <v>3.4</v>
      </c>
      <c r="D99" s="1365" t="n">
        <v>5.0999999999999996</v>
      </c>
      <c r="E99" s="1365" t="n">
        <v>0</v>
      </c>
      <c r="F99" s="1365" t="n">
        <v>0</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3" t="s">
        <v>1520</v>
      </c>
      <c r="B1" s="103" t="s">
        <v>1521</v>
      </c>
      <c r="C1" s="103" t="s">
        <v>1522</v>
      </c>
      <c r="D1" s="103" t="s">
        <v>1523</v>
      </c>
      <c r="E1" s="103" t="s">
        <v>1524</v>
      </c>
      <c r="F1" s="103" t="s">
        <v>1525</v>
      </c>
      <c r="G1" s="103" t="s">
        <v>1000</v>
      </c>
      <c r="H1" s="103" t="s">
        <v>1001</v>
      </c>
      <c r="I1" s="103" t="s">
        <v>1002</v>
      </c>
      <c r="J1" s="103" t="s">
        <v>1003</v>
      </c>
      <c r="K1" s="103" t="s">
        <v>1004</v>
      </c>
      <c r="L1" s="103" t="s">
        <v>1005</v>
      </c>
    </row>
    <row r="2">
      <c r="A2" t="n">
        <v>4.5079018442711401E-2</v>
      </c>
      <c r="B2" t="n">
        <v>5.3878515900577198E-2</v>
      </c>
      <c r="C2" t="n">
        <v>8.2063006909154398E-2</v>
      </c>
      <c r="D2" t="n">
        <v>0.104421067414309</v>
      </c>
      <c r="E2" t="s">
        <v>1526</v>
      </c>
      <c r="F2" t="s">
        <v>1527</v>
      </c>
      <c r="G2" t="n">
        <v>13.106999999999999</v>
      </c>
      <c r="H2" t="n">
        <v>1.9913023575188999E-2</v>
      </c>
      <c r="I2" t="n">
        <v>16.824999999999999</v>
      </c>
      <c r="J2" t="n">
        <v>2.51411589895989E-2</v>
      </c>
      <c r="K2" t="s">
        <v>1006</v>
      </c>
      <c r="L2" t="s">
        <v>1007</v>
      </c>
    </row>
    <row r="3">
      <c r="A3" t="n">
        <v>4.5079018442711401E-2</v>
      </c>
      <c r="B3" t="n">
        <v>5.3878515900577198E-2</v>
      </c>
      <c r="C3" t="n">
        <v>8.2063006909154398E-2</v>
      </c>
      <c r="D3" t="n">
        <v>0.104421067414309</v>
      </c>
      <c r="E3" t="s">
        <v>1528</v>
      </c>
      <c r="F3" t="s">
        <v>1527</v>
      </c>
      <c r="G3" t="n">
        <v>13.368</v>
      </c>
      <c r="H3" t="n">
        <v>1.9913023575188999E-2</v>
      </c>
      <c r="I3" t="n">
        <v>17.248000000000001</v>
      </c>
      <c r="J3" t="n">
        <v>2.51411589895989E-2</v>
      </c>
      <c r="K3" t="s">
        <v>1008</v>
      </c>
      <c r="L3" t="s">
        <v>1007</v>
      </c>
    </row>
    <row r="4">
      <c r="A4" t="n">
        <v>3.9419555818651898E-2</v>
      </c>
      <c r="B4" t="n">
        <v>6.9938689583740596E-2</v>
      </c>
      <c r="C4" t="n">
        <v>7.2508506661211405E-2</v>
      </c>
      <c r="D4" t="n">
        <v>7.9737360467493398E-2</v>
      </c>
      <c r="E4" t="s">
        <v>1529</v>
      </c>
      <c r="F4" t="s">
        <v>1527</v>
      </c>
      <c r="G4" t="n">
        <v>13.603999999999999</v>
      </c>
      <c r="H4" t="n">
        <v>1.7654099341711402E-2</v>
      </c>
      <c r="I4" t="n">
        <v>17.582000000000001</v>
      </c>
      <c r="J4" t="n">
        <v>1.9364564007421099E-2</v>
      </c>
      <c r="K4" t="s">
        <v>1009</v>
      </c>
      <c r="L4" t="s">
        <v>1007</v>
      </c>
    </row>
    <row r="5">
      <c r="A5" t="n">
        <v>5.2824828770235303E-2</v>
      </c>
      <c r="B5" t="n">
        <v>5.1823422551402501E-2</v>
      </c>
      <c r="C5" t="n">
        <v>6.9052453854286294E-2</v>
      </c>
      <c r="D5" t="n">
        <v>0.10539397910227</v>
      </c>
      <c r="E5" t="s">
        <v>1530</v>
      </c>
      <c r="F5" t="s">
        <v>1527</v>
      </c>
      <c r="G5" t="n">
        <v>13.833</v>
      </c>
      <c r="H5" t="n">
        <v>1.6833284328138898E-2</v>
      </c>
      <c r="I5" t="n">
        <v>18.027999999999999</v>
      </c>
      <c r="J5" t="n">
        <v>2.5366852462745899E-2</v>
      </c>
      <c r="K5" t="s">
        <v>1010</v>
      </c>
      <c r="L5" t="s">
        <v>1007</v>
      </c>
    </row>
    <row r="6">
      <c r="A6" t="n">
        <v>3.85286878692137E-2</v>
      </c>
      <c r="B6" t="n">
        <v>0.132788480581229</v>
      </c>
      <c r="C6" t="n">
        <v>0.10231116414477499</v>
      </c>
      <c r="D6" t="n">
        <v>6.9175988166702701E-2</v>
      </c>
      <c r="E6" t="s">
        <v>1531</v>
      </c>
      <c r="F6" t="s">
        <v>1527</v>
      </c>
      <c r="G6" t="n">
        <v>14.173999999999999</v>
      </c>
      <c r="H6" t="n">
        <v>2.4651196414371399E-2</v>
      </c>
      <c r="I6" t="n">
        <v>18.332000000000001</v>
      </c>
      <c r="J6" t="n">
        <v>1.6862658087419598E-2</v>
      </c>
      <c r="K6" t="s">
        <v>1011</v>
      </c>
      <c r="L6" t="s">
        <v>1007</v>
      </c>
    </row>
    <row r="7">
      <c r="A7" t="n">
        <v>4.6230845754161802E-2</v>
      </c>
      <c r="B7" t="n">
        <v>7.6806429060699302E-2</v>
      </c>
      <c r="C7" t="n">
        <v>7.6908368677740299E-2</v>
      </c>
      <c r="D7" t="n">
        <v>6.5481053360561203E-2</v>
      </c>
      <c r="E7" t="s">
        <v>1532</v>
      </c>
      <c r="F7" t="s">
        <v>1527</v>
      </c>
      <c r="G7" t="n">
        <v>14.439</v>
      </c>
      <c r="H7" t="n">
        <v>1.8696204317764999E-2</v>
      </c>
      <c r="I7" t="n">
        <v>18.625</v>
      </c>
      <c r="J7" t="n">
        <v>1.59829805804057E-2</v>
      </c>
      <c r="K7" t="s">
        <v>1012</v>
      </c>
      <c r="L7" t="s">
        <v>1007</v>
      </c>
    </row>
    <row r="8">
      <c r="A8" t="n">
        <v>4.0000704948734103E-2</v>
      </c>
      <c r="B8" t="n">
        <v>5.9184461037305798E-2</v>
      </c>
      <c r="C8" t="n">
        <v>6.1773509542664397E-2</v>
      </c>
      <c r="D8" t="n">
        <v>4.4315280925248897E-2</v>
      </c>
      <c r="E8" t="s">
        <v>1533</v>
      </c>
      <c r="F8" t="s">
        <v>1527</v>
      </c>
      <c r="G8" t="n">
        <v>14.657</v>
      </c>
      <c r="H8" t="n">
        <v>1.5097998476348899E-2</v>
      </c>
      <c r="I8" t="n">
        <v>18.827999999999999</v>
      </c>
      <c r="J8" t="n">
        <v>1.0899328859060401E-2</v>
      </c>
      <c r="K8" t="s">
        <v>1013</v>
      </c>
      <c r="L8" t="s">
        <v>1007</v>
      </c>
    </row>
    <row r="9">
      <c r="A9" t="n">
        <v>2.5035607973723999E-2</v>
      </c>
      <c r="B9" t="n">
        <v>8.3819893360376693E-2</v>
      </c>
      <c r="C9" t="n">
        <v>3.6793688078589702E-2</v>
      </c>
      <c r="D9" t="n">
        <v>7.0854524877743894E-2</v>
      </c>
      <c r="E9" t="s">
        <v>1534</v>
      </c>
      <c r="F9" t="s">
        <v>1527</v>
      </c>
      <c r="G9" t="n">
        <v>14.79</v>
      </c>
      <c r="H9" t="n">
        <v>9.0741625162038507E-3</v>
      </c>
      <c r="I9" t="n">
        <v>19.152999999999999</v>
      </c>
      <c r="J9" t="n">
        <v>1.7261525387720401E-2</v>
      </c>
      <c r="K9" t="s">
        <v>1014</v>
      </c>
      <c r="L9" t="s">
        <v>1007</v>
      </c>
    </row>
    <row r="10">
      <c r="A10" t="n">
        <v>4.2906681103859E-2</v>
      </c>
      <c r="B10" t="n">
        <v>0.175097239288524</v>
      </c>
      <c r="C10" t="n">
        <v>0.10446834522691199</v>
      </c>
      <c r="D10" t="n">
        <v>5.2157088254066501E-2</v>
      </c>
      <c r="E10" t="s">
        <v>1535</v>
      </c>
      <c r="F10" t="s">
        <v>1527</v>
      </c>
      <c r="G10" t="n">
        <v>15.162000000000001</v>
      </c>
      <c r="H10" t="n">
        <v>2.5152129817444399E-2</v>
      </c>
      <c r="I10" t="n">
        <v>19.398</v>
      </c>
      <c r="J10" t="n">
        <v>1.27917297551299E-2</v>
      </c>
      <c r="K10" t="s">
        <v>1015</v>
      </c>
      <c r="L10" t="s">
        <v>1007</v>
      </c>
    </row>
    <row r="11">
      <c r="A11" t="n">
        <v>2.3157030840978501E-2</v>
      </c>
      <c r="B11" t="n">
        <v>4.0963848741786497E-2</v>
      </c>
      <c r="C11" t="n">
        <v>5.35423244430666E-2</v>
      </c>
      <c r="D11" t="n">
        <v>2.83404365976123E-2</v>
      </c>
      <c r="E11" t="s">
        <v>1536</v>
      </c>
      <c r="F11" t="s">
        <v>1527</v>
      </c>
      <c r="G11" t="n">
        <v>15.361000000000001</v>
      </c>
      <c r="H11" t="n">
        <v>1.3124917557050499E-2</v>
      </c>
      <c r="I11" t="n">
        <v>19.533999999999999</v>
      </c>
      <c r="J11" t="n">
        <v>7.0110320651612899E-3</v>
      </c>
      <c r="K11" t="s">
        <v>1016</v>
      </c>
      <c r="L11" t="s">
        <v>1007</v>
      </c>
    </row>
    <row r="12">
      <c r="A12" t="n">
        <v>3.55986781186481E-2</v>
      </c>
      <c r="B12" t="n">
        <v>3.3186191278740597E-2</v>
      </c>
      <c r="C12" t="n">
        <v>6.3703129067968198E-2</v>
      </c>
      <c r="D12" t="n">
        <v>5.6658506033298299E-2</v>
      </c>
      <c r="E12" t="s">
        <v>1537</v>
      </c>
      <c r="F12" t="s">
        <v>1527</v>
      </c>
      <c r="G12" t="n">
        <v>15.6</v>
      </c>
      <c r="H12" t="n">
        <v>1.5558882885228701E-2</v>
      </c>
      <c r="I12" t="n">
        <v>19.805</v>
      </c>
      <c r="J12" t="n">
        <v>1.38732466468721E-2</v>
      </c>
      <c r="K12" t="s">
        <v>1017</v>
      </c>
      <c r="L12" t="s">
        <v>1007</v>
      </c>
    </row>
    <row r="13">
      <c r="A13" t="n">
        <v>3.3109052200751603E-2</v>
      </c>
      <c r="B13" t="n">
        <v>8.9944620716435594E-2</v>
      </c>
      <c r="C13" t="n">
        <v>5.0679215853917103E-2</v>
      </c>
      <c r="D13" t="n">
        <v>7.6848944278385095E-2</v>
      </c>
      <c r="E13" t="s">
        <v>1538</v>
      </c>
      <c r="F13" t="s">
        <v>1527</v>
      </c>
      <c r="G13" t="n">
        <v>15.794</v>
      </c>
      <c r="H13" t="n">
        <v>1.2435897435897601E-2</v>
      </c>
      <c r="I13" t="n">
        <v>20.175000000000001</v>
      </c>
      <c r="J13" t="n">
        <v>1.8682150971976799E-2</v>
      </c>
      <c r="K13" t="s">
        <v>1018</v>
      </c>
      <c r="L13" t="s">
        <v>1007</v>
      </c>
    </row>
    <row r="14">
      <c r="A14" t="n">
        <v>4.91014015888558E-2</v>
      </c>
      <c r="B14" t="n">
        <v>6.5908483031781095E-2</v>
      </c>
      <c r="C14" t="n">
        <v>8.1389738888574495E-2</v>
      </c>
      <c r="D14" t="n">
        <v>7.93845743471608E-2</v>
      </c>
      <c r="E14" t="s">
        <v>1539</v>
      </c>
      <c r="F14" t="s">
        <v>1527</v>
      </c>
      <c r="G14" t="n">
        <v>16.106000000000002</v>
      </c>
      <c r="H14" t="n">
        <v>1.9754337090034199E-2</v>
      </c>
      <c r="I14" t="n">
        <v>20.564</v>
      </c>
      <c r="J14" t="n">
        <v>1.9281288723668001E-2</v>
      </c>
      <c r="K14" t="s">
        <v>1019</v>
      </c>
      <c r="L14" t="s">
        <v>1007</v>
      </c>
    </row>
    <row r="15">
      <c r="A15" t="n">
        <v>7.9177652454341899E-2</v>
      </c>
      <c r="B15" t="n">
        <v>7.1493559288280994E-2</v>
      </c>
      <c r="C15" t="n">
        <v>6.9283063617710403E-2</v>
      </c>
      <c r="D15" t="n">
        <v>8.6922582910256702E-2</v>
      </c>
      <c r="E15" t="s">
        <v>1540</v>
      </c>
      <c r="F15" t="s">
        <v>1527</v>
      </c>
      <c r="G15" t="n">
        <v>16.378</v>
      </c>
      <c r="H15" t="n">
        <v>1.68881162299763E-2</v>
      </c>
      <c r="I15" t="n">
        <v>20.997</v>
      </c>
      <c r="J15" t="n">
        <v>2.1056214744213299E-2</v>
      </c>
      <c r="K15" t="s">
        <v>1020</v>
      </c>
      <c r="L15" t="s">
        <v>1007</v>
      </c>
    </row>
    <row r="16">
      <c r="A16" t="n">
        <v>7.4767520593947104E-2</v>
      </c>
      <c r="B16" t="n">
        <v>8.5362600720222198E-2</v>
      </c>
      <c r="C16" t="n">
        <v>4.7217464684975501E-2</v>
      </c>
      <c r="D16" t="n">
        <v>8.4062519785650797E-2</v>
      </c>
      <c r="E16" t="s">
        <v>1541</v>
      </c>
      <c r="F16" t="s">
        <v>1527</v>
      </c>
      <c r="G16" t="n">
        <v>16.568000000000001</v>
      </c>
      <c r="H16" t="n">
        <v>1.1600928074246E-2</v>
      </c>
      <c r="I16" t="n">
        <v>21.425000000000001</v>
      </c>
      <c r="J16" t="n">
        <v>2.03838643615755E-2</v>
      </c>
      <c r="K16" t="s">
        <v>1021</v>
      </c>
      <c r="L16" t="s">
        <v>1007</v>
      </c>
    </row>
    <row r="17">
      <c r="A17" t="n">
        <v>8.4354048501589896E-2</v>
      </c>
      <c r="B17" t="n">
        <v>8.8313277531109999E-2</v>
      </c>
      <c r="C17" t="n">
        <v>6.8825586736247696E-2</v>
      </c>
      <c r="D17" t="n">
        <v>0.111750672708145</v>
      </c>
      <c r="E17" t="s">
        <v>1542</v>
      </c>
      <c r="F17" t="s">
        <v>1527</v>
      </c>
      <c r="G17" t="n">
        <v>16.846</v>
      </c>
      <c r="H17" t="n">
        <v>1.6779333655238898E-2</v>
      </c>
      <c r="I17" t="n">
        <v>22</v>
      </c>
      <c r="J17" t="n">
        <v>2.68378063010501E-2</v>
      </c>
      <c r="K17" t="s">
        <v>1022</v>
      </c>
      <c r="L17" t="s">
        <v>1007</v>
      </c>
    </row>
    <row r="18">
      <c r="A18" t="n">
        <v>0.124536540877934</v>
      </c>
      <c r="B18" t="n">
        <v>4.1616768277239702E-2</v>
      </c>
      <c r="C18" t="n">
        <v>0.100709384145876</v>
      </c>
      <c r="D18" t="n">
        <v>0.19875533747763099</v>
      </c>
      <c r="E18" t="s">
        <v>1543</v>
      </c>
      <c r="F18" t="s">
        <v>1527</v>
      </c>
      <c r="G18" t="n">
        <v>17.254999999999999</v>
      </c>
      <c r="H18" t="n">
        <v>2.42787605366259E-2</v>
      </c>
      <c r="I18" t="n">
        <v>23.02</v>
      </c>
      <c r="J18" t="n">
        <v>4.6363636363636399E-2</v>
      </c>
      <c r="K18" t="s">
        <v>1023</v>
      </c>
      <c r="L18" t="s">
        <v>1007</v>
      </c>
    </row>
    <row r="19">
      <c r="A19" t="n">
        <v>0.118186339709689</v>
      </c>
      <c r="B19" t="n">
        <v>7.4336480554695494E-2</v>
      </c>
      <c r="C19" t="n">
        <v>0.111980004946894</v>
      </c>
      <c r="D19" t="n">
        <v>0.27614966476000502</v>
      </c>
      <c r="E19" t="s">
        <v>1544</v>
      </c>
      <c r="F19" t="s">
        <v>1527</v>
      </c>
      <c r="G19" t="n">
        <v>17.719000000000001</v>
      </c>
      <c r="H19" t="n">
        <v>2.68907563025211E-2</v>
      </c>
      <c r="I19" t="n">
        <v>24.466999999999999</v>
      </c>
      <c r="J19" t="n">
        <v>6.2858384013900995E-2</v>
      </c>
      <c r="K19" t="s">
        <v>1024</v>
      </c>
      <c r="L19" t="s">
        <v>1007</v>
      </c>
    </row>
    <row r="20">
      <c r="A20" t="n">
        <v>0.112285409166716</v>
      </c>
      <c r="B20" t="n">
        <v>0.121923532437656</v>
      </c>
      <c r="C20" t="n">
        <v>0.119951580753957</v>
      </c>
      <c r="D20" t="n">
        <v>0.28126959643585903</v>
      </c>
      <c r="E20" t="s">
        <v>1545</v>
      </c>
      <c r="F20" t="s">
        <v>1527</v>
      </c>
      <c r="G20" t="n">
        <v>18.228000000000002</v>
      </c>
      <c r="H20" t="n">
        <v>2.8726226084993398E-2</v>
      </c>
      <c r="I20" t="n">
        <v>26.030999999999999</v>
      </c>
      <c r="J20" t="n">
        <v>6.3922834838762405E-2</v>
      </c>
      <c r="K20" t="s">
        <v>1025</v>
      </c>
      <c r="L20" t="s">
        <v>1007</v>
      </c>
    </row>
    <row r="21">
      <c r="A21" t="n">
        <v>0.10564888426900799</v>
      </c>
      <c r="B21" t="n">
        <v>0.139689749601554</v>
      </c>
      <c r="C21" t="n">
        <v>0.10861792322335199</v>
      </c>
      <c r="D21" t="n">
        <v>0.17691984955710299</v>
      </c>
      <c r="E21" t="s">
        <v>1546</v>
      </c>
      <c r="F21" t="s">
        <v>1527</v>
      </c>
      <c r="G21" t="n">
        <v>18.704000000000001</v>
      </c>
      <c r="H21" t="n">
        <v>2.6113671274961399E-2</v>
      </c>
      <c r="I21" t="n">
        <v>27.113</v>
      </c>
      <c r="J21" t="n">
        <v>4.15658253620683E-2</v>
      </c>
      <c r="K21" t="s">
        <v>1026</v>
      </c>
      <c r="L21" t="s">
        <v>1007</v>
      </c>
    </row>
    <row r="22">
      <c r="A22" t="n">
        <v>7.7418031911128199E-2</v>
      </c>
      <c r="B22" t="n">
        <v>7.47377264200315E-2</v>
      </c>
      <c r="C22" t="n">
        <v>8.2414004288707196E-2</v>
      </c>
      <c r="D22" t="n">
        <v>8.77241949354641E-2</v>
      </c>
      <c r="E22" t="s">
        <v>1547</v>
      </c>
      <c r="F22" t="s">
        <v>1527</v>
      </c>
      <c r="G22" t="n">
        <v>19.077999999999999</v>
      </c>
      <c r="H22" t="n">
        <v>1.99957228400343E-2</v>
      </c>
      <c r="I22" t="n">
        <v>27.689</v>
      </c>
      <c r="J22" t="n">
        <v>2.1244421495223698E-2</v>
      </c>
      <c r="K22" t="s">
        <v>1027</v>
      </c>
      <c r="L22" t="s">
        <v>1007</v>
      </c>
    </row>
    <row r="23">
      <c r="A23" t="n">
        <v>5.00188837807687E-2</v>
      </c>
      <c r="B23" t="n">
        <v>5.9076854521070303E-2</v>
      </c>
      <c r="C23" t="n">
        <v>9.99907756879512E-2</v>
      </c>
      <c r="D23" t="n">
        <v>1.9938623083631101E-2</v>
      </c>
      <c r="E23" t="s">
        <v>1548</v>
      </c>
      <c r="F23" t="s">
        <v>1527</v>
      </c>
      <c r="G23" t="n">
        <v>19.538</v>
      </c>
      <c r="H23" t="n">
        <v>2.4111542090365898E-2</v>
      </c>
      <c r="I23" t="n">
        <v>27.826000000000001</v>
      </c>
      <c r="J23" t="n">
        <v>4.9478132110223304E-3</v>
      </c>
      <c r="K23" t="s">
        <v>1028</v>
      </c>
      <c r="L23" t="s">
        <v>1007</v>
      </c>
    </row>
    <row r="24">
      <c r="A24" t="n">
        <v>7.6956317974106001E-2</v>
      </c>
      <c r="B24" t="n">
        <v>5.5091330920863602E-2</v>
      </c>
      <c r="C24" t="n">
        <v>6.2847909413525901E-2</v>
      </c>
      <c r="D24" t="n">
        <v>1.2710174962932599E-2</v>
      </c>
      <c r="E24" t="s">
        <v>1549</v>
      </c>
      <c r="F24" t="s">
        <v>1527</v>
      </c>
      <c r="G24" t="n">
        <v>19.838000000000001</v>
      </c>
      <c r="H24" t="n">
        <v>1.5354693417954699E-2</v>
      </c>
      <c r="I24" t="n">
        <v>27.914000000000001</v>
      </c>
      <c r="J24" t="n">
        <v>3.16250988284339E-3</v>
      </c>
      <c r="K24" t="s">
        <v>1029</v>
      </c>
      <c r="L24" t="s">
        <v>1007</v>
      </c>
    </row>
    <row r="25">
      <c r="A25" t="n">
        <v>6.8882772668885706E-2</v>
      </c>
      <c r="B25" t="n">
        <v>9.5097426388938394E-2</v>
      </c>
      <c r="C25" t="n">
        <v>5.9557775023163499E-2</v>
      </c>
      <c r="D25" t="n">
        <v>2.4583979224767301E-2</v>
      </c>
      <c r="E25" t="s">
        <v>1550</v>
      </c>
      <c r="F25" t="s">
        <v>1527</v>
      </c>
      <c r="G25" t="n">
        <v>20.126999999999999</v>
      </c>
      <c r="H25" t="n">
        <v>1.45680008065328E-2</v>
      </c>
      <c r="I25" t="n">
        <v>28.084</v>
      </c>
      <c r="J25" t="n">
        <v>6.0901339829475499E-3</v>
      </c>
      <c r="K25" t="s">
        <v>1030</v>
      </c>
      <c r="L25" t="s">
        <v>1007</v>
      </c>
    </row>
    <row r="26">
      <c r="A26" t="n">
        <v>4.46796784787249E-2</v>
      </c>
      <c r="B26" t="n">
        <v>5.9702158874865199E-2</v>
      </c>
      <c r="C26" t="n">
        <v>5.3094918319799497E-2</v>
      </c>
      <c r="D26" t="n">
        <v>1.9800669277978002E-2</v>
      </c>
      <c r="E26" t="s">
        <v>1551</v>
      </c>
      <c r="F26" t="s">
        <v>1527</v>
      </c>
      <c r="G26" t="n">
        <v>20.388999999999999</v>
      </c>
      <c r="H26" t="n">
        <v>1.30173398916877E-2</v>
      </c>
      <c r="I26" t="n">
        <v>28.222000000000001</v>
      </c>
      <c r="J26" t="n">
        <v>4.91382993875522E-3</v>
      </c>
      <c r="K26" t="s">
        <v>1031</v>
      </c>
      <c r="L26" t="s">
        <v>1007</v>
      </c>
    </row>
    <row r="27">
      <c r="A27" t="n">
        <v>3.3979822161052303E-2</v>
      </c>
      <c r="B27" t="n">
        <v>3.3961135638896502E-2</v>
      </c>
      <c r="C27" t="n">
        <v>5.3215140717762302E-2</v>
      </c>
      <c r="D27" t="n">
        <v>3.4743180507705002E-2</v>
      </c>
      <c r="E27" t="s">
        <v>1552</v>
      </c>
      <c r="F27" t="s">
        <v>1527</v>
      </c>
      <c r="G27" t="n">
        <v>20.655000000000001</v>
      </c>
      <c r="H27" t="n">
        <v>1.3046250429153101E-2</v>
      </c>
      <c r="I27" t="n">
        <v>28.463999999999999</v>
      </c>
      <c r="J27" t="n">
        <v>8.5748706682728902E-3</v>
      </c>
      <c r="K27" t="s">
        <v>1032</v>
      </c>
      <c r="L27" t="s">
        <v>1007</v>
      </c>
    </row>
    <row r="28">
      <c r="A28" t="n">
        <v>6.2157602764701697E-2</v>
      </c>
      <c r="B28" t="n">
        <v>4.6572413553721298E-2</v>
      </c>
      <c r="C28" t="n">
        <v>3.5515485276211803E-2</v>
      </c>
      <c r="D28" t="n">
        <v>8.7412684077270396E-3</v>
      </c>
      <c r="E28" t="s">
        <v>1553</v>
      </c>
      <c r="F28" t="s">
        <v>1527</v>
      </c>
      <c r="G28" t="n">
        <v>20.835999999999999</v>
      </c>
      <c r="H28" t="n">
        <v>8.7630113773904394E-3</v>
      </c>
      <c r="I28" t="n">
        <v>28.526</v>
      </c>
      <c r="J28" t="n">
        <v>2.17818999437891E-3</v>
      </c>
      <c r="K28" t="s">
        <v>1033</v>
      </c>
      <c r="L28" t="s">
        <v>1007</v>
      </c>
    </row>
    <row r="29">
      <c r="A29" t="n">
        <v>6.4679796349943294E-2</v>
      </c>
      <c r="B29" t="n">
        <v>0.11140543202132699</v>
      </c>
      <c r="C29" t="n">
        <v>5.3847641567893498E-2</v>
      </c>
      <c r="D29" t="n">
        <v>2.7482019859727602E-2</v>
      </c>
      <c r="E29" t="s">
        <v>1554</v>
      </c>
      <c r="F29" t="s">
        <v>1527</v>
      </c>
      <c r="G29" t="n">
        <v>21.111000000000001</v>
      </c>
      <c r="H29" t="n">
        <v>1.31983106162412E-2</v>
      </c>
      <c r="I29" t="n">
        <v>28.72</v>
      </c>
      <c r="J29" t="n">
        <v>6.8008132931360902E-3</v>
      </c>
      <c r="K29" t="s">
        <v>1034</v>
      </c>
      <c r="L29" t="s">
        <v>1007</v>
      </c>
    </row>
    <row r="30">
      <c r="A30" t="n">
        <v>7.4088172350420103E-2</v>
      </c>
      <c r="B30" t="n">
        <v>5.7739458159661701E-2</v>
      </c>
      <c r="C30" t="n">
        <v>8.3796072481744796E-2</v>
      </c>
      <c r="D30" t="n">
        <v>5.2825931688943499E-2</v>
      </c>
      <c r="E30" t="s">
        <v>1555</v>
      </c>
      <c r="F30" t="s">
        <v>1527</v>
      </c>
      <c r="G30" t="n">
        <v>21.54</v>
      </c>
      <c r="H30" t="n">
        <v>2.0321159585050302E-2</v>
      </c>
      <c r="I30" t="n">
        <v>29.091999999999999</v>
      </c>
      <c r="J30" t="n">
        <v>1.2952646239554401E-2</v>
      </c>
      <c r="K30" t="s">
        <v>1035</v>
      </c>
      <c r="L30" t="s">
        <v>1007</v>
      </c>
    </row>
    <row r="31">
      <c r="A31" t="n">
        <v>7.0308632461715301E-2</v>
      </c>
      <c r="B31" t="n">
        <v>4.6296846180206901E-2</v>
      </c>
      <c r="C31" t="n">
        <v>8.1880476726010801E-2</v>
      </c>
      <c r="D31" t="n">
        <v>4.0048809702137603E-2</v>
      </c>
      <c r="E31" t="s">
        <v>1556</v>
      </c>
      <c r="F31" t="s">
        <v>1527</v>
      </c>
      <c r="G31" t="n">
        <v>21.968</v>
      </c>
      <c r="H31" t="n">
        <v>1.9870009285051001E-2</v>
      </c>
      <c r="I31" t="n">
        <v>29.379000000000001</v>
      </c>
      <c r="J31" t="n">
        <v>9.8652550529356696E-3</v>
      </c>
      <c r="K31" t="s">
        <v>1036</v>
      </c>
      <c r="L31" t="s">
        <v>1007</v>
      </c>
    </row>
    <row r="32">
      <c r="A32" t="n">
        <v>6.1553542794543503E-2</v>
      </c>
      <c r="B32" t="n">
        <v>1.98663105662467E-2</v>
      </c>
      <c r="C32" t="n">
        <v>7.3501873886998997E-2</v>
      </c>
      <c r="D32" t="n">
        <v>5.4874269706492597E-2</v>
      </c>
      <c r="E32" t="s">
        <v>1557</v>
      </c>
      <c r="F32" t="s">
        <v>1527</v>
      </c>
      <c r="G32" t="n">
        <v>22.361000000000001</v>
      </c>
      <c r="H32" t="n">
        <v>1.7889657683903801E-2</v>
      </c>
      <c r="I32" t="n">
        <v>29.774000000000001</v>
      </c>
      <c r="J32" t="n">
        <v>1.3444977705163501E-2</v>
      </c>
      <c r="K32" t="s">
        <v>1037</v>
      </c>
      <c r="L32" t="s">
        <v>1007</v>
      </c>
    </row>
    <row r="33">
      <c r="A33" t="n">
        <v>5.8025197908700303E-2</v>
      </c>
      <c r="B33" t="n">
        <v>0.12112082718011299</v>
      </c>
      <c r="C33" t="n">
        <v>7.5383891455237398E-2</v>
      </c>
      <c r="D33" t="n">
        <v>4.34111575180351E-2</v>
      </c>
      <c r="E33" t="s">
        <v>1558</v>
      </c>
      <c r="F33" t="s">
        <v>1527</v>
      </c>
      <c r="G33" t="n">
        <v>22.771000000000001</v>
      </c>
      <c r="H33" t="n">
        <v>1.83354948347569E-2</v>
      </c>
      <c r="I33" t="n">
        <v>30.091999999999999</v>
      </c>
      <c r="J33" t="n">
        <v>1.0680459461274799E-2</v>
      </c>
      <c r="K33" t="s">
        <v>1038</v>
      </c>
      <c r="L33" t="s">
        <v>1007</v>
      </c>
    </row>
    <row r="34">
      <c r="A34" t="n">
        <v>6.7326294927223501E-2</v>
      </c>
      <c r="B34" t="n">
        <v>4.65097292728067E-2</v>
      </c>
      <c r="C34" t="n">
        <v>5.9424238450433299E-2</v>
      </c>
      <c r="D34" t="n">
        <v>5.0510789433123801E-2</v>
      </c>
      <c r="E34" t="s">
        <v>1559</v>
      </c>
      <c r="F34" t="s">
        <v>1527</v>
      </c>
      <c r="G34" t="n">
        <v>23.102</v>
      </c>
      <c r="H34" t="n">
        <v>1.4536032673137E-2</v>
      </c>
      <c r="I34" t="n">
        <v>30.465</v>
      </c>
      <c r="J34" t="n">
        <v>1.23953210155523E-2</v>
      </c>
      <c r="K34" t="s">
        <v>1039</v>
      </c>
      <c r="L34" t="s">
        <v>1007</v>
      </c>
    </row>
    <row r="35">
      <c r="A35" t="n">
        <v>8.4675701203493298E-2</v>
      </c>
      <c r="B35" t="n">
        <v>8.09066486989478E-2</v>
      </c>
      <c r="C35" t="n">
        <v>6.5619276167123694E-2</v>
      </c>
      <c r="D35" t="n">
        <v>8.0997725857898203E-2</v>
      </c>
      <c r="E35" t="s">
        <v>1560</v>
      </c>
      <c r="F35" t="s">
        <v>1527</v>
      </c>
      <c r="G35" t="n">
        <v>23.472000000000001</v>
      </c>
      <c r="H35" t="n">
        <v>1.6015929356765699E-2</v>
      </c>
      <c r="I35" t="n">
        <v>31.064</v>
      </c>
      <c r="J35" t="n">
        <v>1.9661907106515601E-2</v>
      </c>
      <c r="K35" t="s">
        <v>1040</v>
      </c>
      <c r="L35" t="s">
        <v>1007</v>
      </c>
    </row>
    <row r="36">
      <c r="A36" t="n">
        <v>7.2050406034996906E-2</v>
      </c>
      <c r="B36" t="n">
        <v>6.8549166168664605E-2</v>
      </c>
      <c r="C36" t="n">
        <v>5.8500992246239197E-2</v>
      </c>
      <c r="D36" t="n">
        <v>7.8709215306017405E-2</v>
      </c>
      <c r="E36" t="s">
        <v>1561</v>
      </c>
      <c r="F36" t="s">
        <v>1527</v>
      </c>
      <c r="G36" t="n">
        <v>23.808</v>
      </c>
      <c r="H36" t="n">
        <v>1.4314928425357899E-2</v>
      </c>
      <c r="I36" t="n">
        <v>31.658000000000001</v>
      </c>
      <c r="J36" t="n">
        <v>1.9121813031161401E-2</v>
      </c>
      <c r="K36" t="s">
        <v>1041</v>
      </c>
      <c r="L36" t="s">
        <v>1007</v>
      </c>
    </row>
    <row r="37">
      <c r="A37" t="n">
        <v>7.7759817693589403E-2</v>
      </c>
      <c r="B37" t="n">
        <v>7.0826828171957498E-2</v>
      </c>
      <c r="C37" t="n">
        <v>5.4682260590980698E-2</v>
      </c>
      <c r="D37" t="n">
        <v>7.3455131593814296E-2</v>
      </c>
      <c r="E37" t="s">
        <v>1562</v>
      </c>
      <c r="F37" t="s">
        <v>1527</v>
      </c>
      <c r="G37" t="n">
        <v>24.126999999999999</v>
      </c>
      <c r="H37" t="n">
        <v>1.33988575268817E-2</v>
      </c>
      <c r="I37" t="n">
        <v>32.223999999999997</v>
      </c>
      <c r="J37" t="n">
        <v>1.78785772948384E-2</v>
      </c>
      <c r="K37" t="s">
        <v>1042</v>
      </c>
      <c r="L37" t="s">
        <v>1007</v>
      </c>
    </row>
    <row r="38">
      <c r="A38" t="n">
        <v>7.7602845525897898E-2</v>
      </c>
      <c r="B38" t="n">
        <v>7.5755853629737399E-2</v>
      </c>
      <c r="C38" t="n">
        <v>0.101819091447914</v>
      </c>
      <c r="D38" t="n">
        <v>8.5137769356933707E-2</v>
      </c>
      <c r="E38" t="s">
        <v>1563</v>
      </c>
      <c r="F38" t="s">
        <v>1527</v>
      </c>
      <c r="G38" t="n">
        <v>24.719000000000001</v>
      </c>
      <c r="H38" t="n">
        <v>2.4536825962614601E-2</v>
      </c>
      <c r="I38" t="n">
        <v>32.889000000000003</v>
      </c>
      <c r="J38" t="n">
        <v>2.0636792452830299E-2</v>
      </c>
      <c r="K38" t="s">
        <v>1043</v>
      </c>
      <c r="L38" t="s">
        <v>1007</v>
      </c>
    </row>
    <row r="39">
      <c r="A39" t="n">
        <v>0.113838252689951</v>
      </c>
      <c r="B39" t="n">
        <v>6.1815502695247999E-2</v>
      </c>
      <c r="C39" t="n">
        <v>9.0287471336475605E-2</v>
      </c>
      <c r="D39" t="n">
        <v>0.11311171886032199</v>
      </c>
      <c r="E39" t="s">
        <v>1564</v>
      </c>
      <c r="F39" t="s">
        <v>1527</v>
      </c>
      <c r="G39" t="n">
        <v>25.259</v>
      </c>
      <c r="H39" t="n">
        <v>2.18455439135887E-2</v>
      </c>
      <c r="I39" t="n">
        <v>33.781999999999996</v>
      </c>
      <c r="J39" t="n">
        <v>2.7151935297515601E-2</v>
      </c>
      <c r="K39" t="s">
        <v>1044</v>
      </c>
      <c r="L39" t="s">
        <v>1007</v>
      </c>
    </row>
    <row r="40">
      <c r="A40" t="n">
        <v>0.10293672514128201</v>
      </c>
      <c r="B40" t="n">
        <v>9.6664179784869297E-2</v>
      </c>
      <c r="C40" t="n">
        <v>0.148038402658868</v>
      </c>
      <c r="D40" t="n">
        <v>0.121960082107911</v>
      </c>
      <c r="E40" t="s">
        <v>1565</v>
      </c>
      <c r="F40" t="s">
        <v>1527</v>
      </c>
      <c r="G40" t="n">
        <v>26.146000000000001</v>
      </c>
      <c r="H40" t="n">
        <v>3.5116196207292602E-2</v>
      </c>
      <c r="I40" t="n">
        <v>34.768000000000001</v>
      </c>
      <c r="J40" t="n">
        <v>2.9187141081049101E-2</v>
      </c>
      <c r="K40" t="s">
        <v>1045</v>
      </c>
      <c r="L40" t="s">
        <v>1007</v>
      </c>
    </row>
    <row r="41">
      <c r="A41" t="n">
        <v>0.100470180706661</v>
      </c>
      <c r="B41" t="n">
        <v>9.1027084037313494E-2</v>
      </c>
      <c r="C41" t="n">
        <v>7.0641984000731503E-2</v>
      </c>
      <c r="D41" t="n">
        <v>0.118355060703055</v>
      </c>
      <c r="E41" t="s">
        <v>1566</v>
      </c>
      <c r="F41" t="s">
        <v>1527</v>
      </c>
      <c r="G41" t="n">
        <v>26.596</v>
      </c>
      <c r="H41" t="n">
        <v>1.7211045666641198E-2</v>
      </c>
      <c r="I41" t="n">
        <v>35.753999999999998</v>
      </c>
      <c r="J41" t="n">
        <v>2.83594109526E-2</v>
      </c>
      <c r="K41" t="s">
        <v>1046</v>
      </c>
      <c r="L41" t="s">
        <v>1007</v>
      </c>
    </row>
    <row r="42">
      <c r="A42" t="n">
        <v>0.12552467874009099</v>
      </c>
      <c r="B42" t="n">
        <v>8.1451601423466094E-2</v>
      </c>
      <c r="C42" t="n">
        <v>0.106909632651843</v>
      </c>
      <c r="D42" t="n">
        <v>0.113864763230328</v>
      </c>
      <c r="E42" t="s">
        <v>1567</v>
      </c>
      <c r="F42" t="s">
        <v>1527</v>
      </c>
      <c r="G42" t="n">
        <v>27.28</v>
      </c>
      <c r="H42" t="n">
        <v>2.5718153105730199E-2</v>
      </c>
      <c r="I42" t="n">
        <v>36.731000000000002</v>
      </c>
      <c r="J42" t="n">
        <v>2.7325613917324101E-2</v>
      </c>
      <c r="K42" t="s">
        <v>1047</v>
      </c>
      <c r="L42" t="s">
        <v>1007</v>
      </c>
    </row>
    <row r="43">
      <c r="A43" t="n">
        <v>0.101539889707692</v>
      </c>
      <c r="B43" t="n">
        <v>0.163874229132176</v>
      </c>
      <c r="C43" t="n">
        <v>0.11299973225785501</v>
      </c>
      <c r="D43" t="n">
        <v>0.119816075191493</v>
      </c>
      <c r="E43" t="s">
        <v>1568</v>
      </c>
      <c r="F43" t="s">
        <v>1527</v>
      </c>
      <c r="G43" t="n">
        <v>28.02</v>
      </c>
      <c r="H43" t="n">
        <v>2.7126099706744799E-2</v>
      </c>
      <c r="I43" t="n">
        <v>37.784999999999997</v>
      </c>
      <c r="J43" t="n">
        <v>2.8695107674715899E-2</v>
      </c>
      <c r="K43" t="s">
        <v>1048</v>
      </c>
      <c r="L43" t="s">
        <v>1007</v>
      </c>
    </row>
    <row r="44">
      <c r="A44" t="n">
        <v>9.6919062654431398E-2</v>
      </c>
      <c r="B44" t="n">
        <v>4.1150587007602997E-2</v>
      </c>
      <c r="C44" t="n">
        <v>0.115930396885483</v>
      </c>
      <c r="D44" t="n">
        <v>0.138106666956619</v>
      </c>
      <c r="E44" t="s">
        <v>1569</v>
      </c>
      <c r="F44" t="s">
        <v>1527</v>
      </c>
      <c r="G44" t="n">
        <v>28.798999999999999</v>
      </c>
      <c r="H44" t="n">
        <v>2.7801570306923699E-2</v>
      </c>
      <c r="I44" t="n">
        <v>39.027000000000001</v>
      </c>
      <c r="J44" t="n">
        <v>3.2870186581977198E-2</v>
      </c>
      <c r="K44" t="s">
        <v>1049</v>
      </c>
      <c r="L44" t="s">
        <v>1007</v>
      </c>
    </row>
    <row r="45">
      <c r="A45" t="n">
        <v>0.102667735598145</v>
      </c>
      <c r="B45" t="n">
        <v>0.12591483160208999</v>
      </c>
      <c r="C45" t="n">
        <v>0.11071312036879399</v>
      </c>
      <c r="D45" t="n">
        <v>0.12373918134004901</v>
      </c>
      <c r="E45" t="s">
        <v>1570</v>
      </c>
      <c r="F45" t="s">
        <v>1527</v>
      </c>
      <c r="G45" t="n">
        <v>29.565000000000001</v>
      </c>
      <c r="H45" t="n">
        <v>2.65981457689504E-2</v>
      </c>
      <c r="I45" t="n">
        <v>40.182000000000002</v>
      </c>
      <c r="J45" t="n">
        <v>2.9594895841340601E-2</v>
      </c>
      <c r="K45" t="s">
        <v>1050</v>
      </c>
      <c r="L45" t="s">
        <v>1007</v>
      </c>
    </row>
    <row r="46">
      <c r="A46" t="n">
        <v>0.107873886984393</v>
      </c>
      <c r="B46" t="n">
        <v>8.2350511297398302E-2</v>
      </c>
      <c r="C46" t="n">
        <v>0.14097064786198199</v>
      </c>
      <c r="D46" t="n">
        <v>0.118188584098933</v>
      </c>
      <c r="E46" t="s">
        <v>1571</v>
      </c>
      <c r="F46" t="s">
        <v>1527</v>
      </c>
      <c r="G46" t="n">
        <v>30.556000000000001</v>
      </c>
      <c r="H46" t="n">
        <v>3.3519364112971399E-2</v>
      </c>
      <c r="I46" t="n">
        <v>41.32</v>
      </c>
      <c r="J46" t="n">
        <v>2.8321138818376401E-2</v>
      </c>
      <c r="K46" t="s">
        <v>1051</v>
      </c>
      <c r="L46" t="s">
        <v>1007</v>
      </c>
    </row>
    <row r="47">
      <c r="A47" t="n">
        <v>6.8864078536554199E-2</v>
      </c>
      <c r="B47" t="n">
        <v>9.6264819656522296E-2</v>
      </c>
      <c r="C47" t="n">
        <v>8.6310442735713797E-2</v>
      </c>
      <c r="D47" t="n">
        <v>9.9129163647753094E-2</v>
      </c>
      <c r="E47" t="s">
        <v>1572</v>
      </c>
      <c r="F47" t="s">
        <v>1527</v>
      </c>
      <c r="G47" t="n">
        <v>31.195</v>
      </c>
      <c r="H47" t="n">
        <v>2.0912423092027701E-2</v>
      </c>
      <c r="I47" t="n">
        <v>42.308</v>
      </c>
      <c r="J47" t="n">
        <v>2.39109390125847E-2</v>
      </c>
      <c r="K47" t="s">
        <v>1052</v>
      </c>
      <c r="L47" t="s">
        <v>1007</v>
      </c>
    </row>
    <row r="48">
      <c r="A48" t="n">
        <v>6.7510216956085903E-2</v>
      </c>
      <c r="B48" t="n">
        <v>9.0754628296435505E-2</v>
      </c>
      <c r="C48" t="n">
        <v>4.8692861535788202E-2</v>
      </c>
      <c r="D48" t="n">
        <v>8.4524586959714404E-2</v>
      </c>
      <c r="E48" t="s">
        <v>1573</v>
      </c>
      <c r="F48" t="s">
        <v>1527</v>
      </c>
      <c r="G48" t="n">
        <v>31.568000000000001</v>
      </c>
      <c r="H48" t="n">
        <v>1.1957044398140699E-2</v>
      </c>
      <c r="I48" t="n">
        <v>43.174999999999997</v>
      </c>
      <c r="J48" t="n">
        <v>2.0492578235794499E-2</v>
      </c>
      <c r="K48" t="s">
        <v>1053</v>
      </c>
      <c r="L48" t="s">
        <v>1007</v>
      </c>
    </row>
    <row r="49">
      <c r="A49" t="n">
        <v>6.2684205945477106E-2</v>
      </c>
      <c r="B49" t="n">
        <v>7.8781408158281802E-2</v>
      </c>
      <c r="C49" t="n">
        <v>6.2752816594642893E-2</v>
      </c>
      <c r="D49" t="n">
        <v>7.3171075998094998E-2</v>
      </c>
      <c r="E49" t="s">
        <v>1574</v>
      </c>
      <c r="F49" t="s">
        <v>1527</v>
      </c>
      <c r="G49" t="n">
        <v>32.052</v>
      </c>
      <c r="H49" t="n">
        <v>1.53319817536746E-2</v>
      </c>
      <c r="I49" t="n">
        <v>43.944000000000003</v>
      </c>
      <c r="J49" t="n">
        <v>1.7811233352634799E-2</v>
      </c>
      <c r="K49" t="s">
        <v>1054</v>
      </c>
      <c r="L49" t="s">
        <v>1007</v>
      </c>
    </row>
    <row r="50">
      <c r="A50" t="n">
        <v>5.1825632418063497E-2</v>
      </c>
      <c r="B50" t="n">
        <v>6.5520529029189395E-2</v>
      </c>
      <c r="C50" t="n">
        <v>7.2002334651775995E-2</v>
      </c>
      <c r="D50" t="n">
        <v>5.7261419360111997E-2</v>
      </c>
      <c r="E50" t="s">
        <v>1575</v>
      </c>
      <c r="F50" t="s">
        <v>1527</v>
      </c>
      <c r="G50" t="n">
        <v>32.613999999999997</v>
      </c>
      <c r="H50" t="n">
        <v>1.7534007238237701E-2</v>
      </c>
      <c r="I50" t="n">
        <v>44.56</v>
      </c>
      <c r="J50" t="n">
        <v>1.40178408884035E-2</v>
      </c>
      <c r="K50" t="s">
        <v>1055</v>
      </c>
      <c r="L50" t="s">
        <v>1007</v>
      </c>
    </row>
    <row r="51">
      <c r="A51" t="n">
        <v>3.9076838958162399E-2</v>
      </c>
      <c r="B51" t="n">
        <v>8.1541548822787496E-2</v>
      </c>
      <c r="C51" t="n">
        <v>6.5317850608274997E-2</v>
      </c>
      <c r="D51" t="n">
        <v>6.8572049720328196E-2</v>
      </c>
      <c r="E51" t="s">
        <v>1576</v>
      </c>
      <c r="F51" t="s">
        <v>1527</v>
      </c>
      <c r="G51" t="n">
        <v>33.134</v>
      </c>
      <c r="H51" t="n">
        <v>1.5944073097442901E-2</v>
      </c>
      <c r="I51" t="n">
        <v>45.305</v>
      </c>
      <c r="J51" t="n">
        <v>1.6719030520646199E-2</v>
      </c>
      <c r="K51" t="s">
        <v>1056</v>
      </c>
      <c r="L51" t="s">
        <v>1007</v>
      </c>
    </row>
    <row r="52">
      <c r="A52" t="n">
        <v>6.4698202701339205E-2</v>
      </c>
      <c r="B52" t="n">
        <v>3.4072636599968002E-2</v>
      </c>
      <c r="C52" t="n">
        <v>6.8068638365729198E-2</v>
      </c>
      <c r="D52" t="n">
        <v>4.8078704643683703E-2</v>
      </c>
      <c r="E52" t="s">
        <v>1577</v>
      </c>
      <c r="F52" t="s">
        <v>1527</v>
      </c>
      <c r="G52" t="n">
        <v>33.683999999999997</v>
      </c>
      <c r="H52" t="n">
        <v>1.65992635963059E-2</v>
      </c>
      <c r="I52" t="n">
        <v>45.84</v>
      </c>
      <c r="J52" t="n">
        <v>1.1808851120185501E-2</v>
      </c>
      <c r="K52" t="s">
        <v>1057</v>
      </c>
      <c r="L52" t="s">
        <v>1007</v>
      </c>
    </row>
    <row r="53">
      <c r="A53" t="n">
        <v>4.4829664945906803E-2</v>
      </c>
      <c r="B53" t="n">
        <v>4.8009313734526098E-2</v>
      </c>
      <c r="C53" t="n">
        <v>6.1455443169872802E-2</v>
      </c>
      <c r="D53" t="n">
        <v>1.01606507354322E-2</v>
      </c>
      <c r="E53" t="s">
        <v>1578</v>
      </c>
      <c r="F53" t="s">
        <v>1527</v>
      </c>
      <c r="G53" t="n">
        <v>34.19</v>
      </c>
      <c r="H53" t="n">
        <v>1.5021968887305399E-2</v>
      </c>
      <c r="I53" t="n">
        <v>45.956000000000003</v>
      </c>
      <c r="J53" t="n">
        <v>2.5305410122164998E-3</v>
      </c>
      <c r="K53" t="s">
        <v>1058</v>
      </c>
      <c r="L53" t="s">
        <v>1007</v>
      </c>
    </row>
    <row r="54">
      <c r="A54" t="n">
        <v>3.3496613159939903E-2</v>
      </c>
      <c r="B54" t="n">
        <v>7.5539459294806698E-3</v>
      </c>
      <c r="C54" t="n">
        <v>3.4722196261408399E-2</v>
      </c>
      <c r="D54" t="n">
        <v>3.7479666516224701E-3</v>
      </c>
      <c r="E54" t="s">
        <v>1579</v>
      </c>
      <c r="F54" t="s">
        <v>1527</v>
      </c>
      <c r="G54" t="n">
        <v>34.482999999999997</v>
      </c>
      <c r="H54" t="n">
        <v>8.5697572389587008E-3</v>
      </c>
      <c r="I54" t="n">
        <v>45.999000000000002</v>
      </c>
      <c r="J54" t="n">
        <v>9.3567760466539696E-4</v>
      </c>
      <c r="K54" t="s">
        <v>1059</v>
      </c>
      <c r="L54" t="s">
        <v>1007</v>
      </c>
    </row>
    <row r="55">
      <c r="A55" t="n">
        <v>3.7100673423204902E-2</v>
      </c>
      <c r="B55" t="n">
        <v>3.1269437697415199E-2</v>
      </c>
      <c r="C55" t="n">
        <v>5.5765239502398901E-2</v>
      </c>
      <c r="D55" t="n">
        <v>-5.3805310591299397E-3</v>
      </c>
      <c r="E55" t="s">
        <v>1580</v>
      </c>
      <c r="F55" t="s">
        <v>1527</v>
      </c>
      <c r="G55" t="n">
        <v>34.954000000000001</v>
      </c>
      <c r="H55" t="n">
        <v>1.36589043876694E-2</v>
      </c>
      <c r="I55" t="n">
        <v>45.936999999999998</v>
      </c>
      <c r="J55" t="n">
        <v>-1.3478553881607299E-3</v>
      </c>
      <c r="K55" t="s">
        <v>1060</v>
      </c>
      <c r="L55" t="s">
        <v>1007</v>
      </c>
    </row>
    <row r="56">
      <c r="A56" t="n">
        <v>5.3607020035561601E-2</v>
      </c>
      <c r="B56" t="n">
        <v>4.5007889346835098E-2</v>
      </c>
      <c r="C56" t="n">
        <v>4.7632291898301399E-2</v>
      </c>
      <c r="D56" t="n">
        <v>2.2658930308778699E-3</v>
      </c>
      <c r="E56" t="s">
        <v>1581</v>
      </c>
      <c r="F56" t="s">
        <v>1527</v>
      </c>
      <c r="G56" t="n">
        <v>35.363</v>
      </c>
      <c r="H56" t="n">
        <v>1.17010928649082E-2</v>
      </c>
      <c r="I56" t="n">
        <v>45.963000000000001</v>
      </c>
      <c r="J56" t="n">
        <v>5.6599255502098899E-4</v>
      </c>
      <c r="K56" t="s">
        <v>1061</v>
      </c>
      <c r="L56" t="s">
        <v>1007</v>
      </c>
    </row>
    <row r="57">
      <c r="A57" t="n">
        <v>2.6644627827705498E-2</v>
      </c>
      <c r="B57" t="n">
        <v>2.64126969592136E-2</v>
      </c>
      <c r="C57" t="n">
        <v>3.7969215238040602E-2</v>
      </c>
      <c r="D57" t="n">
        <v>-1.13086488994096E-3</v>
      </c>
      <c r="E57" t="s">
        <v>1582</v>
      </c>
      <c r="F57" t="s">
        <v>1527</v>
      </c>
      <c r="G57" t="n">
        <v>35.694000000000003</v>
      </c>
      <c r="H57" t="n">
        <v>9.3600656052936805E-3</v>
      </c>
      <c r="I57" t="n">
        <v>45.95</v>
      </c>
      <c r="J57" t="n">
        <v>-2.82836194330227E-4</v>
      </c>
      <c r="K57" t="s">
        <v>1062</v>
      </c>
      <c r="L57" t="s">
        <v>1007</v>
      </c>
    </row>
    <row r="58">
      <c r="A58" t="n">
        <v>4.3935723897537297E-2</v>
      </c>
      <c r="B58" t="n">
        <v>5.28225710519643E-2</v>
      </c>
      <c r="C58" t="n">
        <v>7.2018998740306803E-2</v>
      </c>
      <c r="D58" t="n">
        <v>4.3596665649268101E-3</v>
      </c>
      <c r="E58" t="s">
        <v>1583</v>
      </c>
      <c r="F58" t="s">
        <v>1527</v>
      </c>
      <c r="G58" t="n">
        <v>36.32</v>
      </c>
      <c r="H58" t="n">
        <v>1.7537961562167099E-2</v>
      </c>
      <c r="I58" t="n">
        <v>46</v>
      </c>
      <c r="J58" t="n">
        <v>1.0881392818280499E-3</v>
      </c>
      <c r="K58" t="s">
        <v>1063</v>
      </c>
      <c r="L58" t="s">
        <v>1007</v>
      </c>
    </row>
    <row r="59">
      <c r="A59" t="n">
        <v>3.93022623248813E-2</v>
      </c>
      <c r="B59" t="n">
        <v>4.0487191821635002E-2</v>
      </c>
      <c r="C59" t="n">
        <v>4.4330796852368702E-2</v>
      </c>
      <c r="D59" t="n">
        <v>1.4249428601276599E-2</v>
      </c>
      <c r="E59" t="s">
        <v>1584</v>
      </c>
      <c r="F59" t="s">
        <v>1527</v>
      </c>
      <c r="G59" t="n">
        <v>36.716000000000001</v>
      </c>
      <c r="H59" t="n">
        <v>1.09030837004405E-2</v>
      </c>
      <c r="I59" t="n">
        <v>46.162999999999997</v>
      </c>
      <c r="J59" t="n">
        <v>3.5434782608694299E-3</v>
      </c>
      <c r="K59" t="s">
        <v>1064</v>
      </c>
      <c r="L59" t="s">
        <v>1007</v>
      </c>
    </row>
    <row r="60">
      <c r="A60" t="n">
        <v>3.1206818640470101E-2</v>
      </c>
      <c r="B60" t="n">
        <v>6.08178890509075E-2</v>
      </c>
      <c r="C60" t="n">
        <v>4.3619950255883798E-2</v>
      </c>
      <c r="D60" t="n">
        <v>1.29734153291148E-2</v>
      </c>
      <c r="E60" t="s">
        <v>1585</v>
      </c>
      <c r="F60" t="s">
        <v>1527</v>
      </c>
      <c r="G60" t="n">
        <v>37.11</v>
      </c>
      <c r="H60" t="n">
        <v>1.07310164505936E-2</v>
      </c>
      <c r="I60" t="n">
        <v>46.311999999999998</v>
      </c>
      <c r="J60" t="n">
        <v>3.22769317418703E-3</v>
      </c>
      <c r="K60" t="s">
        <v>1065</v>
      </c>
      <c r="L60" t="s">
        <v>1007</v>
      </c>
    </row>
    <row r="61">
      <c r="A61" t="n">
        <v>2.4937045869749999E-2</v>
      </c>
      <c r="B61" t="n">
        <v>5.0188195911601098E-2</v>
      </c>
      <c r="C61" t="n">
        <v>4.8053419713626901E-2</v>
      </c>
      <c r="D61" t="n">
        <v>8.1435979249952998E-3</v>
      </c>
      <c r="E61" t="s">
        <v>1586</v>
      </c>
      <c r="F61" t="s">
        <v>1527</v>
      </c>
      <c r="G61" t="n">
        <v>37.548000000000002</v>
      </c>
      <c r="H61" t="n">
        <v>1.1802748585286999E-2</v>
      </c>
      <c r="I61" t="n">
        <v>46.405999999999999</v>
      </c>
      <c r="J61" t="n">
        <v>2.0297115218517198E-3</v>
      </c>
      <c r="K61" t="s">
        <v>1066</v>
      </c>
      <c r="L61" t="s">
        <v>1007</v>
      </c>
    </row>
    <row r="62">
      <c r="A62" t="n">
        <v>4.8021891562025902E-2</v>
      </c>
      <c r="B62" t="n">
        <v>-1.5869949670850401E-2</v>
      </c>
      <c r="C62" t="n">
        <v>5.3895269710959599E-2</v>
      </c>
      <c r="D62" t="n">
        <v>2.2424648618448499E-2</v>
      </c>
      <c r="E62" t="s">
        <v>1587</v>
      </c>
      <c r="F62" t="s">
        <v>1527</v>
      </c>
      <c r="G62" t="n">
        <v>38.043999999999997</v>
      </c>
      <c r="H62" t="n">
        <v>1.3209758176201E-2</v>
      </c>
      <c r="I62" t="n">
        <v>46.664000000000001</v>
      </c>
      <c r="J62" t="n">
        <v>5.5596259104426799E-3</v>
      </c>
      <c r="K62" t="s">
        <v>1067</v>
      </c>
      <c r="L62" t="s">
        <v>1007</v>
      </c>
    </row>
    <row r="63">
      <c r="A63" t="n">
        <v>3.2831975950411901E-2</v>
      </c>
      <c r="B63" t="n">
        <v>9.4485381047573203E-3</v>
      </c>
      <c r="C63" t="n">
        <v>4.6526948089148097E-2</v>
      </c>
      <c r="D63" t="n">
        <v>1.2400816449865701E-2</v>
      </c>
      <c r="E63" t="s">
        <v>1588</v>
      </c>
      <c r="F63" t="s">
        <v>1527</v>
      </c>
      <c r="G63" t="n">
        <v>38.478999999999999</v>
      </c>
      <c r="H63" t="n">
        <v>1.1434128903375E-2</v>
      </c>
      <c r="I63" t="n">
        <v>46.808</v>
      </c>
      <c r="J63" t="n">
        <v>3.0858906223212301E-3</v>
      </c>
      <c r="K63" t="s">
        <v>1068</v>
      </c>
      <c r="L63" t="s">
        <v>1007</v>
      </c>
    </row>
    <row r="64">
      <c r="A64" t="n">
        <v>3.1711964087017402E-2</v>
      </c>
      <c r="B64" t="n">
        <v>2.1519541922931699E-2</v>
      </c>
      <c r="C64" t="n">
        <v>3.7630817464174598E-2</v>
      </c>
      <c r="D64" t="n">
        <v>1.6508679737656601E-2</v>
      </c>
      <c r="E64" t="s">
        <v>1589</v>
      </c>
      <c r="F64" t="s">
        <v>1527</v>
      </c>
      <c r="G64" t="n">
        <v>38.835999999999999</v>
      </c>
      <c r="H64" t="n">
        <v>9.2777878843004497E-3</v>
      </c>
      <c r="I64" t="n">
        <v>47</v>
      </c>
      <c r="J64" t="n">
        <v>4.1018629294138397E-3</v>
      </c>
      <c r="K64" t="s">
        <v>1069</v>
      </c>
      <c r="L64" t="s">
        <v>1007</v>
      </c>
    </row>
    <row r="65">
      <c r="A65" t="n">
        <v>2.8237310351865798E-2</v>
      </c>
      <c r="B65" t="n">
        <v>2.6513418939119401E-2</v>
      </c>
      <c r="C65" t="n">
        <v>4.0884190168569902E-2</v>
      </c>
      <c r="D65" t="n">
        <v>2.40435812756121E-2</v>
      </c>
      <c r="E65" t="s">
        <v>1590</v>
      </c>
      <c r="F65" t="s">
        <v>1527</v>
      </c>
      <c r="G65" t="n">
        <v>39.226999999999997</v>
      </c>
      <c r="H65" t="n">
        <v>1.0067978164589601E-2</v>
      </c>
      <c r="I65" t="n">
        <v>47.28</v>
      </c>
      <c r="J65" t="n">
        <v>5.9574468085106204E-3</v>
      </c>
      <c r="K65" t="s">
        <v>1070</v>
      </c>
      <c r="L65" t="s">
        <v>1007</v>
      </c>
    </row>
    <row r="66">
      <c r="A66" t="n">
        <v>2.86487834236928E-2</v>
      </c>
      <c r="B66" t="n">
        <v>-1.00878062845416E-2</v>
      </c>
      <c r="C66" t="n">
        <v>1.47648166353573E-2</v>
      </c>
      <c r="D66" t="n">
        <v>2.5106061305751201E-2</v>
      </c>
      <c r="E66" t="s">
        <v>1591</v>
      </c>
      <c r="F66" t="s">
        <v>1527</v>
      </c>
      <c r="G66" t="n">
        <v>39.371000000000002</v>
      </c>
      <c r="H66" t="n">
        <v>3.6709409335409201E-3</v>
      </c>
      <c r="I66" t="n">
        <v>47.573999999999998</v>
      </c>
      <c r="J66" t="n">
        <v>6.2182741116749698E-3</v>
      </c>
      <c r="K66" t="s">
        <v>1071</v>
      </c>
      <c r="L66" t="s">
        <v>1007</v>
      </c>
    </row>
    <row r="67">
      <c r="A67" t="n">
        <v>-4.2153079272678803E-3</v>
      </c>
      <c r="B67" t="n">
        <v>-9.8843189037382002E-3</v>
      </c>
      <c r="C67" t="n">
        <v>1.2042523964300099E-2</v>
      </c>
      <c r="D67" t="n">
        <v>4.1753162692227598E-2</v>
      </c>
      <c r="E67" t="s">
        <v>1592</v>
      </c>
      <c r="F67" t="s">
        <v>1527</v>
      </c>
      <c r="G67" t="n">
        <v>39.488999999999997</v>
      </c>
      <c r="H67" t="n">
        <v>2.9971298671609401E-3</v>
      </c>
      <c r="I67" t="n">
        <v>48.063000000000002</v>
      </c>
      <c r="J67" t="n">
        <v>1.02787236725943E-2</v>
      </c>
      <c r="K67" t="s">
        <v>1072</v>
      </c>
      <c r="L67" t="s">
        <v>1007</v>
      </c>
    </row>
    <row r="68">
      <c r="A68" t="n">
        <v>2.1224970793817698E-2</v>
      </c>
      <c r="B68" t="n">
        <v>5.6401548408471199E-3</v>
      </c>
      <c r="C68" t="n">
        <v>3.4679470629119601E-2</v>
      </c>
      <c r="D68" t="n">
        <v>3.6953475595025202E-2</v>
      </c>
      <c r="E68" t="s">
        <v>1593</v>
      </c>
      <c r="F68" t="s">
        <v>1527</v>
      </c>
      <c r="G68" t="n">
        <v>39.826999999999998</v>
      </c>
      <c r="H68" t="n">
        <v>8.5593456405581598E-3</v>
      </c>
      <c r="I68" t="n">
        <v>48.500999999999998</v>
      </c>
      <c r="J68" t="n">
        <v>9.1130391361338194E-3</v>
      </c>
      <c r="K68" t="s">
        <v>1073</v>
      </c>
      <c r="L68" t="s">
        <v>1007</v>
      </c>
    </row>
    <row r="69">
      <c r="A69" t="n">
        <v>2.4413629868112598E-2</v>
      </c>
      <c r="B69" t="n">
        <v>4.55022354216461E-3</v>
      </c>
      <c r="C69" t="n">
        <v>5.3779833992726497E-2</v>
      </c>
      <c r="D69" t="n">
        <v>4.4006184582173501E-2</v>
      </c>
      <c r="E69" t="s">
        <v>1594</v>
      </c>
      <c r="F69" t="s">
        <v>1527</v>
      </c>
      <c r="G69" t="n">
        <v>40.351999999999997</v>
      </c>
      <c r="H69" t="n">
        <v>1.3182012202777E-2</v>
      </c>
      <c r="I69" t="n">
        <v>49.026000000000003</v>
      </c>
      <c r="J69" t="n">
        <v>1.08245190820808E-2</v>
      </c>
      <c r="K69" t="s">
        <v>1074</v>
      </c>
      <c r="L69" t="s">
        <v>1007</v>
      </c>
    </row>
    <row r="70">
      <c r="A70" t="n">
        <v>3.8220568833408297E-2</v>
      </c>
      <c r="B70" t="n">
        <v>-6.8268953681047701E-3</v>
      </c>
      <c r="C70" t="n">
        <v>6.6318650583382599E-2</v>
      </c>
      <c r="D70" t="n">
        <v>2.5866237951436302E-2</v>
      </c>
      <c r="E70" t="s">
        <v>1595</v>
      </c>
      <c r="F70" t="s">
        <v>1527</v>
      </c>
      <c r="G70" t="n">
        <v>41.005000000000003</v>
      </c>
      <c r="H70" t="n">
        <v>1.61825931800159E-2</v>
      </c>
      <c r="I70" t="n">
        <v>49.34</v>
      </c>
      <c r="J70" t="n">
        <v>6.4047648186675897E-3</v>
      </c>
      <c r="K70" t="s">
        <v>1075</v>
      </c>
      <c r="L70" t="s">
        <v>1007</v>
      </c>
    </row>
    <row r="71">
      <c r="A71" t="n">
        <v>3.9129087464599803E-2</v>
      </c>
      <c r="B71" t="n">
        <v>1.9164012541417402E-2</v>
      </c>
      <c r="C71" t="n">
        <v>5.3726223643289599E-2</v>
      </c>
      <c r="D71" t="n">
        <v>3.4070959420577702E-2</v>
      </c>
      <c r="E71" t="s">
        <v>1596</v>
      </c>
      <c r="F71" t="s">
        <v>1527</v>
      </c>
      <c r="G71" t="n">
        <v>41.545000000000002</v>
      </c>
      <c r="H71" t="n">
        <v>1.3169125716376E-2</v>
      </c>
      <c r="I71" t="n">
        <v>49.755000000000003</v>
      </c>
      <c r="J71" t="n">
        <v>8.4110255370895004E-3</v>
      </c>
      <c r="K71" t="s">
        <v>1076</v>
      </c>
      <c r="L71" t="s">
        <v>1007</v>
      </c>
    </row>
    <row r="72">
      <c r="A72" t="n">
        <v>3.8454021368670203E-2</v>
      </c>
      <c r="B72" t="n">
        <v>2.9219770282175001E-2</v>
      </c>
      <c r="C72" t="n">
        <v>5.1713813262120399E-2</v>
      </c>
      <c r="D72" t="n">
        <v>3.6092988240003197E-2</v>
      </c>
      <c r="E72" t="s">
        <v>1597</v>
      </c>
      <c r="F72" t="s">
        <v>1527</v>
      </c>
      <c r="G72" t="n">
        <v>42.072000000000003</v>
      </c>
      <c r="H72" t="n">
        <v>1.2685040317727899E-2</v>
      </c>
      <c r="I72" t="n">
        <v>50.198</v>
      </c>
      <c r="J72" t="n">
        <v>8.9036277761027592E-3</v>
      </c>
      <c r="K72" t="s">
        <v>1077</v>
      </c>
      <c r="L72" t="s">
        <v>1007</v>
      </c>
    </row>
    <row r="73">
      <c r="A73" t="n">
        <v>3.5013174112648898E-2</v>
      </c>
      <c r="B73" t="n">
        <v>8.3996255435596599E-3</v>
      </c>
      <c r="C73" t="n">
        <v>2.4659104438458999E-2</v>
      </c>
      <c r="D73" t="n">
        <v>2.13651369698558E-2</v>
      </c>
      <c r="E73" t="s">
        <v>1598</v>
      </c>
      <c r="F73" t="s">
        <v>1527</v>
      </c>
      <c r="G73" t="n">
        <v>42.329000000000001</v>
      </c>
      <c r="H73" t="n">
        <v>6.1085757748620103E-3</v>
      </c>
      <c r="I73" t="n">
        <v>50.463999999999999</v>
      </c>
      <c r="J73" t="n">
        <v>5.29901589704762E-3</v>
      </c>
      <c r="K73" t="s">
        <v>1078</v>
      </c>
      <c r="L73" t="s">
        <v>1007</v>
      </c>
    </row>
    <row r="74">
      <c r="A74" t="n">
        <v>3.19577361885768E-2</v>
      </c>
      <c r="B74" t="n">
        <v>5.5666299963321703E-2</v>
      </c>
      <c r="C74" t="n">
        <v>1.7884305064996799E-2</v>
      </c>
      <c r="D74" t="n">
        <v>3.2571809116936898E-2</v>
      </c>
      <c r="E74" t="s">
        <v>1599</v>
      </c>
      <c r="F74" t="s">
        <v>1527</v>
      </c>
      <c r="G74" t="n">
        <v>42.517000000000003</v>
      </c>
      <c r="H74" t="n">
        <v>4.4413995133361101E-3</v>
      </c>
      <c r="I74" t="n">
        <v>50.87</v>
      </c>
      <c r="J74" t="n">
        <v>8.0453392517438899E-3</v>
      </c>
      <c r="K74" t="s">
        <v>1079</v>
      </c>
      <c r="L74" t="s">
        <v>1007</v>
      </c>
    </row>
    <row r="75">
      <c r="A75" t="n">
        <v>4.4899260052234199E-2</v>
      </c>
      <c r="B75" t="n">
        <v>3.99278081765242E-2</v>
      </c>
      <c r="C75" t="n">
        <v>4.3789897152202203E-2</v>
      </c>
      <c r="D75" t="n">
        <v>2.2279292577718199E-2</v>
      </c>
      <c r="E75" t="s">
        <v>1600</v>
      </c>
      <c r="F75" t="s">
        <v>1527</v>
      </c>
      <c r="G75" t="n">
        <v>42.975000000000001</v>
      </c>
      <c r="H75" t="n">
        <v>1.0772161723545901E-2</v>
      </c>
      <c r="I75" t="n">
        <v>51.151000000000003</v>
      </c>
      <c r="J75" t="n">
        <v>5.5238844112444098E-3</v>
      </c>
      <c r="K75" t="s">
        <v>1080</v>
      </c>
      <c r="L75" t="s">
        <v>1007</v>
      </c>
    </row>
    <row r="76">
      <c r="A76" t="n">
        <v>5.0215068802573502E-2</v>
      </c>
      <c r="B76" t="n">
        <v>2.3053377277420399E-2</v>
      </c>
      <c r="C76" t="n">
        <v>3.6032445200426998E-2</v>
      </c>
      <c r="D76" t="n">
        <v>2.6056753006691701E-2</v>
      </c>
      <c r="E76" t="s">
        <v>1601</v>
      </c>
      <c r="F76" t="s">
        <v>1527</v>
      </c>
      <c r="G76" t="n">
        <v>43.356999999999999</v>
      </c>
      <c r="H76" t="n">
        <v>8.8888888888889496E-3</v>
      </c>
      <c r="I76" t="n">
        <v>51.481000000000002</v>
      </c>
      <c r="J76" t="n">
        <v>6.45148677445206E-3</v>
      </c>
      <c r="K76" t="s">
        <v>1081</v>
      </c>
      <c r="L76" t="s">
        <v>1007</v>
      </c>
    </row>
    <row r="77">
      <c r="A77" t="n">
        <v>4.1025346631292002E-2</v>
      </c>
      <c r="B77" t="n">
        <v>3.2561998713341901E-2</v>
      </c>
      <c r="C77" t="n">
        <v>5.2865449677459202E-2</v>
      </c>
      <c r="D77" t="n">
        <v>2.13020937510979E-2</v>
      </c>
      <c r="E77" t="s">
        <v>1602</v>
      </c>
      <c r="F77" t="s">
        <v>1527</v>
      </c>
      <c r="G77" t="n">
        <v>43.918999999999997</v>
      </c>
      <c r="H77" t="n">
        <v>1.29621514403671E-2</v>
      </c>
      <c r="I77" t="n">
        <v>51.753</v>
      </c>
      <c r="J77" t="n">
        <v>5.2835026514637101E-3</v>
      </c>
      <c r="K77" t="s">
        <v>1082</v>
      </c>
      <c r="L77" t="s">
        <v>1007</v>
      </c>
    </row>
    <row r="78">
      <c r="A78" t="n">
        <v>4.6770164599538401E-2</v>
      </c>
      <c r="B78" t="n">
        <v>3.00519488200592E-2</v>
      </c>
      <c r="C78" t="n">
        <v>6.2050852369377699E-2</v>
      </c>
      <c r="D78" t="n">
        <v>1.9463013158635498E-2</v>
      </c>
      <c r="E78" t="s">
        <v>1603</v>
      </c>
      <c r="F78" t="s">
        <v>1527</v>
      </c>
      <c r="G78" t="n">
        <v>44.585000000000001</v>
      </c>
      <c r="H78" t="n">
        <v>1.5164279696714401E-2</v>
      </c>
      <c r="I78" t="n">
        <v>52.003</v>
      </c>
      <c r="J78" t="n">
        <v>4.8306378374200999E-3</v>
      </c>
      <c r="K78" t="s">
        <v>1083</v>
      </c>
      <c r="L78" t="s">
        <v>1007</v>
      </c>
    </row>
    <row r="79">
      <c r="A79" t="n">
        <v>5.4994617531312101E-2</v>
      </c>
      <c r="B79" t="n">
        <v>2.9679316947533299E-2</v>
      </c>
      <c r="C79" t="n">
        <v>6.0821876360983101E-2</v>
      </c>
      <c r="D79" t="n">
        <v>3.2856918868300999E-2</v>
      </c>
      <c r="E79" t="s">
        <v>1604</v>
      </c>
      <c r="F79" t="s">
        <v>1527</v>
      </c>
      <c r="G79" t="n">
        <v>45.247999999999998</v>
      </c>
      <c r="H79" t="n">
        <v>1.48704721318829E-2</v>
      </c>
      <c r="I79" t="n">
        <v>52.424999999999997</v>
      </c>
      <c r="J79" t="n">
        <v>8.1149164471279196E-3</v>
      </c>
      <c r="K79" t="s">
        <v>1084</v>
      </c>
      <c r="L79" t="s">
        <v>1007</v>
      </c>
    </row>
    <row r="80">
      <c r="A80" t="n">
        <v>2.3822978628153201E-2</v>
      </c>
      <c r="B80" t="n">
        <v>2.0057150963272801E-2</v>
      </c>
      <c r="C80" t="n">
        <v>3.9922896172757301E-2</v>
      </c>
      <c r="D80" t="n">
        <v>3.0012482573731999E-2</v>
      </c>
      <c r="E80" t="s">
        <v>1605</v>
      </c>
      <c r="F80" t="s">
        <v>1527</v>
      </c>
      <c r="G80" t="n">
        <v>45.692999999999998</v>
      </c>
      <c r="H80" t="n">
        <v>9.8346888260254506E-3</v>
      </c>
      <c r="I80" t="n">
        <v>52.814</v>
      </c>
      <c r="J80" t="n">
        <v>7.4201239866476002E-3</v>
      </c>
      <c r="K80" t="s">
        <v>1085</v>
      </c>
      <c r="L80" t="s">
        <v>1007</v>
      </c>
    </row>
    <row r="81">
      <c r="A81" t="n">
        <v>3.1803231650019199E-2</v>
      </c>
      <c r="B81" t="n">
        <v>1.4432124176051201E-2</v>
      </c>
      <c r="C81" t="n">
        <v>6.0046453160524503E-2</v>
      </c>
      <c r="D81" t="n">
        <v>2.2222434897181301E-2</v>
      </c>
      <c r="E81" t="s">
        <v>1606</v>
      </c>
      <c r="F81" t="s">
        <v>1527</v>
      </c>
      <c r="G81" t="n">
        <v>46.363999999999997</v>
      </c>
      <c r="H81" t="n">
        <v>1.46849626857506E-2</v>
      </c>
      <c r="I81" t="n">
        <v>53.104999999999997</v>
      </c>
      <c r="J81" t="n">
        <v>5.5099026773204303E-3</v>
      </c>
      <c r="K81" t="s">
        <v>1086</v>
      </c>
      <c r="L81" t="s">
        <v>1007</v>
      </c>
    </row>
    <row r="82">
      <c r="A82" t="n">
        <v>5.92740793130948E-2</v>
      </c>
      <c r="B82" t="n">
        <v>2.8330647899498702E-2</v>
      </c>
      <c r="C82" t="n">
        <v>6.4935137330784501E-2</v>
      </c>
      <c r="D82" t="n">
        <v>2.9085137772108E-2</v>
      </c>
      <c r="E82" t="s">
        <v>1607</v>
      </c>
      <c r="F82" t="s">
        <v>1527</v>
      </c>
      <c r="G82" t="n">
        <v>47.098999999999997</v>
      </c>
      <c r="H82" t="n">
        <v>1.5852816840652199E-2</v>
      </c>
      <c r="I82" t="n">
        <v>53.487000000000002</v>
      </c>
      <c r="J82" t="n">
        <v>7.1932962997835999E-3</v>
      </c>
      <c r="K82" t="s">
        <v>1087</v>
      </c>
      <c r="L82" t="s">
        <v>1007</v>
      </c>
    </row>
    <row r="83">
      <c r="A83" t="n">
        <v>3.6833081072387398E-2</v>
      </c>
      <c r="B83" t="n">
        <v>7.0464261662823505E-2</v>
      </c>
      <c r="C83" t="n">
        <v>4.34077415784246E-2</v>
      </c>
      <c r="D83" t="n">
        <v>3.5768290293157798E-2</v>
      </c>
      <c r="E83" t="s">
        <v>1608</v>
      </c>
      <c r="F83" t="s">
        <v>1527</v>
      </c>
      <c r="G83" t="n">
        <v>47.601999999999997</v>
      </c>
      <c r="H83" t="n">
        <v>1.0679632263954599E-2</v>
      </c>
      <c r="I83" t="n">
        <v>53.959000000000003</v>
      </c>
      <c r="J83" t="n">
        <v>8.8245741955990092E-3</v>
      </c>
      <c r="K83" t="s">
        <v>1088</v>
      </c>
      <c r="L83" t="s">
        <v>1007</v>
      </c>
    </row>
    <row r="84">
      <c r="A84" t="n">
        <v>5.1769155239957503E-2</v>
      </c>
      <c r="B84" t="n">
        <v>5.3870047588526803E-3</v>
      </c>
      <c r="C84" t="n">
        <v>5.9429132401131797E-2</v>
      </c>
      <c r="D84" t="n">
        <v>3.9413809912278698E-2</v>
      </c>
      <c r="E84" t="s">
        <v>1609</v>
      </c>
      <c r="F84" t="s">
        <v>1527</v>
      </c>
      <c r="G84" t="n">
        <v>48.293999999999997</v>
      </c>
      <c r="H84" t="n">
        <v>1.4537204319146299E-2</v>
      </c>
      <c r="I84" t="n">
        <v>54.482999999999997</v>
      </c>
      <c r="J84" t="n">
        <v>9.7110769287791499E-3</v>
      </c>
      <c r="K84" t="s">
        <v>1089</v>
      </c>
      <c r="L84" t="s">
        <v>1007</v>
      </c>
    </row>
    <row r="85">
      <c r="A85" t="n">
        <v>5.3985249536158401E-2</v>
      </c>
      <c r="B85" t="n">
        <v>4.8480456964960797E-2</v>
      </c>
      <c r="C85" t="n">
        <v>7.7879333039596599E-2</v>
      </c>
      <c r="D85" t="n">
        <v>1.0688095589023601E-2</v>
      </c>
      <c r="E85" t="s">
        <v>1610</v>
      </c>
      <c r="F85" t="s">
        <v>1527</v>
      </c>
      <c r="G85" t="n">
        <v>49.207999999999998</v>
      </c>
      <c r="H85" t="n">
        <v>1.8925746469540702E-2</v>
      </c>
      <c r="I85" t="n">
        <v>54.628</v>
      </c>
      <c r="J85" t="n">
        <v>2.66138061413668E-3</v>
      </c>
      <c r="K85" t="s">
        <v>1090</v>
      </c>
      <c r="L85" t="s">
        <v>1007</v>
      </c>
    </row>
    <row r="86">
      <c r="A86" t="n">
        <v>2.1158982786186002E-2</v>
      </c>
      <c r="B86" t="n">
        <v>3.6386290478485302E-2</v>
      </c>
      <c r="C86" t="n">
        <v>1.91574066493869E-2</v>
      </c>
      <c r="D86" t="n">
        <v>7.9315148019272197E-3</v>
      </c>
      <c r="E86" t="s">
        <v>1611</v>
      </c>
      <c r="F86" t="s">
        <v>1527</v>
      </c>
      <c r="G86" t="n">
        <v>49.442</v>
      </c>
      <c r="H86" t="n">
        <v>4.7553243375060301E-3</v>
      </c>
      <c r="I86" t="n">
        <v>54.735999999999997</v>
      </c>
      <c r="J86" t="n">
        <v>1.9770081276999601E-3</v>
      </c>
      <c r="K86" t="s">
        <v>1091</v>
      </c>
      <c r="L86" t="s">
        <v>1007</v>
      </c>
    </row>
    <row r="87">
      <c r="A87" t="n">
        <v>2.2052154501282398E-2</v>
      </c>
      <c r="B87" t="n">
        <v>1.9883287825612099E-2</v>
      </c>
      <c r="C87" t="n">
        <v>2.5316754451185201E-2</v>
      </c>
      <c r="D87" t="n">
        <v>2.0767815828135701E-2</v>
      </c>
      <c r="E87" t="s">
        <v>1612</v>
      </c>
      <c r="F87" t="s">
        <v>1527</v>
      </c>
      <c r="G87" t="n">
        <v>49.752000000000002</v>
      </c>
      <c r="H87" t="n">
        <v>6.2699728975366097E-3</v>
      </c>
      <c r="I87" t="n">
        <v>55.018000000000001</v>
      </c>
      <c r="J87" t="n">
        <v>5.1520023384976597E-3</v>
      </c>
      <c r="K87" t="s">
        <v>1092</v>
      </c>
      <c r="L87" t="s">
        <v>1007</v>
      </c>
    </row>
    <row r="88">
      <c r="A88" t="n">
        <v>2.7438615126695699E-2</v>
      </c>
      <c r="B88" t="n">
        <v>5.2374465161812503E-2</v>
      </c>
      <c r="C88" t="n">
        <v>3.8739820782161899E-2</v>
      </c>
      <c r="D88" t="n">
        <v>1.0657034721188501E-2</v>
      </c>
      <c r="E88" t="s">
        <v>1613</v>
      </c>
      <c r="F88" t="s">
        <v>1527</v>
      </c>
      <c r="G88" t="n">
        <v>50.226999999999997</v>
      </c>
      <c r="H88" t="n">
        <v>9.5473548802056402E-3</v>
      </c>
      <c r="I88" t="n">
        <v>55.164000000000001</v>
      </c>
      <c r="J88" t="n">
        <v>2.6536769784435399E-3</v>
      </c>
      <c r="K88" t="s">
        <v>1093</v>
      </c>
      <c r="L88" t="s">
        <v>1007</v>
      </c>
    </row>
    <row r="89">
      <c r="A89" t="n">
        <v>2.9370792816648401E-2</v>
      </c>
      <c r="B89" t="n">
        <v>4.1076934031538899E-2</v>
      </c>
      <c r="C89" t="n">
        <v>4.6254885206873202E-2</v>
      </c>
      <c r="D89" t="n">
        <v>-9.9690396175571294E-3</v>
      </c>
      <c r="E89" t="s">
        <v>1614</v>
      </c>
      <c r="F89" t="s">
        <v>1527</v>
      </c>
      <c r="G89" t="n">
        <v>50.798000000000002</v>
      </c>
      <c r="H89" t="n">
        <v>1.13683875206563E-2</v>
      </c>
      <c r="I89" t="n">
        <v>55.026000000000003</v>
      </c>
      <c r="J89" t="n">
        <v>-2.5016314988035599E-3</v>
      </c>
      <c r="K89" t="s">
        <v>1094</v>
      </c>
      <c r="L89" t="s">
        <v>1007</v>
      </c>
    </row>
    <row r="90">
      <c r="A90" t="n">
        <v>2.5261592124571599E-2</v>
      </c>
      <c r="B90" t="n">
        <v>5.8581566563336001E-3</v>
      </c>
      <c r="C90" t="n">
        <v>3.8335869645315497E-2</v>
      </c>
      <c r="D90" t="n">
        <v>-1.04267601108922E-2</v>
      </c>
      <c r="E90" t="s">
        <v>1615</v>
      </c>
      <c r="F90" t="s">
        <v>1527</v>
      </c>
      <c r="G90" t="n">
        <v>51.277999999999999</v>
      </c>
      <c r="H90" t="n">
        <v>9.4491909130280903E-3</v>
      </c>
      <c r="I90" t="n">
        <v>54.881999999999998</v>
      </c>
      <c r="J90" t="n">
        <v>-2.61694471704299E-3</v>
      </c>
      <c r="K90" t="s">
        <v>1095</v>
      </c>
      <c r="L90" t="s">
        <v>1007</v>
      </c>
    </row>
    <row r="91">
      <c r="A91" t="n">
        <v>2.6883329197386899E-2</v>
      </c>
      <c r="B91" t="n">
        <v>1.4672046081608801E-2</v>
      </c>
      <c r="C91" t="n">
        <v>5.5488923116520997E-2</v>
      </c>
      <c r="D91" t="n">
        <v>1.90848323659343E-2</v>
      </c>
      <c r="E91" t="s">
        <v>1616</v>
      </c>
      <c r="F91" t="s">
        <v>1527</v>
      </c>
      <c r="G91" t="n">
        <v>51.975000000000001</v>
      </c>
      <c r="H91" t="n">
        <v>1.35925738133313E-2</v>
      </c>
      <c r="I91" t="n">
        <v>55.142000000000003</v>
      </c>
      <c r="J91" t="n">
        <v>4.7374366823367299E-3</v>
      </c>
      <c r="K91" t="s">
        <v>1096</v>
      </c>
      <c r="L91" t="s">
        <v>1007</v>
      </c>
    </row>
    <row r="92">
      <c r="A92" t="n">
        <v>2.57889573012124E-2</v>
      </c>
      <c r="B92" t="n">
        <v>3.5352763805176303E-2</v>
      </c>
      <c r="C92" t="n">
        <v>3.4689577494526398E-2</v>
      </c>
      <c r="D92" t="n">
        <v>8.1492648352745594E-3</v>
      </c>
      <c r="E92" t="s">
        <v>1617</v>
      </c>
      <c r="F92" t="s">
        <v>1527</v>
      </c>
      <c r="G92" t="n">
        <v>52.42</v>
      </c>
      <c r="H92" t="n">
        <v>8.5618085618086592E-3</v>
      </c>
      <c r="I92" t="n">
        <v>55.253999999999998</v>
      </c>
      <c r="J92" t="n">
        <v>2.03111965470959E-3</v>
      </c>
      <c r="K92" t="s">
        <v>1097</v>
      </c>
      <c r="L92" t="s">
        <v>1007</v>
      </c>
    </row>
    <row r="93">
      <c r="A93" t="n">
        <v>2.8170464275272301E-2</v>
      </c>
      <c r="B93" t="n">
        <v>2.5395981622951001E-2</v>
      </c>
      <c r="C93" t="n">
        <v>2.9547347848341E-2</v>
      </c>
      <c r="D93" t="n">
        <v>1.8368205985927599E-2</v>
      </c>
      <c r="E93" t="s">
        <v>1618</v>
      </c>
      <c r="F93" t="s">
        <v>1527</v>
      </c>
      <c r="G93" t="n">
        <v>52.802999999999997</v>
      </c>
      <c r="H93" t="n">
        <v>7.3063716138877001E-3</v>
      </c>
      <c r="I93" t="n">
        <v>55.506</v>
      </c>
      <c r="J93" t="n">
        <v>4.5607557823867896E-3</v>
      </c>
      <c r="K93" t="s">
        <v>1098</v>
      </c>
      <c r="L93" t="s">
        <v>1007</v>
      </c>
    </row>
    <row r="94">
      <c r="A94" t="n">
        <v>2.40619409805858E-2</v>
      </c>
      <c r="B94" t="n">
        <v>9.9983702538513092E-3</v>
      </c>
      <c r="C94" t="n">
        <v>2.2073085991106502E-2</v>
      </c>
      <c r="D94" t="n">
        <v>3.0096377482488099E-2</v>
      </c>
      <c r="E94" t="s">
        <v>1619</v>
      </c>
      <c r="F94" t="s">
        <v>1527</v>
      </c>
      <c r="G94" t="n">
        <v>53.091999999999999</v>
      </c>
      <c r="H94" t="n">
        <v>5.4731738726967504E-3</v>
      </c>
      <c r="I94" t="n">
        <v>55.918999999999997</v>
      </c>
      <c r="J94" t="n">
        <v>7.4406370482469298E-3</v>
      </c>
      <c r="K94" t="s">
        <v>1099</v>
      </c>
      <c r="L94" t="s">
        <v>1007</v>
      </c>
    </row>
    <row r="95">
      <c r="A95" t="n">
        <v>2.70873737268695E-2</v>
      </c>
      <c r="B95" t="n">
        <v>1.7716185249098602E-2</v>
      </c>
      <c r="C95" t="n">
        <v>2.3867747826854101E-2</v>
      </c>
      <c r="D95" t="n">
        <v>2.3524161594785199E-2</v>
      </c>
      <c r="E95" t="s">
        <v>1620</v>
      </c>
      <c r="F95" t="s">
        <v>1527</v>
      </c>
      <c r="G95" t="n">
        <v>53.405999999999999</v>
      </c>
      <c r="H95" t="n">
        <v>5.91426203571155E-3</v>
      </c>
      <c r="I95" t="n">
        <v>56.244999999999997</v>
      </c>
      <c r="J95" t="n">
        <v>5.8298610490172802E-3</v>
      </c>
      <c r="K95" t="s">
        <v>1100</v>
      </c>
      <c r="L95" t="s">
        <v>1007</v>
      </c>
    </row>
    <row r="96">
      <c r="A96" t="n">
        <v>1.7542540867755401E-2</v>
      </c>
      <c r="B96" t="n">
        <v>2.9283418694515902E-2</v>
      </c>
      <c r="C96" t="n">
        <v>1.3096071782226999E-2</v>
      </c>
      <c r="D96" t="n">
        <v>4.0598599880798903E-3</v>
      </c>
      <c r="E96" t="s">
        <v>1621</v>
      </c>
      <c r="F96" t="s">
        <v>1527</v>
      </c>
      <c r="G96" t="n">
        <v>53.58</v>
      </c>
      <c r="H96" t="n">
        <v>3.2580608920345102E-3</v>
      </c>
      <c r="I96" t="n">
        <v>56.302</v>
      </c>
      <c r="J96" t="n">
        <v>1.01342341541466E-3</v>
      </c>
      <c r="K96" t="s">
        <v>1101</v>
      </c>
      <c r="L96" t="s">
        <v>1007</v>
      </c>
    </row>
    <row r="97">
      <c r="A97" t="n">
        <v>2.3240038949048102E-2</v>
      </c>
      <c r="B97" t="n">
        <v>3.6370296177081797E-2</v>
      </c>
      <c r="C97" t="n">
        <v>2.0612838101556001E-2</v>
      </c>
      <c r="D97" t="n">
        <v>1.8816279960193898E-2</v>
      </c>
      <c r="E97" t="s">
        <v>1622</v>
      </c>
      <c r="F97" t="s">
        <v>1527</v>
      </c>
      <c r="G97" t="n">
        <v>53.853999999999999</v>
      </c>
      <c r="H97" t="n">
        <v>5.1138484509145599E-3</v>
      </c>
      <c r="I97" t="n">
        <v>56.564999999999998</v>
      </c>
      <c r="J97" t="n">
        <v>4.6712372562254202E-3</v>
      </c>
      <c r="K97" t="s">
        <v>1102</v>
      </c>
      <c r="L97" t="s">
        <v>1007</v>
      </c>
    </row>
    <row r="98">
      <c r="A98" t="n">
        <v>1.4387423449919501E-2</v>
      </c>
      <c r="B98" t="n">
        <v>1.8449816517922799E-2</v>
      </c>
      <c r="C98" t="n">
        <v>3.3921123111567301E-2</v>
      </c>
      <c r="D98" t="n">
        <v>2.9526755688726598E-2</v>
      </c>
      <c r="E98" t="s">
        <v>1623</v>
      </c>
      <c r="F98" t="s">
        <v>1527</v>
      </c>
      <c r="G98" t="n">
        <v>54.305</v>
      </c>
      <c r="H98" t="n">
        <v>8.3744940023024999E-3</v>
      </c>
      <c r="I98" t="n">
        <v>56.978000000000002</v>
      </c>
      <c r="J98" t="n">
        <v>7.3013347476356101E-3</v>
      </c>
      <c r="K98" t="s">
        <v>1103</v>
      </c>
      <c r="L98" t="s">
        <v>1007</v>
      </c>
    </row>
    <row r="99">
      <c r="A99" t="n">
        <v>2.2496438657089599E-2</v>
      </c>
      <c r="B99" t="n">
        <v>3.3991498444716703E-2</v>
      </c>
      <c r="C99" t="n">
        <v>2.3479894269272002E-2</v>
      </c>
      <c r="D99" t="n">
        <v>1.7453105874537699E-2</v>
      </c>
      <c r="E99" t="s">
        <v>1624</v>
      </c>
      <c r="F99" t="s">
        <v>1527</v>
      </c>
      <c r="G99" t="n">
        <v>54.621000000000002</v>
      </c>
      <c r="H99" t="n">
        <v>5.8189853604639899E-3</v>
      </c>
      <c r="I99" t="n">
        <v>57.225000000000001</v>
      </c>
      <c r="J99" t="n">
        <v>4.3350064937344203E-3</v>
      </c>
      <c r="K99" t="s">
        <v>1104</v>
      </c>
      <c r="L99" t="s">
        <v>1007</v>
      </c>
    </row>
    <row r="100">
      <c r="A100" t="n">
        <v>2.90726218207682E-2</v>
      </c>
      <c r="B100" t="n">
        <v>2.3185974053502999E-2</v>
      </c>
      <c r="C100" t="n">
        <v>3.5391871305663798E-2</v>
      </c>
      <c r="D100" t="n">
        <v>3.5482240520336501E-2</v>
      </c>
      <c r="E100" t="s">
        <v>1625</v>
      </c>
      <c r="F100" t="s">
        <v>1527</v>
      </c>
      <c r="G100" t="n">
        <v>55.097999999999999</v>
      </c>
      <c r="H100" t="n">
        <v>8.7329049266764401E-3</v>
      </c>
      <c r="I100" t="n">
        <v>57.725999999999999</v>
      </c>
      <c r="J100" t="n">
        <v>8.7549148099605994E-3</v>
      </c>
      <c r="K100" t="s">
        <v>1105</v>
      </c>
      <c r="L100" t="s">
        <v>1007</v>
      </c>
    </row>
    <row r="101">
      <c r="A101" t="n">
        <v>1.88663260541506E-2</v>
      </c>
      <c r="B101" t="n">
        <v>3.3254108726641599E-2</v>
      </c>
      <c r="C101" t="n">
        <v>3.4634574022881899E-2</v>
      </c>
      <c r="D101" t="n">
        <v>3.3748767658719397E-2</v>
      </c>
      <c r="E101" t="s">
        <v>1626</v>
      </c>
      <c r="F101" t="s">
        <v>1527</v>
      </c>
      <c r="G101" t="n">
        <v>55.569000000000003</v>
      </c>
      <c r="H101" t="n">
        <v>8.5484046607862095E-3</v>
      </c>
      <c r="I101" t="n">
        <v>58.207000000000001</v>
      </c>
      <c r="J101" t="n">
        <v>8.3324671725046907E-3</v>
      </c>
      <c r="K101" t="s">
        <v>1106</v>
      </c>
      <c r="L101" t="s">
        <v>1007</v>
      </c>
    </row>
    <row r="102">
      <c r="A102" t="n">
        <v>1.9752209109685798E-2</v>
      </c>
      <c r="B102" t="n">
        <v>3.4122786590531799E-2</v>
      </c>
      <c r="C102" t="n">
        <v>1.8555272424330301E-2</v>
      </c>
      <c r="D102" t="n">
        <v>4.0528253340275301E-2</v>
      </c>
      <c r="E102" t="s">
        <v>1627</v>
      </c>
      <c r="F102" t="s">
        <v>1527</v>
      </c>
      <c r="G102" t="n">
        <v>55.825000000000003</v>
      </c>
      <c r="H102" t="n">
        <v>4.6068851337977001E-3</v>
      </c>
      <c r="I102" t="n">
        <v>58.787999999999997</v>
      </c>
      <c r="J102" t="n">
        <v>9.9816173312487991E-3</v>
      </c>
      <c r="K102" t="s">
        <v>1107</v>
      </c>
      <c r="L102" t="s">
        <v>1007</v>
      </c>
    </row>
    <row r="103">
      <c r="A103" t="n">
        <v>2.3426148348960799E-2</v>
      </c>
      <c r="B103" t="n">
        <v>2.6924495262994098E-2</v>
      </c>
      <c r="C103" t="n">
        <v>3.10950653969519E-2</v>
      </c>
      <c r="D103" t="n">
        <v>2.8884969324625399E-2</v>
      </c>
      <c r="E103" t="s">
        <v>1628</v>
      </c>
      <c r="F103" t="s">
        <v>1527</v>
      </c>
      <c r="G103" t="n">
        <v>56.253999999999998</v>
      </c>
      <c r="H103" t="n">
        <v>7.6847290640393896E-3</v>
      </c>
      <c r="I103" t="n">
        <v>59.207999999999998</v>
      </c>
      <c r="J103" t="n">
        <v>7.1443151663605998E-3</v>
      </c>
      <c r="K103" t="s">
        <v>1108</v>
      </c>
      <c r="L103" t="s">
        <v>1007</v>
      </c>
    </row>
    <row r="104">
      <c r="A104" t="n">
        <v>1.6481276503132601E-2</v>
      </c>
      <c r="B104" t="n">
        <v>2.0844963333619401E-2</v>
      </c>
      <c r="C104" t="n">
        <v>1.5303746558651399E-2</v>
      </c>
      <c r="D104" t="n">
        <v>2.2275298720186399E-2</v>
      </c>
      <c r="E104" t="s">
        <v>1629</v>
      </c>
      <c r="F104" t="s">
        <v>1527</v>
      </c>
      <c r="G104" t="n">
        <v>56.468000000000004</v>
      </c>
      <c r="H104" t="n">
        <v>3.8041739254097702E-3</v>
      </c>
      <c r="I104" t="n">
        <v>59.534999999999997</v>
      </c>
      <c r="J104" t="n">
        <v>5.5229023104985701E-3</v>
      </c>
      <c r="K104" t="s">
        <v>1109</v>
      </c>
      <c r="L104" t="s">
        <v>1007</v>
      </c>
    </row>
    <row r="105">
      <c r="A105" t="n">
        <v>1.77105887350755E-2</v>
      </c>
      <c r="B105" t="n">
        <v>5.6392491810183902E-2</v>
      </c>
      <c r="C105" t="n">
        <v>1.3670147091618101E-2</v>
      </c>
      <c r="D105" t="n">
        <v>2.3245190160411201E-2</v>
      </c>
      <c r="E105" t="s">
        <v>1630</v>
      </c>
      <c r="F105" t="s">
        <v>1527</v>
      </c>
      <c r="G105" t="n">
        <v>56.66</v>
      </c>
      <c r="H105" t="n">
        <v>3.4001558404759299E-3</v>
      </c>
      <c r="I105" t="n">
        <v>59.878</v>
      </c>
      <c r="J105" t="n">
        <v>5.7613168724279804E-3</v>
      </c>
      <c r="K105" t="s">
        <v>1110</v>
      </c>
      <c r="L105" t="s">
        <v>1007</v>
      </c>
    </row>
    <row r="106">
      <c r="A106" t="n">
        <v>2.24149830534284E-2</v>
      </c>
      <c r="B106" t="n">
        <v>9.43340099661172E-3</v>
      </c>
      <c r="C106" t="n">
        <v>4.4785324127958097E-2</v>
      </c>
      <c r="D106" t="n">
        <v>2.1616654614663E-2</v>
      </c>
      <c r="E106" t="s">
        <v>1631</v>
      </c>
      <c r="F106" t="s">
        <v>1527</v>
      </c>
      <c r="G106" t="n">
        <v>57.283999999999999</v>
      </c>
      <c r="H106" t="n">
        <v>1.1013060360042499E-2</v>
      </c>
      <c r="I106" t="n">
        <v>60.198999999999998</v>
      </c>
      <c r="J106" t="n">
        <v>5.3609004976786804E-3</v>
      </c>
      <c r="K106" t="s">
        <v>1111</v>
      </c>
      <c r="L106" t="s">
        <v>1007</v>
      </c>
    </row>
    <row r="107">
      <c r="A107" t="n">
        <v>2.7006131410312901E-2</v>
      </c>
      <c r="B107" t="n">
        <v>-2.1272525988481301E-2</v>
      </c>
      <c r="C107" t="n">
        <v>5.7381634098421204E-3</v>
      </c>
      <c r="D107" t="n">
        <v>4.4593389946305803E-3</v>
      </c>
      <c r="E107" t="s">
        <v>1632</v>
      </c>
      <c r="F107" t="s">
        <v>1527</v>
      </c>
      <c r="G107" t="n">
        <v>57.366</v>
      </c>
      <c r="H107" t="n">
        <v>1.4314642832204999E-3</v>
      </c>
      <c r="I107" t="n">
        <v>60.265999999999998</v>
      </c>
      <c r="J107" t="n">
        <v>1.1129752985929999E-3</v>
      </c>
      <c r="K107" t="s">
        <v>1112</v>
      </c>
      <c r="L107" t="s">
        <v>1007</v>
      </c>
    </row>
    <row r="108">
      <c r="A108" t="n">
        <v>1.7195373350960198E-2</v>
      </c>
      <c r="B108" t="n">
        <v>2.3444846886997699E-2</v>
      </c>
      <c r="C108" t="n">
        <v>2.6760970425558899E-2</v>
      </c>
      <c r="D108" t="n">
        <v>1.9993530620905801E-2</v>
      </c>
      <c r="E108" t="s">
        <v>1633</v>
      </c>
      <c r="F108" t="s">
        <v>1527</v>
      </c>
      <c r="G108" t="n">
        <v>57.746000000000002</v>
      </c>
      <c r="H108" t="n">
        <v>6.62413276156615E-3</v>
      </c>
      <c r="I108" t="n">
        <v>60.564999999999998</v>
      </c>
      <c r="J108" t="n">
        <v>4.9613380678989998E-3</v>
      </c>
      <c r="K108" t="s">
        <v>1113</v>
      </c>
      <c r="L108" t="s">
        <v>1007</v>
      </c>
    </row>
    <row r="109">
      <c r="A109" t="n">
        <v>2.7544322225657499E-2</v>
      </c>
      <c r="B109" t="n">
        <v>1.3803868113502E-2</v>
      </c>
      <c r="C109" t="n">
        <v>3.2814056779429501E-2</v>
      </c>
      <c r="D109" t="n">
        <v>1.3007743413415899E-2</v>
      </c>
      <c r="E109" t="s">
        <v>1634</v>
      </c>
      <c r="F109" t="s">
        <v>1527</v>
      </c>
      <c r="G109" t="n">
        <v>58.213999999999999</v>
      </c>
      <c r="H109" t="n">
        <v>8.1044574515982699E-3</v>
      </c>
      <c r="I109" t="n">
        <v>60.761000000000003</v>
      </c>
      <c r="J109" t="n">
        <v>3.2361925204327201E-3</v>
      </c>
      <c r="K109" t="s">
        <v>1114</v>
      </c>
      <c r="L109" t="s">
        <v>1007</v>
      </c>
    </row>
    <row r="110">
      <c r="A110" t="n">
        <v>1.7773223680601899E-2</v>
      </c>
      <c r="B110" t="n">
        <v>1.36962800731413E-2</v>
      </c>
      <c r="C110" t="n">
        <v>2.76992412803541E-2</v>
      </c>
      <c r="D110" t="n">
        <v>2.2772194889475902E-2</v>
      </c>
      <c r="E110" t="s">
        <v>1635</v>
      </c>
      <c r="F110" t="s">
        <v>1527</v>
      </c>
      <c r="G110" t="n">
        <v>58.613</v>
      </c>
      <c r="H110" t="n">
        <v>6.8540213694301402E-3</v>
      </c>
      <c r="I110" t="n">
        <v>61.103999999999999</v>
      </c>
      <c r="J110" t="n">
        <v>5.6450683826796402E-3</v>
      </c>
      <c r="K110" t="s">
        <v>1115</v>
      </c>
      <c r="L110" t="s">
        <v>1007</v>
      </c>
    </row>
    <row r="111">
      <c r="A111" t="n">
        <v>1.0067171002752701E-2</v>
      </c>
      <c r="B111" t="n">
        <v>2.65913479501769E-2</v>
      </c>
      <c r="C111" t="n">
        <v>9.5884799897107999E-3</v>
      </c>
      <c r="D111" t="n">
        <v>2.7578432526699701E-2</v>
      </c>
      <c r="E111" t="s">
        <v>1636</v>
      </c>
      <c r="F111" t="s">
        <v>1527</v>
      </c>
      <c r="G111" t="n">
        <v>58.753</v>
      </c>
      <c r="H111" t="n">
        <v>2.3885486154948698E-3</v>
      </c>
      <c r="I111" t="n">
        <v>61.521000000000001</v>
      </c>
      <c r="J111" t="n">
        <v>6.8244304791831301E-3</v>
      </c>
      <c r="K111" t="s">
        <v>1116</v>
      </c>
      <c r="L111" t="s">
        <v>1007</v>
      </c>
    </row>
    <row r="112">
      <c r="A112" t="n">
        <v>1.05839184448571E-2</v>
      </c>
      <c r="B112" t="n">
        <v>9.2223862003817398E-3</v>
      </c>
      <c r="C112" t="n">
        <v>1.9268623425193102E-2</v>
      </c>
      <c r="D112" t="n">
        <v>1.0181522541022199E-2</v>
      </c>
      <c r="E112" t="s">
        <v>1637</v>
      </c>
      <c r="F112" t="s">
        <v>1527</v>
      </c>
      <c r="G112" t="n">
        <v>59.033999999999999</v>
      </c>
      <c r="H112" t="n">
        <v>4.7827344986639498E-3</v>
      </c>
      <c r="I112" t="n">
        <v>61.677</v>
      </c>
      <c r="J112" t="n">
        <v>2.5357195104109801E-3</v>
      </c>
      <c r="K112" t="s">
        <v>1117</v>
      </c>
      <c r="L112" t="s">
        <v>1007</v>
      </c>
    </row>
    <row r="113">
      <c r="A113" t="n">
        <v>1.26121897911931E-2</v>
      </c>
      <c r="B113" t="n">
        <v>2.8333969394931401E-2</v>
      </c>
      <c r="C113" t="n">
        <v>3.3061309623051399E-2</v>
      </c>
      <c r="D113" t="n">
        <v>2.5996696664996499E-2</v>
      </c>
      <c r="E113" t="s">
        <v>1638</v>
      </c>
      <c r="F113" t="s">
        <v>1527</v>
      </c>
      <c r="G113" t="n">
        <v>59.515999999999998</v>
      </c>
      <c r="H113" t="n">
        <v>8.1647863942813093E-3</v>
      </c>
      <c r="I113" t="n">
        <v>62.073999999999998</v>
      </c>
      <c r="J113" t="n">
        <v>6.4367592457479396E-3</v>
      </c>
      <c r="K113" t="s">
        <v>1118</v>
      </c>
      <c r="L113" t="s">
        <v>1007</v>
      </c>
    </row>
    <row r="114">
      <c r="A114" t="n">
        <v>3.2090280398078302E-4</v>
      </c>
      <c r="B114" t="n">
        <v>-1.66473304304918E-2</v>
      </c>
      <c r="C114" t="n">
        <v>6.3326118015940604E-3</v>
      </c>
      <c r="D114" t="n">
        <v>1.3539104320199301E-3</v>
      </c>
      <c r="E114" t="s">
        <v>1639</v>
      </c>
      <c r="F114" t="s">
        <v>1527</v>
      </c>
      <c r="G114" t="n">
        <v>59.61</v>
      </c>
      <c r="H114" t="n">
        <v>1.57940721822714E-3</v>
      </c>
      <c r="I114" t="n">
        <v>62.094999999999999</v>
      </c>
      <c r="J114" t="n">
        <v>3.3830589296646201E-4</v>
      </c>
      <c r="K114" t="s">
        <v>1119</v>
      </c>
      <c r="L114" t="s">
        <v>1007</v>
      </c>
    </row>
    <row r="115">
      <c r="A115" t="n">
        <v>7.2384308298694099E-3</v>
      </c>
      <c r="B115" t="n">
        <v>2.5981704959145799E-2</v>
      </c>
      <c r="C115" t="n">
        <v>2.14418814289523E-2</v>
      </c>
      <c r="D115" t="n">
        <v>2.5146473935451202E-3</v>
      </c>
      <c r="E115" t="s">
        <v>1640</v>
      </c>
      <c r="F115" t="s">
        <v>1527</v>
      </c>
      <c r="G115" t="n">
        <v>59.927</v>
      </c>
      <c r="H115" t="n">
        <v>5.3178996812615099E-3</v>
      </c>
      <c r="I115" t="n">
        <v>62.134</v>
      </c>
      <c r="J115" t="n">
        <v>6.2806989290598004E-4</v>
      </c>
      <c r="K115" t="s">
        <v>1120</v>
      </c>
      <c r="L115" t="s">
        <v>1007</v>
      </c>
    </row>
    <row r="116">
      <c r="A116" t="n">
        <v>1.2387156771827E-2</v>
      </c>
      <c r="B116" t="n">
        <v>2.6407820145390601E-2</v>
      </c>
      <c r="C116" t="n">
        <v>3.1605845001569703E-2</v>
      </c>
      <c r="D116" t="n">
        <v>2.4885302644445099E-2</v>
      </c>
      <c r="E116" t="s">
        <v>1641</v>
      </c>
      <c r="F116" t="s">
        <v>1527</v>
      </c>
      <c r="G116" t="n">
        <v>60.395000000000003</v>
      </c>
      <c r="H116" t="n">
        <v>7.8095015602317498E-3</v>
      </c>
      <c r="I116" t="n">
        <v>62.517000000000003</v>
      </c>
      <c r="J116" t="n">
        <v>6.1640969517495802E-3</v>
      </c>
      <c r="K116" t="s">
        <v>1121</v>
      </c>
      <c r="L116" t="s">
        <v>1007</v>
      </c>
    </row>
    <row r="117">
      <c r="A117" t="n">
        <v>1.0631455336088899E-2</v>
      </c>
      <c r="B117" t="n">
        <v>1.29075602616771E-2</v>
      </c>
      <c r="C117" t="n">
        <v>3.6519198475668799E-2</v>
      </c>
      <c r="D117" t="n">
        <v>2.2777873103542599E-2</v>
      </c>
      <c r="E117" t="s">
        <v>1642</v>
      </c>
      <c r="F117" t="s">
        <v>1527</v>
      </c>
      <c r="G117" t="n">
        <v>60.939</v>
      </c>
      <c r="H117" t="n">
        <v>9.0073681596158899E-3</v>
      </c>
      <c r="I117" t="n">
        <v>62.87</v>
      </c>
      <c r="J117" t="n">
        <v>5.6464641617479704E-3</v>
      </c>
      <c r="K117" t="s">
        <v>1122</v>
      </c>
      <c r="L117" t="s">
        <v>1007</v>
      </c>
    </row>
    <row r="118">
      <c r="A118" t="n">
        <v>7.8778546175835001E-3</v>
      </c>
      <c r="B118" t="n">
        <v>1.19346323256166E-2</v>
      </c>
      <c r="C118" t="n">
        <v>3.4639204699016303E-2</v>
      </c>
      <c r="D118" t="n">
        <v>1.61297394114919E-2</v>
      </c>
      <c r="E118" t="s">
        <v>1643</v>
      </c>
      <c r="F118" t="s">
        <v>1527</v>
      </c>
      <c r="G118" t="n">
        <v>61.46</v>
      </c>
      <c r="H118" t="n">
        <v>8.5495331396971998E-3</v>
      </c>
      <c r="I118" t="n">
        <v>63.122</v>
      </c>
      <c r="J118" t="n">
        <v>4.0082710354700799E-3</v>
      </c>
      <c r="K118" t="s">
        <v>1123</v>
      </c>
      <c r="L118" t="s">
        <v>1007</v>
      </c>
    </row>
    <row r="119">
      <c r="A119" t="n">
        <v>2.2971603454798002E-2</v>
      </c>
      <c r="B119" t="n">
        <v>3.4068264295770097E-2</v>
      </c>
      <c r="C119" t="n">
        <v>6.1370356227924201E-2</v>
      </c>
      <c r="D119" t="n">
        <v>2.99883116478201E-2</v>
      </c>
      <c r="E119" t="s">
        <v>1644</v>
      </c>
      <c r="F119" t="s">
        <v>1527</v>
      </c>
      <c r="G119" t="n">
        <v>62.381999999999998</v>
      </c>
      <c r="H119" t="n">
        <v>1.5001627074519901E-2</v>
      </c>
      <c r="I119" t="n">
        <v>63.59</v>
      </c>
      <c r="J119" t="n">
        <v>7.4142137448116596E-3</v>
      </c>
      <c r="K119" t="s">
        <v>1124</v>
      </c>
      <c r="L119" t="s">
        <v>1007</v>
      </c>
    </row>
    <row r="120">
      <c r="A120" t="n">
        <v>2.21977740334749E-2</v>
      </c>
      <c r="B120" t="n">
        <v>3.6824162588046098E-2</v>
      </c>
      <c r="C120" t="n">
        <v>5.6562220210462498E-2</v>
      </c>
      <c r="D120" t="n">
        <v>1.6964868305367399E-2</v>
      </c>
      <c r="E120" t="s">
        <v>1645</v>
      </c>
      <c r="F120" t="s">
        <v>1527</v>
      </c>
      <c r="G120" t="n">
        <v>63.246000000000002</v>
      </c>
      <c r="H120" t="n">
        <v>1.3850149081466E-2</v>
      </c>
      <c r="I120" t="n">
        <v>63.857999999999997</v>
      </c>
      <c r="J120" t="n">
        <v>4.2144991350840898E-3</v>
      </c>
      <c r="K120" t="s">
        <v>1125</v>
      </c>
      <c r="L120" t="s">
        <v>1007</v>
      </c>
    </row>
    <row r="121">
      <c r="A121" t="n">
        <v>2.4473399596212499E-2</v>
      </c>
      <c r="B121" t="n">
        <v>5.00811045761866E-2</v>
      </c>
      <c r="C121" t="n">
        <v>4.9726482376824199E-2</v>
      </c>
      <c r="D121" t="n">
        <v>3.4513513517111301E-2</v>
      </c>
      <c r="E121" t="s">
        <v>1646</v>
      </c>
      <c r="F121" t="s">
        <v>1527</v>
      </c>
      <c r="G121" t="n">
        <v>64.018000000000001</v>
      </c>
      <c r="H121" t="n">
        <v>1.2206305537109099E-2</v>
      </c>
      <c r="I121" t="n">
        <v>64.402000000000001</v>
      </c>
      <c r="J121" t="n">
        <v>8.5189013122866104E-3</v>
      </c>
      <c r="K121" t="s">
        <v>1126</v>
      </c>
      <c r="L121" t="s">
        <v>1007</v>
      </c>
    </row>
    <row r="122">
      <c r="A122" t="n">
        <v>3.2886107964122897E-2</v>
      </c>
      <c r="B122" t="n">
        <v>3.9540884737924602E-2</v>
      </c>
      <c r="C122" t="n">
        <v>5.7040318663066601E-2</v>
      </c>
      <c r="D122" t="n">
        <v>3.2054289459933799E-2</v>
      </c>
      <c r="E122" t="s">
        <v>1647</v>
      </c>
      <c r="F122" t="s">
        <v>1527</v>
      </c>
      <c r="G122" t="n">
        <v>64.912000000000006</v>
      </c>
      <c r="H122" t="n">
        <v>1.3964822393701899E-2</v>
      </c>
      <c r="I122" t="n">
        <v>64.912000000000006</v>
      </c>
      <c r="J122" t="n">
        <v>7.9190087264371396E-3</v>
      </c>
      <c r="K122" t="s">
        <v>1127</v>
      </c>
      <c r="L122" t="s">
        <v>1007</v>
      </c>
    </row>
    <row r="123">
      <c r="A123" t="n">
        <v>1.9193585341739101E-2</v>
      </c>
      <c r="B123" t="n">
        <v>1.5459188057563401E-2</v>
      </c>
      <c r="C123" t="n">
        <v>4.2438786901308999E-2</v>
      </c>
      <c r="D123" t="n">
        <v>4.6322155050911397E-2</v>
      </c>
      <c r="E123" t="s">
        <v>1648</v>
      </c>
      <c r="F123" t="s">
        <v>1527</v>
      </c>
      <c r="G123" t="n">
        <v>65.59</v>
      </c>
      <c r="H123" t="n">
        <v>1.0444910032043399E-2</v>
      </c>
      <c r="I123" t="n">
        <v>65.650999999999996</v>
      </c>
      <c r="J123" t="n">
        <v>1.13846438254868E-2</v>
      </c>
      <c r="K123" t="s">
        <v>1128</v>
      </c>
      <c r="L123" t="s">
        <v>1007</v>
      </c>
    </row>
    <row r="124">
      <c r="A124" t="n">
        <v>2.6053548554263901E-2</v>
      </c>
      <c r="B124" t="n">
        <v>2.8949345820011199E-2</v>
      </c>
      <c r="C124" t="n">
        <v>4.7728620369875199E-2</v>
      </c>
      <c r="D124" t="n">
        <v>2.6457667912965801E-2</v>
      </c>
      <c r="E124" t="s">
        <v>1649</v>
      </c>
      <c r="F124" t="s">
        <v>1527</v>
      </c>
      <c r="G124" t="n">
        <v>66.358999999999995</v>
      </c>
      <c r="H124" t="n">
        <v>1.1724348223814501E-2</v>
      </c>
      <c r="I124" t="n">
        <v>66.081000000000003</v>
      </c>
      <c r="J124" t="n">
        <v>6.5497859895509202E-3</v>
      </c>
      <c r="K124" t="s">
        <v>1129</v>
      </c>
      <c r="L124" t="s">
        <v>1007</v>
      </c>
    </row>
    <row r="125">
      <c r="A125" t="n">
        <v>2.2816932316492001E-2</v>
      </c>
      <c r="B125" t="n">
        <v>1.82242710503548E-2</v>
      </c>
      <c r="C125" t="n">
        <v>5.7499642478727998E-2</v>
      </c>
      <c r="D125" t="n">
        <v>2.3755596803619598E-2</v>
      </c>
      <c r="E125" t="s">
        <v>1650</v>
      </c>
      <c r="F125" t="s">
        <v>1527</v>
      </c>
      <c r="G125" t="n">
        <v>67.293000000000006</v>
      </c>
      <c r="H125" t="n">
        <v>1.40749559215783E-2</v>
      </c>
      <c r="I125" t="n">
        <v>66.47</v>
      </c>
      <c r="J125" t="n">
        <v>5.8867147894250396E-3</v>
      </c>
      <c r="K125" t="s">
        <v>1130</v>
      </c>
      <c r="L125" t="s">
        <v>1007</v>
      </c>
    </row>
    <row r="126">
      <c r="A126" t="n">
        <v>2.9937016463394299E-2</v>
      </c>
      <c r="B126" t="n">
        <v>6.8223280329673397E-3</v>
      </c>
      <c r="C126" t="n">
        <v>5.4456520671492398E-2</v>
      </c>
      <c r="D126" t="n">
        <v>2.4902004743710501E-2</v>
      </c>
      <c r="E126" t="s">
        <v>1651</v>
      </c>
      <c r="F126" t="s">
        <v>1527</v>
      </c>
      <c r="G126" t="n">
        <v>68.191000000000003</v>
      </c>
      <c r="H126" t="n">
        <v>1.33446272272004E-2</v>
      </c>
      <c r="I126" t="n">
        <v>66.88</v>
      </c>
      <c r="J126" t="n">
        <v>6.16819617872721E-3</v>
      </c>
      <c r="K126" t="s">
        <v>1131</v>
      </c>
      <c r="L126" t="s">
        <v>1007</v>
      </c>
    </row>
    <row r="127">
      <c r="A127" t="n">
        <v>1.8884884410707199E-2</v>
      </c>
      <c r="B127" t="n">
        <v>2.1198789662036002E-2</v>
      </c>
      <c r="C127" t="n">
        <v>1.7060457300781501E-2</v>
      </c>
      <c r="D127" t="n">
        <v>1.0326833438175601E-2</v>
      </c>
      <c r="E127" t="s">
        <v>1652</v>
      </c>
      <c r="F127" t="s">
        <v>1527</v>
      </c>
      <c r="G127" t="n">
        <v>68.48</v>
      </c>
      <c r="H127" t="n">
        <v>4.2380959364138899E-3</v>
      </c>
      <c r="I127" t="n">
        <v>67.052000000000007</v>
      </c>
      <c r="J127" t="n">
        <v>2.5717703349283898E-3</v>
      </c>
      <c r="K127" t="s">
        <v>1132</v>
      </c>
      <c r="L127" t="s">
        <v>1007</v>
      </c>
    </row>
    <row r="128">
      <c r="A128" t="n">
        <v>2.0085104332627801E-3</v>
      </c>
      <c r="B128" t="n">
        <v>2.5873085754739799E-2</v>
      </c>
      <c r="C128" t="n">
        <v>1.0084643678167899E-2</v>
      </c>
      <c r="D128" t="n">
        <v>1.25865662000337E-2</v>
      </c>
      <c r="E128" t="s">
        <v>1653</v>
      </c>
      <c r="F128" t="s">
        <v>1527</v>
      </c>
      <c r="G128" t="n">
        <v>68.652000000000001</v>
      </c>
      <c r="H128" t="n">
        <v>2.5116822429906999E-3</v>
      </c>
      <c r="I128" t="n">
        <v>67.262</v>
      </c>
      <c r="J128" t="n">
        <v>3.1318976316887502E-3</v>
      </c>
      <c r="K128" t="s">
        <v>1133</v>
      </c>
      <c r="L128" t="s">
        <v>1007</v>
      </c>
    </row>
    <row r="129">
      <c r="A129" t="n">
        <v>1.65597149400032E-3</v>
      </c>
      <c r="B129" t="n">
        <v>2.61448943379867E-2</v>
      </c>
      <c r="C129" t="n">
        <v>4.4939487008062197E-3</v>
      </c>
      <c r="D129" t="n">
        <v>2.16417401943385E-2</v>
      </c>
      <c r="E129" t="s">
        <v>1654</v>
      </c>
      <c r="F129" t="s">
        <v>1527</v>
      </c>
      <c r="G129" t="n">
        <v>68.728999999999999</v>
      </c>
      <c r="H129" t="n">
        <v>1.1215987880905901E-3</v>
      </c>
      <c r="I129" t="n">
        <v>67.623000000000005</v>
      </c>
      <c r="J129" t="n">
        <v>5.3670720466236803E-3</v>
      </c>
      <c r="K129" t="s">
        <v>1134</v>
      </c>
      <c r="L129" t="s">
        <v>1007</v>
      </c>
    </row>
    <row r="130">
      <c r="A130" t="n">
        <v>8.0448095256371293E-3</v>
      </c>
      <c r="B130" t="n">
        <v>2.6192779718551499E-2</v>
      </c>
      <c r="C130" t="n">
        <v>2.6210777008154801E-2</v>
      </c>
      <c r="D130" t="n">
        <v>1.77439998941584E-2</v>
      </c>
      <c r="E130" t="s">
        <v>1655</v>
      </c>
      <c r="F130" t="s">
        <v>1527</v>
      </c>
      <c r="G130" t="n">
        <v>69.174999999999997</v>
      </c>
      <c r="H130" t="n">
        <v>6.4892548996784401E-3</v>
      </c>
      <c r="I130" t="n">
        <v>67.921000000000006</v>
      </c>
      <c r="J130" t="n">
        <v>4.4067846738535801E-3</v>
      </c>
      <c r="K130" t="s">
        <v>1135</v>
      </c>
      <c r="L130" t="s">
        <v>1007</v>
      </c>
    </row>
    <row r="131">
      <c r="A131" t="n">
        <v>2.9998743908273201E-2</v>
      </c>
      <c r="B131" t="n">
        <v>3.8349371649444103E-2</v>
      </c>
      <c r="C131" t="n">
        <v>3.99637104830428E-2</v>
      </c>
      <c r="D131" t="n">
        <v>2.19088618142655E-2</v>
      </c>
      <c r="E131" t="s">
        <v>1656</v>
      </c>
      <c r="F131" t="s">
        <v>1527</v>
      </c>
      <c r="G131" t="n">
        <v>69.855999999999995</v>
      </c>
      <c r="H131" t="n">
        <v>9.8445970365015293E-3</v>
      </c>
      <c r="I131" t="n">
        <v>68.290000000000006</v>
      </c>
      <c r="J131" t="n">
        <v>5.4327822028532599E-3</v>
      </c>
      <c r="K131" t="s">
        <v>1136</v>
      </c>
      <c r="L131" t="s">
        <v>1007</v>
      </c>
    </row>
    <row r="132">
      <c r="A132" t="n">
        <v>2.0869776308943801E-2</v>
      </c>
      <c r="B132" t="n">
        <v>3.4801584391165798E-2</v>
      </c>
      <c r="C132" t="n">
        <v>3.3157579483975103E-2</v>
      </c>
      <c r="D132" t="n">
        <v>1.23573378485025E-2</v>
      </c>
      <c r="E132" t="s">
        <v>1657</v>
      </c>
      <c r="F132" t="s">
        <v>1527</v>
      </c>
      <c r="G132" t="n">
        <v>70.427999999999997</v>
      </c>
      <c r="H132" t="n">
        <v>8.1882730187814393E-3</v>
      </c>
      <c r="I132" t="n">
        <v>68.5</v>
      </c>
      <c r="J132" t="n">
        <v>3.07512080831729E-3</v>
      </c>
      <c r="K132" t="s">
        <v>1137</v>
      </c>
      <c r="L132" t="s">
        <v>1007</v>
      </c>
    </row>
    <row r="133">
      <c r="A133" t="n">
        <v>1.8806157080279301E-2</v>
      </c>
      <c r="B133" t="n">
        <v>7.6203068975526894E-2</v>
      </c>
      <c r="C133" t="n">
        <v>4.04120889716926E-2</v>
      </c>
      <c r="D133" t="n">
        <v>6.9083360828583497E-3</v>
      </c>
      <c r="E133" t="s">
        <v>1658</v>
      </c>
      <c r="F133" t="s">
        <v>1527</v>
      </c>
      <c r="G133" t="n">
        <v>71.129000000000005</v>
      </c>
      <c r="H133" t="n">
        <v>9.9534276140171903E-3</v>
      </c>
      <c r="I133" t="n">
        <v>68.617999999999995</v>
      </c>
      <c r="J133" t="n">
        <v>1.7226277372262E-3</v>
      </c>
      <c r="K133" t="s">
        <v>1138</v>
      </c>
      <c r="L133" t="s">
        <v>1007</v>
      </c>
    </row>
    <row r="134">
      <c r="A134" t="n">
        <v>3.0939531110064901E-2</v>
      </c>
      <c r="B134" t="n">
        <v>4.5343406532494003E-2</v>
      </c>
      <c r="C134" t="n">
        <v>6.4192818314913899E-2</v>
      </c>
      <c r="D134" t="n">
        <v>3.35839967225895E-2</v>
      </c>
      <c r="E134" t="s">
        <v>1659</v>
      </c>
      <c r="F134" t="s">
        <v>1527</v>
      </c>
      <c r="G134" t="n">
        <v>72.244</v>
      </c>
      <c r="H134" t="n">
        <v>1.5675744070632099E-2</v>
      </c>
      <c r="I134" t="n">
        <v>69.186999999999998</v>
      </c>
      <c r="J134" t="n">
        <v>8.2922848232243104E-3</v>
      </c>
      <c r="K134" t="s">
        <v>1139</v>
      </c>
      <c r="L134" t="s">
        <v>1007</v>
      </c>
    </row>
    <row r="135">
      <c r="A135" t="n">
        <v>4.0077661469082298E-3</v>
      </c>
      <c r="B135" t="n">
        <v>2.8726975579467701E-2</v>
      </c>
      <c r="C135" t="n">
        <v>2.60483280529056E-3</v>
      </c>
      <c r="D135" t="n">
        <v>4.1691340309692997E-3</v>
      </c>
      <c r="E135" t="s">
        <v>1660</v>
      </c>
      <c r="F135" t="s">
        <v>1527</v>
      </c>
      <c r="G135" t="n">
        <v>72.290999999999997</v>
      </c>
      <c r="H135" t="n">
        <v>6.5057305797022703E-4</v>
      </c>
      <c r="I135" t="n">
        <v>69.259</v>
      </c>
      <c r="J135" t="n">
        <v>1.0406579270672001E-3</v>
      </c>
      <c r="K135" t="s">
        <v>1140</v>
      </c>
      <c r="L135" t="s">
        <v>1007</v>
      </c>
    </row>
    <row r="136">
      <c r="A136" t="n">
        <v>2.6637470683258401E-2</v>
      </c>
      <c r="B136" t="n">
        <v>3.6701160751028999E-2</v>
      </c>
      <c r="C136" t="n">
        <v>3.2537484109284899E-2</v>
      </c>
      <c r="D136" t="n">
        <v>5.0920666130191998E-3</v>
      </c>
      <c r="E136" t="s">
        <v>1661</v>
      </c>
      <c r="F136" t="s">
        <v>1527</v>
      </c>
      <c r="G136" t="n">
        <v>72.872</v>
      </c>
      <c r="H136" t="n">
        <v>8.0369617241426994E-3</v>
      </c>
      <c r="I136" t="n">
        <v>69.346999999999994</v>
      </c>
      <c r="J136" t="n">
        <v>1.2705929915244299E-3</v>
      </c>
      <c r="K136" t="s">
        <v>1141</v>
      </c>
      <c r="L136" t="s">
        <v>1007</v>
      </c>
    </row>
    <row r="137">
      <c r="A137" t="n">
        <v>1.9809591582912799E-2</v>
      </c>
      <c r="B137" t="n">
        <v>3.0297839189273201E-2</v>
      </c>
      <c r="C137" t="n">
        <v>3.6723057880070603E-2</v>
      </c>
      <c r="D137" t="n">
        <v>1.11208187291489E-2</v>
      </c>
      <c r="E137" t="s">
        <v>1662</v>
      </c>
      <c r="F137" t="s">
        <v>1527</v>
      </c>
      <c r="G137" t="n">
        <v>73.531999999999996</v>
      </c>
      <c r="H137" t="n">
        <v>9.0569766165331505E-3</v>
      </c>
      <c r="I137" t="n">
        <v>69.539000000000001</v>
      </c>
      <c r="J137" t="n">
        <v>2.7686850188184402E-3</v>
      </c>
      <c r="K137" t="s">
        <v>1142</v>
      </c>
      <c r="L137" t="s">
        <v>1007</v>
      </c>
    </row>
    <row r="138">
      <c r="A138" t="n">
        <v>3.1204615634115699E-2</v>
      </c>
      <c r="B138" t="n">
        <v>3.4471201135703997E-2</v>
      </c>
      <c r="C138" t="n">
        <v>5.7672124037001303E-2</v>
      </c>
      <c r="D138" t="n">
        <v>2.6313046913832801E-2</v>
      </c>
      <c r="E138" t="s">
        <v>1663</v>
      </c>
      <c r="F138" t="s">
        <v>1527</v>
      </c>
      <c r="G138" t="n">
        <v>74.569999999999993</v>
      </c>
      <c r="H138" t="n">
        <v>1.41163031061307E-2</v>
      </c>
      <c r="I138" t="n">
        <v>69.992000000000004</v>
      </c>
      <c r="J138" t="n">
        <v>6.5143300881520504E-3</v>
      </c>
      <c r="K138" t="s">
        <v>1143</v>
      </c>
      <c r="L138" t="s">
        <v>1007</v>
      </c>
    </row>
    <row r="139">
      <c r="A139" t="n">
        <v>2.7200294389546201E-2</v>
      </c>
      <c r="B139" t="n">
        <v>3.5181669062461299E-2</v>
      </c>
      <c r="C139" t="n">
        <v>5.42271951092188E-2</v>
      </c>
      <c r="D139" t="n">
        <v>7.5544557477534205E-2</v>
      </c>
      <c r="E139" t="s">
        <v>1664</v>
      </c>
      <c r="F139" t="s">
        <v>1527</v>
      </c>
      <c r="G139" t="n">
        <v>75.561000000000007</v>
      </c>
      <c r="H139" t="n">
        <v>1.3289526619284101E-2</v>
      </c>
      <c r="I139" t="n">
        <v>71.278000000000006</v>
      </c>
      <c r="J139" t="n">
        <v>1.8373528403245999E-2</v>
      </c>
      <c r="K139" t="s">
        <v>1144</v>
      </c>
      <c r="L139" t="s">
        <v>1007</v>
      </c>
    </row>
    <row r="140">
      <c r="A140" t="n">
        <v>1.9813936050087699E-2</v>
      </c>
      <c r="B140" t="n">
        <v>3.71188179062025E-2</v>
      </c>
      <c r="C140" t="n">
        <v>5.5705667373545202E-2</v>
      </c>
      <c r="D140" t="n">
        <v>0.112118604043563</v>
      </c>
      <c r="E140" t="s">
        <v>1665</v>
      </c>
      <c r="F140" t="s">
        <v>1527</v>
      </c>
      <c r="G140" t="n">
        <v>76.591999999999999</v>
      </c>
      <c r="H140" t="n">
        <v>1.3644605021108799E-2</v>
      </c>
      <c r="I140" t="n">
        <v>73.197000000000003</v>
      </c>
      <c r="J140" t="n">
        <v>2.6922753163668899E-2</v>
      </c>
      <c r="K140" t="s">
        <v>1145</v>
      </c>
      <c r="L140" t="s">
        <v>1007</v>
      </c>
    </row>
    <row r="141">
      <c r="A141" t="n">
        <v>3.4620969363609901E-2</v>
      </c>
      <c r="B141" t="n">
        <v>3.9499400752586601E-2</v>
      </c>
      <c r="C141" t="n">
        <v>6.4048552869122796E-2</v>
      </c>
      <c r="D141" t="n">
        <v>9.9586266592777403E-2</v>
      </c>
      <c r="E141" t="s">
        <v>1666</v>
      </c>
      <c r="F141" t="s">
        <v>1527</v>
      </c>
      <c r="G141" t="n">
        <v>77.790000000000006</v>
      </c>
      <c r="H141" t="n">
        <v>1.5641320242323099E-2</v>
      </c>
      <c r="I141" t="n">
        <v>74.954999999999998</v>
      </c>
      <c r="J141" t="n">
        <v>2.4017377761383699E-2</v>
      </c>
      <c r="K141" t="s">
        <v>1146</v>
      </c>
      <c r="L141" t="s">
        <v>1007</v>
      </c>
    </row>
    <row r="142">
      <c r="A142" t="n">
        <v>2.34535899973984E-2</v>
      </c>
      <c r="B142" t="n">
        <v>5.3706890981395999E-2</v>
      </c>
      <c r="C142" t="n">
        <v>3.69057460702173E-2</v>
      </c>
      <c r="D142" t="n">
        <v>3.4210597371460802E-2</v>
      </c>
      <c r="E142" t="s">
        <v>1667</v>
      </c>
      <c r="F142" t="s">
        <v>1527</v>
      </c>
      <c r="G142" t="n">
        <v>78.498000000000005</v>
      </c>
      <c r="H142" t="n">
        <v>9.1014269186271406E-3</v>
      </c>
      <c r="I142" t="n">
        <v>75.587999999999994</v>
      </c>
      <c r="J142" t="n">
        <v>8.4450670402240694E-3</v>
      </c>
      <c r="K142" t="s">
        <v>1147</v>
      </c>
      <c r="L142" t="s">
        <v>1007</v>
      </c>
    </row>
    <row r="143">
      <c r="A143" t="n">
        <v>2.5499802950129401E-2</v>
      </c>
      <c r="B143" t="n">
        <v>3.6566859174503898E-2</v>
      </c>
      <c r="C143" t="n">
        <v>4.6392177019789503E-2</v>
      </c>
      <c r="D143" t="n">
        <v>7.7400259900339399E-2</v>
      </c>
      <c r="E143" t="s">
        <v>1668</v>
      </c>
      <c r="F143" t="s">
        <v>1527</v>
      </c>
      <c r="G143" t="n">
        <v>79.393000000000001</v>
      </c>
      <c r="H143" t="n">
        <v>1.14015643710668E-2</v>
      </c>
      <c r="I143" t="n">
        <v>77.010000000000005</v>
      </c>
      <c r="J143" t="n">
        <v>1.8812509922210102E-2</v>
      </c>
      <c r="K143" t="s">
        <v>1148</v>
      </c>
      <c r="L143" t="s">
        <v>1007</v>
      </c>
    </row>
    <row r="144">
      <c r="A144" t="n">
        <v>4.3914132970667798E-2</v>
      </c>
      <c r="B144" t="n">
        <v>4.2425430776049898E-2</v>
      </c>
      <c r="C144" t="n">
        <v>5.93159029125543E-2</v>
      </c>
      <c r="D144" t="n">
        <v>9.2099438138909306E-2</v>
      </c>
      <c r="E144" t="s">
        <v>1669</v>
      </c>
      <c r="F144" t="s">
        <v>1527</v>
      </c>
      <c r="G144" t="n">
        <v>80.545000000000002</v>
      </c>
      <c r="H144" t="n">
        <v>1.45100953484565E-2</v>
      </c>
      <c r="I144" t="n">
        <v>78.724999999999994</v>
      </c>
      <c r="J144" t="n">
        <v>2.2269835086352399E-2</v>
      </c>
      <c r="K144" t="s">
        <v>1149</v>
      </c>
      <c r="L144" t="s">
        <v>1007</v>
      </c>
    </row>
    <row r="145">
      <c r="A145" t="n">
        <v>3.2225013743436802E-2</v>
      </c>
      <c r="B145" t="n">
        <v>2.9052051363888599E-2</v>
      </c>
      <c r="C145" t="n">
        <v>6.9322056053448003E-2</v>
      </c>
      <c r="D145" t="n">
        <v>5.6967190258747399E-2</v>
      </c>
      <c r="E145" t="s">
        <v>1670</v>
      </c>
      <c r="F145" t="s">
        <v>1527</v>
      </c>
      <c r="G145" t="n">
        <v>81.906000000000006</v>
      </c>
      <c r="H145" t="n">
        <v>1.68973865541002E-2</v>
      </c>
      <c r="I145" t="n">
        <v>79.822999999999993</v>
      </c>
      <c r="J145" t="n">
        <v>1.39472848523341E-2</v>
      </c>
      <c r="K145" t="s">
        <v>1150</v>
      </c>
      <c r="L145" t="s">
        <v>1007</v>
      </c>
    </row>
    <row r="146">
      <c r="A146" t="n">
        <v>2.0935342800184199E-2</v>
      </c>
      <c r="B146" t="n">
        <v>3.4093201961780999E-2</v>
      </c>
      <c r="C146" t="n">
        <v>2.9725271896635399E-2</v>
      </c>
      <c r="D146" t="n">
        <v>2.50876168066392E-2</v>
      </c>
      <c r="E146" t="s">
        <v>1671</v>
      </c>
      <c r="F146" t="s">
        <v>1527</v>
      </c>
      <c r="G146" t="n">
        <v>82.507999999999996</v>
      </c>
      <c r="H146" t="n">
        <v>7.3498888970282604E-3</v>
      </c>
      <c r="I146" t="n">
        <v>80.319000000000003</v>
      </c>
      <c r="J146" t="n">
        <v>6.2137479172670301E-3</v>
      </c>
      <c r="K146" t="s">
        <v>1151</v>
      </c>
      <c r="L146" t="s">
        <v>1007</v>
      </c>
    </row>
    <row r="147">
      <c r="A147" t="n">
        <v>3.5555363218846101E-2</v>
      </c>
      <c r="B147" t="n">
        <v>2.8135458399094499E-2</v>
      </c>
      <c r="C147" t="n">
        <v>5.61203132204302E-2</v>
      </c>
      <c r="D147" t="n">
        <v>9.1105361450751501E-2</v>
      </c>
      <c r="E147" t="s">
        <v>1672</v>
      </c>
      <c r="F147" t="s">
        <v>1527</v>
      </c>
      <c r="G147" t="n">
        <v>83.641999999999996</v>
      </c>
      <c r="H147" t="n">
        <v>1.37441217821301E-2</v>
      </c>
      <c r="I147" t="n">
        <v>82.088999999999999</v>
      </c>
      <c r="J147" t="n">
        <v>2.20371269562618E-2</v>
      </c>
      <c r="K147" t="s">
        <v>1152</v>
      </c>
      <c r="L147" t="s">
        <v>1007</v>
      </c>
    </row>
    <row r="148">
      <c r="A148" t="n">
        <v>2.9090990484891902E-2</v>
      </c>
      <c r="B148" t="n">
        <v>2.9966625510563099E-2</v>
      </c>
      <c r="C148" t="n">
        <v>3.6843754178801799E-2</v>
      </c>
      <c r="D148" t="n">
        <v>5.6869734933791702E-2</v>
      </c>
      <c r="E148" t="s">
        <v>1673</v>
      </c>
      <c r="F148" t="s">
        <v>1527</v>
      </c>
      <c r="G148" t="n">
        <v>84.402000000000001</v>
      </c>
      <c r="H148" t="n">
        <v>9.0863441811530592E-3</v>
      </c>
      <c r="I148" t="n">
        <v>83.231999999999999</v>
      </c>
      <c r="J148" t="n">
        <v>1.39239118517707E-2</v>
      </c>
      <c r="K148" t="s">
        <v>1153</v>
      </c>
      <c r="L148" t="s">
        <v>1007</v>
      </c>
    </row>
    <row r="149">
      <c r="A149" t="n">
        <v>-6.5707467210734897E-3</v>
      </c>
      <c r="B149" t="n">
        <v>2.09838687014814E-2</v>
      </c>
      <c r="C149" t="n">
        <v>3.0338463665483501E-2</v>
      </c>
      <c r="D149" t="n">
        <v>9.7213617262259494E-2</v>
      </c>
      <c r="E149" t="s">
        <v>1674</v>
      </c>
      <c r="F149" t="s">
        <v>1527</v>
      </c>
      <c r="G149" t="n">
        <v>85.034999999999997</v>
      </c>
      <c r="H149" t="n">
        <v>7.4998222790929603E-3</v>
      </c>
      <c r="I149" t="n">
        <v>85.185000000000002</v>
      </c>
      <c r="J149" t="n">
        <v>2.34645328719723E-2</v>
      </c>
      <c r="K149" t="s">
        <v>1154</v>
      </c>
      <c r="L149" t="s">
        <v>1007</v>
      </c>
    </row>
    <row r="150">
      <c r="A150" t="n">
        <v>3.7059917165470399E-2</v>
      </c>
      <c r="B150" t="n">
        <v>3.4651107406359301E-2</v>
      </c>
      <c r="C150" t="n">
        <v>7.2299496950969405E-2</v>
      </c>
      <c r="D150" t="n">
        <v>0.104792955269219</v>
      </c>
      <c r="E150" t="s">
        <v>1675</v>
      </c>
      <c r="F150" t="s">
        <v>1527</v>
      </c>
      <c r="G150" t="n">
        <v>86.531999999999996</v>
      </c>
      <c r="H150" t="n">
        <v>1.7604515787616799E-2</v>
      </c>
      <c r="I150" t="n">
        <v>87.334000000000003</v>
      </c>
      <c r="J150" t="n">
        <v>2.5227446146622E-2</v>
      </c>
      <c r="K150" t="s">
        <v>1155</v>
      </c>
      <c r="L150" t="s">
        <v>1007</v>
      </c>
    </row>
    <row r="151">
      <c r="A151" t="n">
        <v>3.4406916686266602E-2</v>
      </c>
      <c r="B151" t="n">
        <v>3.2361806516408201E-2</v>
      </c>
      <c r="C151" t="n">
        <v>4.4022069506022297E-2</v>
      </c>
      <c r="D151" t="n">
        <v>4.2476788274359099E-2</v>
      </c>
      <c r="E151" t="s">
        <v>1676</v>
      </c>
      <c r="F151" t="s">
        <v>1527</v>
      </c>
      <c r="G151" t="n">
        <v>87.468999999999994</v>
      </c>
      <c r="H151" t="n">
        <v>1.0828364073406401E-2</v>
      </c>
      <c r="I151" t="n">
        <v>88.247</v>
      </c>
      <c r="J151" t="n">
        <v>1.0454118670849799E-2</v>
      </c>
      <c r="K151" t="s">
        <v>1156</v>
      </c>
      <c r="L151" t="s">
        <v>1007</v>
      </c>
    </row>
    <row r="152">
      <c r="A152" t="n">
        <v>2.2795387185985401E-2</v>
      </c>
      <c r="B152" t="n">
        <v>2.78463672712683E-2</v>
      </c>
      <c r="C152" t="n">
        <v>4.5480126137950501E-2</v>
      </c>
      <c r="D152" t="n">
        <v>3.9088464000031499E-2</v>
      </c>
      <c r="E152" t="s">
        <v>1677</v>
      </c>
      <c r="F152" t="s">
        <v>1527</v>
      </c>
      <c r="G152" t="n">
        <v>88.447000000000003</v>
      </c>
      <c r="H152" t="n">
        <v>1.11811041626177E-2</v>
      </c>
      <c r="I152" t="n">
        <v>89.096999999999994</v>
      </c>
      <c r="J152" t="n">
        <v>9.6320554806394992E-3</v>
      </c>
      <c r="K152" t="s">
        <v>1157</v>
      </c>
      <c r="L152" t="s">
        <v>1007</v>
      </c>
    </row>
    <row r="153">
      <c r="A153" t="n">
        <v>4.1308326629664098E-2</v>
      </c>
      <c r="B153" t="n">
        <v>3.2459146974833902E-2</v>
      </c>
      <c r="C153" t="n">
        <v>6.2039731527971001E-2</v>
      </c>
      <c r="D153" t="n">
        <v>4.7886506250196997E-2</v>
      </c>
      <c r="E153" t="s">
        <v>1678</v>
      </c>
      <c r="F153" t="s">
        <v>1527</v>
      </c>
      <c r="G153" t="n">
        <v>89.787999999999997</v>
      </c>
      <c r="H153" t="n">
        <v>1.51616222144335E-2</v>
      </c>
      <c r="I153" t="n">
        <v>90.144999999999996</v>
      </c>
      <c r="J153" t="n">
        <v>1.1762461137861099E-2</v>
      </c>
      <c r="K153" t="s">
        <v>1158</v>
      </c>
      <c r="L153" t="s">
        <v>1007</v>
      </c>
    </row>
    <row r="154">
      <c r="A154" t="n">
        <v>3.2954987594988598E-2</v>
      </c>
      <c r="B154" t="n">
        <v>3.4144429632388298E-2</v>
      </c>
      <c r="C154" t="n">
        <v>7.23147883586404E-2</v>
      </c>
      <c r="D154" t="n">
        <v>3.8436409888859401E-2</v>
      </c>
      <c r="E154" t="s">
        <v>1679</v>
      </c>
      <c r="F154" t="s">
        <v>1527</v>
      </c>
      <c r="G154" t="n">
        <v>91.369</v>
      </c>
      <c r="H154" t="n">
        <v>1.7608143627210901E-2</v>
      </c>
      <c r="I154" t="n">
        <v>90.998999999999995</v>
      </c>
      <c r="J154" t="n">
        <v>9.4736258250596207E-3</v>
      </c>
      <c r="K154" t="s">
        <v>1159</v>
      </c>
      <c r="L154" t="s">
        <v>1007</v>
      </c>
    </row>
    <row r="155">
      <c r="A155" t="n">
        <v>3.9493950261418401E-2</v>
      </c>
      <c r="B155" t="n">
        <v>4.1602053152730099E-2</v>
      </c>
      <c r="C155" t="n">
        <v>6.3263019462217004E-2</v>
      </c>
      <c r="D155" t="n">
        <v>3.1126430511134499E-2</v>
      </c>
      <c r="E155" t="s">
        <v>1680</v>
      </c>
      <c r="F155" t="s">
        <v>1527</v>
      </c>
      <c r="G155" t="n">
        <v>92.781000000000006</v>
      </c>
      <c r="H155" t="n">
        <v>1.5453819129026301E-2</v>
      </c>
      <c r="I155" t="n">
        <v>91.698999999999998</v>
      </c>
      <c r="J155" t="n">
        <v>7.6923922240903497E-3</v>
      </c>
      <c r="K155" t="s">
        <v>1160</v>
      </c>
      <c r="L155" t="s">
        <v>1007</v>
      </c>
    </row>
    <row r="156">
      <c r="A156" t="n">
        <v>4.3386852489040402E-2</v>
      </c>
      <c r="B156" t="n">
        <v>3.03408157550791E-2</v>
      </c>
      <c r="C156" t="n">
        <v>5.52136316684275E-2</v>
      </c>
      <c r="D156" t="n">
        <v>5.2701497522020399E-2</v>
      </c>
      <c r="E156" t="s">
        <v>1681</v>
      </c>
      <c r="F156" t="s">
        <v>1527</v>
      </c>
      <c r="G156" t="n">
        <v>94.036000000000001</v>
      </c>
      <c r="H156" t="n">
        <v>1.35264763259719E-2</v>
      </c>
      <c r="I156" t="n">
        <v>92.884</v>
      </c>
      <c r="J156" t="n">
        <v>1.29227145334192E-2</v>
      </c>
      <c r="K156" t="s">
        <v>1161</v>
      </c>
      <c r="L156" t="s">
        <v>1007</v>
      </c>
    </row>
    <row r="157">
      <c r="A157" t="n">
        <v>-6.2360196436278902E-2</v>
      </c>
      <c r="B157" t="n">
        <v>-1.8917326805224201E-2</v>
      </c>
      <c r="C157" t="n">
        <v>-7.4155067193705196E-2</v>
      </c>
      <c r="D157" t="n">
        <v>7.5335045349203197E-2</v>
      </c>
      <c r="E157" t="s">
        <v>1682</v>
      </c>
      <c r="F157" t="s">
        <v>1527</v>
      </c>
      <c r="G157" t="n">
        <v>92.242000000000004</v>
      </c>
      <c r="H157" t="n">
        <v>-1.9077799991492599E-2</v>
      </c>
      <c r="I157" t="n">
        <v>94.585999999999999</v>
      </c>
      <c r="J157" t="n">
        <v>1.8323930924594199E-2</v>
      </c>
      <c r="K157" t="s">
        <v>1162</v>
      </c>
      <c r="L157" t="s">
        <v>1007</v>
      </c>
    </row>
    <row r="158">
      <c r="A158" t="n">
        <v>-2.6731212813050201E-2</v>
      </c>
      <c r="B158" t="n">
        <v>-3.3135327897025703E-2</v>
      </c>
      <c r="C158" t="n">
        <v>-6.8462037949067106E-2</v>
      </c>
      <c r="D158" t="n">
        <v>2.5185264843212301E-2</v>
      </c>
      <c r="E158" t="s">
        <v>1683</v>
      </c>
      <c r="F158" t="s">
        <v>1527</v>
      </c>
      <c r="G158" t="n">
        <v>90.620999999999995</v>
      </c>
      <c r="H158" t="n">
        <v>-1.7573339693415201E-2</v>
      </c>
      <c r="I158" t="n">
        <v>95.176000000000002</v>
      </c>
      <c r="J158" t="n">
        <v>6.2377095976149403E-3</v>
      </c>
      <c r="K158" t="s">
        <v>1163</v>
      </c>
      <c r="L158" t="s">
        <v>1007</v>
      </c>
    </row>
    <row r="159">
      <c r="A159" t="n">
        <v>1.6004255010514602E-2</v>
      </c>
      <c r="B159" t="n">
        <v>7.2471101838833497E-4</v>
      </c>
      <c r="C159" t="n">
        <v>1.9832196265286098E-2</v>
      </c>
      <c r="D159" t="n">
        <v>-3.4674689642026801E-2</v>
      </c>
      <c r="E159" t="s">
        <v>1684</v>
      </c>
      <c r="F159" t="s">
        <v>1527</v>
      </c>
      <c r="G159" t="n">
        <v>91.066999999999993</v>
      </c>
      <c r="H159" t="n">
        <v>4.9215965394333603E-3</v>
      </c>
      <c r="I159" t="n">
        <v>94.34</v>
      </c>
      <c r="J159" t="n">
        <v>-8.7837269899974108E-3</v>
      </c>
      <c r="K159" t="s">
        <v>1164</v>
      </c>
      <c r="L159" t="s">
        <v>1007</v>
      </c>
    </row>
    <row r="160">
      <c r="A160" t="n">
        <v>2.78350080421834E-2</v>
      </c>
      <c r="B160" t="n">
        <v>1.22854862155337E-2</v>
      </c>
      <c r="C160" t="n">
        <v>3.47933032481611E-2</v>
      </c>
      <c r="D160" t="n">
        <v>-3.55556982427905E-2</v>
      </c>
      <c r="E160" t="s">
        <v>1685</v>
      </c>
      <c r="F160" t="s">
        <v>1527</v>
      </c>
      <c r="G160" t="n">
        <v>91.849000000000004</v>
      </c>
      <c r="H160" t="n">
        <v>8.5870842346844594E-3</v>
      </c>
      <c r="I160" t="n">
        <v>93.49</v>
      </c>
      <c r="J160" t="n">
        <v>-9.0099639601441996E-3</v>
      </c>
      <c r="K160" t="s">
        <v>1165</v>
      </c>
      <c r="L160" t="s">
        <v>1007</v>
      </c>
    </row>
    <row r="161">
      <c r="A161" t="n">
        <v>3.1240948480233E-2</v>
      </c>
      <c r="B161" t="n">
        <v>3.11127095791379E-2</v>
      </c>
      <c r="C161" t="n">
        <v>3.76238534925952E-2</v>
      </c>
      <c r="D161" t="n">
        <v>-3.0769865450653898E-3</v>
      </c>
      <c r="E161" t="s">
        <v>1686</v>
      </c>
      <c r="F161" t="s">
        <v>1527</v>
      </c>
      <c r="G161" t="n">
        <v>92.700999999999993</v>
      </c>
      <c r="H161" t="n">
        <v>9.2760944593843798E-3</v>
      </c>
      <c r="I161" t="n">
        <v>93.418000000000006</v>
      </c>
      <c r="J161" t="n">
        <v>-7.7013584340557305E-4</v>
      </c>
      <c r="K161" t="s">
        <v>1166</v>
      </c>
      <c r="L161" t="s">
        <v>1007</v>
      </c>
    </row>
    <row r="162">
      <c r="A162" t="n">
        <v>1.5538458112328299E-2</v>
      </c>
      <c r="B162" t="n">
        <v>2.5706833981413501E-2</v>
      </c>
      <c r="C162" t="n">
        <v>4.6975487060338501E-2</v>
      </c>
      <c r="D162" t="n">
        <v>1.13952226394907E-2</v>
      </c>
      <c r="E162" t="s">
        <v>1687</v>
      </c>
      <c r="F162" t="s">
        <v>1527</v>
      </c>
      <c r="G162" t="n">
        <v>93.771000000000001</v>
      </c>
      <c r="H162" t="n">
        <v>1.15424860573241E-2</v>
      </c>
      <c r="I162" t="n">
        <v>93.683000000000007</v>
      </c>
      <c r="J162" t="n">
        <v>2.8367124108843499E-3</v>
      </c>
      <c r="K162" t="s">
        <v>1167</v>
      </c>
      <c r="L162" t="s">
        <v>1007</v>
      </c>
    </row>
    <row r="163">
      <c r="A163" t="n">
        <v>6.2204942357442202E-3</v>
      </c>
      <c r="B163" t="n">
        <v>3.1017939025557401E-2</v>
      </c>
      <c r="C163" t="n">
        <v>2.9062361366274402E-2</v>
      </c>
      <c r="D163" t="n">
        <v>1.7491325837778699E-2</v>
      </c>
      <c r="E163" t="s">
        <v>1688</v>
      </c>
      <c r="F163" t="s">
        <v>1527</v>
      </c>
      <c r="G163" t="n">
        <v>94.444999999999993</v>
      </c>
      <c r="H163" t="n">
        <v>7.18772328331774E-3</v>
      </c>
      <c r="I163" t="n">
        <v>94.09</v>
      </c>
      <c r="J163" t="n">
        <v>4.3444381584705196E-3</v>
      </c>
      <c r="K163" t="s">
        <v>1168</v>
      </c>
      <c r="L163" t="s">
        <v>1007</v>
      </c>
    </row>
    <row r="164">
      <c r="A164" t="n">
        <v>7.72594376628044E-3</v>
      </c>
      <c r="B164" t="n">
        <v>1.59750935835106E-2</v>
      </c>
      <c r="C164" t="n">
        <v>2.3067349052007899E-2</v>
      </c>
      <c r="D164" t="n">
        <v>1.2643202128826501E-2</v>
      </c>
      <c r="E164" t="s">
        <v>1689</v>
      </c>
      <c r="F164" t="s">
        <v>1527</v>
      </c>
      <c r="G164" t="n">
        <v>94.984999999999999</v>
      </c>
      <c r="H164" t="n">
        <v>5.7176134258034601E-3</v>
      </c>
      <c r="I164" t="n">
        <v>94.385999999999996</v>
      </c>
      <c r="J164" t="n">
        <v>3.1459241152087501E-3</v>
      </c>
      <c r="K164" t="s">
        <v>1169</v>
      </c>
      <c r="L164" t="s">
        <v>1007</v>
      </c>
    </row>
    <row r="165">
      <c r="A165" t="n">
        <v>2.5862689650447499E-2</v>
      </c>
      <c r="B165" t="n">
        <v>3.29452826155043E-2</v>
      </c>
      <c r="C165" t="n">
        <v>3.7879756208726099E-2</v>
      </c>
      <c r="D165" t="n">
        <v>1.8090208281751299E-2</v>
      </c>
      <c r="E165" t="s">
        <v>1690</v>
      </c>
      <c r="F165" t="s">
        <v>1527</v>
      </c>
      <c r="G165" t="n">
        <v>95.872</v>
      </c>
      <c r="H165" t="n">
        <v>9.3383165763014607E-3</v>
      </c>
      <c r="I165" t="n">
        <v>94.81</v>
      </c>
      <c r="J165" t="n">
        <v>4.4921916385904899E-3</v>
      </c>
      <c r="K165" t="s">
        <v>1170</v>
      </c>
      <c r="L165" t="s">
        <v>1007</v>
      </c>
    </row>
    <row r="166">
      <c r="A166" t="n">
        <v>3.4016266815046298E-2</v>
      </c>
      <c r="B166" t="n">
        <v>3.64259738306612E-2</v>
      </c>
      <c r="C166" t="n">
        <v>4.5137017344844002E-2</v>
      </c>
      <c r="D166" t="n">
        <v>2.4394704867924499E-2</v>
      </c>
      <c r="E166" t="s">
        <v>1691</v>
      </c>
      <c r="F166" t="s">
        <v>1527</v>
      </c>
      <c r="G166" t="n">
        <v>96.936000000000007</v>
      </c>
      <c r="H166" t="n">
        <v>1.10981308411215E-2</v>
      </c>
      <c r="I166" t="n">
        <v>95.382999999999996</v>
      </c>
      <c r="J166" t="n">
        <v>6.0436662799281402E-3</v>
      </c>
      <c r="K166" t="s">
        <v>1171</v>
      </c>
      <c r="L166" t="s">
        <v>1007</v>
      </c>
    </row>
    <row r="167">
      <c r="A167" t="n">
        <v>3.9906323464895102E-2</v>
      </c>
      <c r="B167" t="n">
        <v>3.6682670107609103E-2</v>
      </c>
      <c r="C167" t="n">
        <v>5.0829697512543702E-2</v>
      </c>
      <c r="D167" t="n">
        <v>4.1043493786856698E-2</v>
      </c>
      <c r="E167" t="s">
        <v>1692</v>
      </c>
      <c r="F167" t="s">
        <v>1527</v>
      </c>
      <c r="G167" t="n">
        <v>98.144999999999996</v>
      </c>
      <c r="H167" t="n">
        <v>1.24721465709332E-2</v>
      </c>
      <c r="I167" t="n">
        <v>96.346999999999994</v>
      </c>
      <c r="J167" t="n">
        <v>1.01066227734501E-2</v>
      </c>
      <c r="K167" t="s">
        <v>1172</v>
      </c>
      <c r="L167" t="s">
        <v>1007</v>
      </c>
    </row>
    <row r="168">
      <c r="A168" t="n">
        <v>1.8640626124373699E-2</v>
      </c>
      <c r="B168" t="n">
        <v>1.39908352832361E-2</v>
      </c>
      <c r="C168" t="n">
        <v>1.5247657751557699E-2</v>
      </c>
      <c r="D168" t="n">
        <v>4.5983903903995101E-2</v>
      </c>
      <c r="E168" t="s">
        <v>1693</v>
      </c>
      <c r="F168" t="s">
        <v>1527</v>
      </c>
      <c r="G168" t="n">
        <v>98.516999999999996</v>
      </c>
      <c r="H168" t="n">
        <v>3.7903102552345699E-3</v>
      </c>
      <c r="I168" t="n">
        <v>97.436000000000007</v>
      </c>
      <c r="J168" t="n">
        <v>1.13028947450362E-2</v>
      </c>
      <c r="K168" t="s">
        <v>1173</v>
      </c>
      <c r="L168" t="s">
        <v>1007</v>
      </c>
    </row>
    <row r="169">
      <c r="A169" t="n">
        <v>1.32561299755005E-2</v>
      </c>
      <c r="B169" t="n">
        <v>-5.33618345022691E-3</v>
      </c>
      <c r="C169" t="n">
        <v>-1.40950235359611E-2</v>
      </c>
      <c r="D169" t="n">
        <v>3.8137779822804398E-2</v>
      </c>
      <c r="E169" t="s">
        <v>1694</v>
      </c>
      <c r="F169" t="s">
        <v>1527</v>
      </c>
      <c r="G169" t="n">
        <v>98.168000000000006</v>
      </c>
      <c r="H169" t="n">
        <v>-3.54253580600294E-3</v>
      </c>
      <c r="I169" t="n">
        <v>98.352000000000004</v>
      </c>
      <c r="J169" t="n">
        <v>9.4010427357444897E-3</v>
      </c>
      <c r="K169" t="s">
        <v>1174</v>
      </c>
      <c r="L169" t="s">
        <v>1007</v>
      </c>
    </row>
    <row r="170">
      <c r="A170" t="n">
        <v>2.6761481120787502E-2</v>
      </c>
      <c r="B170" t="n">
        <v>1.39201532997375E-2</v>
      </c>
      <c r="C170" t="n">
        <v>5.4116713606157101E-2</v>
      </c>
      <c r="D170" t="n">
        <v>3.0312571909831599E-2</v>
      </c>
      <c r="E170" t="s">
        <v>1695</v>
      </c>
      <c r="F170" t="s">
        <v>1527</v>
      </c>
      <c r="G170" t="n">
        <v>99.47</v>
      </c>
      <c r="H170" t="n">
        <v>1.32629777524242E-2</v>
      </c>
      <c r="I170" t="n">
        <v>99.088999999999999</v>
      </c>
      <c r="J170" t="n">
        <v>7.4934927606962196E-3</v>
      </c>
      <c r="K170" t="s">
        <v>1175</v>
      </c>
      <c r="L170" t="s">
        <v>1007</v>
      </c>
    </row>
    <row r="171">
      <c r="A171" t="n">
        <v>9.7203652064314899E-3</v>
      </c>
      <c r="B171" t="n">
        <v>8.8550245823753003E-3</v>
      </c>
      <c r="C171" t="n">
        <v>-6.9787462524018001E-3</v>
      </c>
      <c r="D171" t="n">
        <v>3.2273930792219303E-2</v>
      </c>
      <c r="E171" t="s">
        <v>1696</v>
      </c>
      <c r="F171" t="s">
        <v>1527</v>
      </c>
      <c r="G171" t="n">
        <v>99.296000000000006</v>
      </c>
      <c r="H171" t="n">
        <v>-1.7492711370261599E-3</v>
      </c>
      <c r="I171" t="n">
        <v>99.879000000000005</v>
      </c>
      <c r="J171" t="n">
        <v>7.9726306653615797E-3</v>
      </c>
      <c r="K171" t="s">
        <v>1176</v>
      </c>
      <c r="L171" t="s">
        <v>1007</v>
      </c>
    </row>
    <row r="172">
      <c r="A172" t="n">
        <v>1.1676944984941699E-2</v>
      </c>
      <c r="B172" t="n">
        <v>7.7077122555302396E-3</v>
      </c>
      <c r="C172" t="n">
        <v>2.44311343320835E-2</v>
      </c>
      <c r="D172" t="n">
        <v>2.17207841742009E-2</v>
      </c>
      <c r="E172" t="s">
        <v>1697</v>
      </c>
      <c r="F172" t="s">
        <v>1527</v>
      </c>
      <c r="G172" t="n">
        <v>99.897000000000006</v>
      </c>
      <c r="H172" t="n">
        <v>6.0526103770543998E-3</v>
      </c>
      <c r="I172" t="n">
        <v>100.417</v>
      </c>
      <c r="J172" t="n">
        <v>5.3865176864005297E-3</v>
      </c>
      <c r="K172" t="s">
        <v>1177</v>
      </c>
      <c r="L172" t="s">
        <v>1007</v>
      </c>
    </row>
    <row r="173">
      <c r="A173" t="n">
        <v>2.2614716677978E-2</v>
      </c>
      <c r="B173" t="n">
        <v>4.9632662336496196E-3</v>
      </c>
      <c r="C173" t="n">
        <v>5.8918140200379103E-2</v>
      </c>
      <c r="D173" t="n">
        <v>7.9104688711333394E-3</v>
      </c>
      <c r="E173" t="s">
        <v>1698</v>
      </c>
      <c r="F173" t="s">
        <v>1527</v>
      </c>
      <c r="G173" t="n">
        <v>101.337</v>
      </c>
      <c r="H173" t="n">
        <v>1.4414847292711501E-2</v>
      </c>
      <c r="I173" t="n">
        <v>100.61499999999999</v>
      </c>
      <c r="J173" t="n">
        <v>1.9717776870449301E-3</v>
      </c>
      <c r="K173" t="s">
        <v>1178</v>
      </c>
      <c r="L173" t="s">
        <v>1007</v>
      </c>
    </row>
    <row r="174">
      <c r="A174" t="n">
        <v>1.45079389824292E-2</v>
      </c>
      <c r="B174" t="n">
        <v>-1.9949826125076301E-4</v>
      </c>
      <c r="C174" t="n">
        <v>5.3376513955371498E-2</v>
      </c>
      <c r="D174" t="n">
        <v>1.6319173615011201E-2</v>
      </c>
      <c r="E174" t="s">
        <v>1699</v>
      </c>
      <c r="F174" t="s">
        <v>1527</v>
      </c>
      <c r="G174" t="n">
        <v>102.663</v>
      </c>
      <c r="H174" t="n">
        <v>1.3085052843482501E-2</v>
      </c>
      <c r="I174" t="n">
        <v>101.023</v>
      </c>
      <c r="J174" t="n">
        <v>4.05506137255873E-3</v>
      </c>
      <c r="K174" t="s">
        <v>1179</v>
      </c>
      <c r="L174" t="s">
        <v>1007</v>
      </c>
    </row>
    <row r="175">
      <c r="A175" t="n">
        <v>2.8548469670495202E-3</v>
      </c>
      <c r="B175" t="n">
        <v>7.9245575399269404E-3</v>
      </c>
      <c r="C175" t="n">
        <v>2.14833879994034E-2</v>
      </c>
      <c r="D175" t="n">
        <v>2.0547855013869399E-2</v>
      </c>
      <c r="E175" t="s">
        <v>1700</v>
      </c>
      <c r="F175" t="s">
        <v>1527</v>
      </c>
      <c r="G175" t="n">
        <v>103.21</v>
      </c>
      <c r="H175" t="n">
        <v>5.3281123676494103E-3</v>
      </c>
      <c r="I175" t="n">
        <v>101.538</v>
      </c>
      <c r="J175" t="n">
        <v>5.0978490046820202E-3</v>
      </c>
      <c r="K175" t="s">
        <v>1180</v>
      </c>
      <c r="L175" t="s">
        <v>1007</v>
      </c>
    </row>
    <row r="176">
      <c r="A176" t="n">
        <v>1.6326843500240801E-2</v>
      </c>
      <c r="B176" t="n">
        <v>1.3006397529373E-2</v>
      </c>
      <c r="C176" t="n">
        <v>3.4225885044726997E-2</v>
      </c>
      <c r="D176" t="n">
        <v>2.1723337040250802E-2</v>
      </c>
      <c r="E176" t="s">
        <v>1701</v>
      </c>
      <c r="F176" t="s">
        <v>1527</v>
      </c>
      <c r="G176" t="n">
        <v>104.08199999999999</v>
      </c>
      <c r="H176" t="n">
        <v>8.4487937215385108E-3</v>
      </c>
      <c r="I176" t="n">
        <v>102.08499999999999</v>
      </c>
      <c r="J176" t="n">
        <v>5.3871456991470001E-3</v>
      </c>
      <c r="K176" t="s">
        <v>1181</v>
      </c>
      <c r="L176" t="s">
        <v>1007</v>
      </c>
    </row>
    <row r="177">
      <c r="A177" t="n">
        <v>1.6859105016114002E-2</v>
      </c>
      <c r="B177" t="n">
        <v>6.2259222369993199E-2</v>
      </c>
      <c r="C177" t="n">
        <v>2.1461497744286601E-2</v>
      </c>
      <c r="D177" t="n">
        <v>3.0554089712781E-2</v>
      </c>
      <c r="E177" t="s">
        <v>1702</v>
      </c>
      <c r="F177" t="s">
        <v>1527</v>
      </c>
      <c r="G177" t="n">
        <v>104.636</v>
      </c>
      <c r="H177" t="n">
        <v>5.3227263119464104E-3</v>
      </c>
      <c r="I177" t="n">
        <v>102.85599999999999</v>
      </c>
      <c r="J177" t="n">
        <v>7.55252975461618E-3</v>
      </c>
      <c r="K177" t="s">
        <v>1182</v>
      </c>
      <c r="L177" t="s">
        <v>1007</v>
      </c>
    </row>
    <row r="178">
      <c r="A178" t="n">
        <v>1.93744928521071E-2</v>
      </c>
      <c r="B178" t="n">
        <v>-1.02831916231174E-2</v>
      </c>
      <c r="C178" t="n">
        <v>3.4027993671362999E-2</v>
      </c>
      <c r="D178" t="n">
        <v>2.27077607090642E-2</v>
      </c>
      <c r="E178" t="s">
        <v>1703</v>
      </c>
      <c r="F178" t="s">
        <v>1527</v>
      </c>
      <c r="G178" t="n">
        <v>105.515</v>
      </c>
      <c r="H178" t="n">
        <v>8.4005504797584098E-3</v>
      </c>
      <c r="I178" t="n">
        <v>103.435</v>
      </c>
      <c r="J178" t="n">
        <v>5.6292292136579398E-3</v>
      </c>
      <c r="K178" t="s">
        <v>1183</v>
      </c>
      <c r="L178" t="s">
        <v>1007</v>
      </c>
    </row>
    <row r="179">
      <c r="A179" t="n">
        <v>2.0192934056340501E-2</v>
      </c>
      <c r="B179" t="n">
        <v>1.7798477087045E-2</v>
      </c>
      <c r="C179" t="n">
        <v>1.2683683496116101E-2</v>
      </c>
      <c r="D179" t="n">
        <v>1.8378329285591199E-2</v>
      </c>
      <c r="E179" t="s">
        <v>1704</v>
      </c>
      <c r="F179" t="s">
        <v>1527</v>
      </c>
      <c r="G179" t="n">
        <v>105.848</v>
      </c>
      <c r="H179" t="n">
        <v>3.1559493910817702E-3</v>
      </c>
      <c r="I179" t="n">
        <v>103.907</v>
      </c>
      <c r="J179" t="n">
        <v>4.5632522840430801E-3</v>
      </c>
      <c r="K179" t="s">
        <v>1184</v>
      </c>
      <c r="L179" t="s">
        <v>1007</v>
      </c>
    </row>
    <row r="180">
      <c r="A180" t="n">
        <v>1.13601398604235E-2</v>
      </c>
      <c r="B180" t="n">
        <v>1.8827452214838801E-2</v>
      </c>
      <c r="C180" t="n">
        <v>2.3098181930942801E-2</v>
      </c>
      <c r="D180" t="n">
        <v>1.94654703730235E-2</v>
      </c>
      <c r="E180" t="s">
        <v>1705</v>
      </c>
      <c r="F180" t="s">
        <v>1527</v>
      </c>
      <c r="G180" t="n">
        <v>106.45399999999999</v>
      </c>
      <c r="H180" t="n">
        <v>5.7251908396946903E-3</v>
      </c>
      <c r="I180" t="n">
        <v>104.40900000000001</v>
      </c>
      <c r="J180" t="n">
        <v>4.8312433233566E-3</v>
      </c>
      <c r="K180" t="s">
        <v>1185</v>
      </c>
      <c r="L180" t="s">
        <v>1007</v>
      </c>
    </row>
    <row r="181">
      <c r="A181" t="n">
        <v>-4.6048768205230201E-3</v>
      </c>
      <c r="B181" t="n">
        <v>5.3720415632923001E-3</v>
      </c>
      <c r="C181" t="n">
        <v>-3.1150724387948299E-3</v>
      </c>
      <c r="D181" t="n">
        <v>7.0678568534106E-3</v>
      </c>
      <c r="E181" t="s">
        <v>1706</v>
      </c>
      <c r="F181" t="s">
        <v>1527</v>
      </c>
      <c r="G181" t="n">
        <v>106.371</v>
      </c>
      <c r="H181" t="n">
        <v>-7.7967948597512703E-4</v>
      </c>
      <c r="I181" t="n">
        <v>104.593</v>
      </c>
      <c r="J181" t="n">
        <v>1.76230018484991E-3</v>
      </c>
      <c r="K181" t="s">
        <v>1186</v>
      </c>
      <c r="L181" t="s">
        <v>1007</v>
      </c>
    </row>
    <row r="182">
      <c r="A182" t="n">
        <v>-1.65067373701384E-2</v>
      </c>
      <c r="B182" t="n">
        <v>-6.4248737444822001E-3</v>
      </c>
      <c r="C182" t="n">
        <v>-3.9305105462135198E-2</v>
      </c>
      <c r="D182" t="n">
        <v>-1.18502082280647E-3</v>
      </c>
      <c r="E182" t="s">
        <v>1707</v>
      </c>
      <c r="F182" t="s">
        <v>1527</v>
      </c>
      <c r="G182" t="n">
        <v>105.31</v>
      </c>
      <c r="H182" t="n">
        <v>-9.9745231313045392E-3</v>
      </c>
      <c r="I182" t="n">
        <v>104.562</v>
      </c>
      <c r="J182" t="n">
        <v>-2.9638694750133698E-4</v>
      </c>
      <c r="K182" t="s">
        <v>1187</v>
      </c>
      <c r="L182" t="s">
        <v>1007</v>
      </c>
    </row>
    <row r="183">
      <c r="A183" t="n">
        <v>1.9548766403745001E-2</v>
      </c>
      <c r="B183" t="n">
        <v>7.87290366046434E-3</v>
      </c>
      <c r="C183" t="n">
        <v>2.82887807392058E-2</v>
      </c>
      <c r="D183" t="n">
        <v>1.76749178700988E-2</v>
      </c>
      <c r="E183" t="s">
        <v>1708</v>
      </c>
      <c r="F183" t="s">
        <v>1527</v>
      </c>
      <c r="G183" t="n">
        <v>106.047</v>
      </c>
      <c r="H183" t="n">
        <v>6.9983857183553199E-3</v>
      </c>
      <c r="I183" t="n">
        <v>105.021</v>
      </c>
      <c r="J183" t="n">
        <v>4.3897400585299904E-3</v>
      </c>
      <c r="K183" t="s">
        <v>1188</v>
      </c>
      <c r="L183" t="s">
        <v>1007</v>
      </c>
    </row>
    <row r="184">
      <c r="A184" t="n">
        <v>9.6917092109320997E-3</v>
      </c>
      <c r="B184" t="n">
        <v>6.1419866574232698E-3</v>
      </c>
      <c r="C184" t="n">
        <v>2.4162101667697402E-3</v>
      </c>
      <c r="D184" t="n">
        <v>1.1398511762960899E-2</v>
      </c>
      <c r="E184" t="s">
        <v>1709</v>
      </c>
      <c r="F184" t="s">
        <v>1527</v>
      </c>
      <c r="G184" t="n">
        <v>106.111</v>
      </c>
      <c r="H184" t="n">
        <v>6.0350599262592997E-4</v>
      </c>
      <c r="I184" t="n">
        <v>105.319</v>
      </c>
      <c r="J184" t="n">
        <v>2.8375277325487498E-3</v>
      </c>
      <c r="K184" t="s">
        <v>1189</v>
      </c>
      <c r="L184" t="s">
        <v>1007</v>
      </c>
    </row>
    <row r="185">
      <c r="A185" t="n">
        <v>-3.9403871252573497E-3</v>
      </c>
      <c r="B185" t="n">
        <v>-3.1716537268759999E-3</v>
      </c>
      <c r="C185" t="n">
        <v>-1.5664221695060501E-2</v>
      </c>
      <c r="D185" t="n">
        <v>-2.2010123911118101E-3</v>
      </c>
      <c r="E185" t="s">
        <v>1710</v>
      </c>
      <c r="F185" t="s">
        <v>1527</v>
      </c>
      <c r="G185" t="n">
        <v>105.693</v>
      </c>
      <c r="H185" t="n">
        <v>-3.9392711405981098E-3</v>
      </c>
      <c r="I185" t="n">
        <v>105.261</v>
      </c>
      <c r="J185" t="n">
        <v>-5.5070784948596497E-4</v>
      </c>
      <c r="K185" t="s">
        <v>1190</v>
      </c>
      <c r="L185" t="s">
        <v>1007</v>
      </c>
    </row>
    <row r="186">
      <c r="A186" t="n">
        <v>2.1316685833889801E-3</v>
      </c>
      <c r="B186" t="n">
        <v>-9.9615046560082004E-3</v>
      </c>
      <c r="C186" t="n">
        <v>-3.3665208430493802E-2</v>
      </c>
      <c r="D186" t="n">
        <v>-9.6550430027560995E-3</v>
      </c>
      <c r="E186" t="s">
        <v>1711</v>
      </c>
      <c r="F186" t="s">
        <v>1527</v>
      </c>
      <c r="G186" t="n">
        <v>104.792</v>
      </c>
      <c r="H186" t="n">
        <v>-8.5246894307096106E-3</v>
      </c>
      <c r="I186" t="n">
        <v>105.006</v>
      </c>
      <c r="J186" t="n">
        <v>-2.4225496622680702E-3</v>
      </c>
      <c r="K186" t="s">
        <v>1191</v>
      </c>
      <c r="L186" t="s">
        <v>1007</v>
      </c>
    </row>
    <row r="187">
      <c r="A187" t="n">
        <v>2.5357857709627601E-2</v>
      </c>
      <c r="B187" t="n">
        <v>2.1698746196001199E-2</v>
      </c>
      <c r="C187" t="n">
        <v>3.0770998377488399E-2</v>
      </c>
      <c r="D187" t="n">
        <v>3.3008554152673703E-2</v>
      </c>
      <c r="E187" t="s">
        <v>1712</v>
      </c>
      <c r="F187" t="s">
        <v>1527</v>
      </c>
      <c r="G187" t="n">
        <v>105.589</v>
      </c>
      <c r="H187" t="n">
        <v>7.6055424078174099E-3</v>
      </c>
      <c r="I187" t="n">
        <v>105.86199999999999</v>
      </c>
      <c r="J187" t="n">
        <v>8.1519151286593202E-3</v>
      </c>
      <c r="K187" t="s">
        <v>1192</v>
      </c>
      <c r="L187" t="s">
        <v>1007</v>
      </c>
    </row>
    <row r="188">
      <c r="A188" t="n">
        <v>1.5085753101185199E-2</v>
      </c>
      <c r="B188" t="n">
        <v>1.5625918949128799E-2</v>
      </c>
      <c r="C188" t="n">
        <v>1.5469326265677499E-2</v>
      </c>
      <c r="D188" t="n">
        <v>3.0262315011426702E-3</v>
      </c>
      <c r="E188" t="s">
        <v>1713</v>
      </c>
      <c r="F188" t="s">
        <v>1527</v>
      </c>
      <c r="G188" t="n">
        <v>105.995</v>
      </c>
      <c r="H188" t="n">
        <v>3.8450975006867299E-3</v>
      </c>
      <c r="I188" t="n">
        <v>105.94199999999999</v>
      </c>
      <c r="J188" t="n">
        <v>7.5570081804610101E-4</v>
      </c>
      <c r="K188" t="s">
        <v>1193</v>
      </c>
      <c r="L188" t="s">
        <v>1007</v>
      </c>
    </row>
    <row r="189">
      <c r="A189" t="n">
        <v>1.9065277405527499E-2</v>
      </c>
      <c r="B189" t="n">
        <v>1.9426037707255001E-2</v>
      </c>
      <c r="C189" t="n">
        <v>1.98067429774604E-2</v>
      </c>
      <c r="D189" t="n">
        <v>1.9471921944120799E-2</v>
      </c>
      <c r="E189" t="s">
        <v>1714</v>
      </c>
      <c r="F189" t="s">
        <v>1527</v>
      </c>
      <c r="G189" t="n">
        <v>106.51600000000001</v>
      </c>
      <c r="H189" t="n">
        <v>4.9153261946317502E-3</v>
      </c>
      <c r="I189" t="n">
        <v>106.45399999999999</v>
      </c>
      <c r="J189" t="n">
        <v>4.8328330595985803E-3</v>
      </c>
      <c r="K189" t="s">
        <v>1194</v>
      </c>
      <c r="L189" t="s">
        <v>1007</v>
      </c>
    </row>
    <row r="190">
      <c r="A190" t="n">
        <v>2.3896314746341098E-2</v>
      </c>
      <c r="B190" t="n">
        <v>1.9409885132803301E-2</v>
      </c>
      <c r="C190" t="n">
        <v>3.9514900887574103E-2</v>
      </c>
      <c r="D190" t="n">
        <v>2.7099611156277601E-2</v>
      </c>
      <c r="E190" t="s">
        <v>1715</v>
      </c>
      <c r="F190" t="s">
        <v>1527</v>
      </c>
      <c r="G190" t="n">
        <v>107.53400000000001</v>
      </c>
      <c r="H190" t="n">
        <v>9.5572496150813108E-3</v>
      </c>
      <c r="I190" t="n">
        <v>107.188</v>
      </c>
      <c r="J190" t="n">
        <v>6.8949969000695601E-3</v>
      </c>
      <c r="K190" t="s">
        <v>1195</v>
      </c>
      <c r="L190" t="s">
        <v>1007</v>
      </c>
    </row>
    <row r="191">
      <c r="A191" t="n">
        <v>9.9328007831764892E-3</v>
      </c>
      <c r="B191" t="n">
        <v>1.3103273651826199E-2</v>
      </c>
      <c r="C191" t="n">
        <v>9.0306358829268501E-3</v>
      </c>
      <c r="D191" t="n">
        <v>2.1521193573355E-2</v>
      </c>
      <c r="E191" t="s">
        <v>1716</v>
      </c>
      <c r="F191" t="s">
        <v>1527</v>
      </c>
      <c r="G191" t="n">
        <v>107.80200000000001</v>
      </c>
      <c r="H191" t="n">
        <v>2.49223501404217E-3</v>
      </c>
      <c r="I191" t="n">
        <v>107.712</v>
      </c>
      <c r="J191" t="n">
        <v>4.8886069336120403E-3</v>
      </c>
      <c r="K191" t="s">
        <v>1196</v>
      </c>
      <c r="L191" t="s">
        <v>1007</v>
      </c>
    </row>
    <row r="192">
      <c r="A192" t="n">
        <v>1.4603017582518699E-2</v>
      </c>
      <c r="B192" t="n">
        <v>1.7788818797953999E-2</v>
      </c>
      <c r="C192" t="n">
        <v>3.6635495652026999E-2</v>
      </c>
      <c r="D192" t="n">
        <v>3.6311211479282998E-2</v>
      </c>
      <c r="E192" t="s">
        <v>1717</v>
      </c>
      <c r="F192" t="s">
        <v>1527</v>
      </c>
      <c r="G192" t="n">
        <v>108.785</v>
      </c>
      <c r="H192" t="n">
        <v>9.1185692287711895E-3</v>
      </c>
      <c r="I192" t="n">
        <v>108.676</v>
      </c>
      <c r="J192" t="n">
        <v>8.94979203802726E-3</v>
      </c>
      <c r="K192" t="s">
        <v>1197</v>
      </c>
      <c r="L192" t="s">
        <v>1007</v>
      </c>
    </row>
    <row r="193">
      <c r="A193" t="n">
        <v>2.5719713356744601E-2</v>
      </c>
      <c r="B193" t="n">
        <v>2.90667642529692E-2</v>
      </c>
      <c r="C193" t="n">
        <v>5.7042627848445E-2</v>
      </c>
      <c r="D193" t="n">
        <v>2.3197124388088401E-2</v>
      </c>
      <c r="E193" t="s">
        <v>1718</v>
      </c>
      <c r="F193" t="s">
        <v>1527</v>
      </c>
      <c r="G193" t="n">
        <v>110.252</v>
      </c>
      <c r="H193" t="n">
        <v>1.3485315071011699E-2</v>
      </c>
      <c r="I193" t="n">
        <v>109.285</v>
      </c>
      <c r="J193" t="n">
        <v>5.6038131694209304E-3</v>
      </c>
      <c r="K193" t="s">
        <v>1198</v>
      </c>
      <c r="L193" t="s">
        <v>1007</v>
      </c>
    </row>
    <row r="194">
      <c r="A194" t="n">
        <v>2.9147369447939799E-2</v>
      </c>
      <c r="B194" t="n">
        <v>4.11537159385129E-2</v>
      </c>
      <c r="C194" t="n">
        <v>5.2316315130779299E-2</v>
      </c>
      <c r="D194" t="n">
        <v>3.8107075575473298E-2</v>
      </c>
      <c r="E194" t="s">
        <v>1719</v>
      </c>
      <c r="F194" t="s">
        <v>1527</v>
      </c>
      <c r="G194" t="n">
        <v>111.627</v>
      </c>
      <c r="H194" t="n">
        <v>1.24714290897217E-2</v>
      </c>
      <c r="I194" t="n">
        <v>110.291</v>
      </c>
      <c r="J194" t="n">
        <v>9.2052889234570702E-3</v>
      </c>
      <c r="K194" t="s">
        <v>1199</v>
      </c>
      <c r="L194" t="s">
        <v>1007</v>
      </c>
    </row>
    <row r="195">
      <c r="A195" t="n">
        <v>2.1663179127611398E-2</v>
      </c>
      <c r="B195" t="n">
        <v>2.95524402709311E-2</v>
      </c>
      <c r="C195" t="n">
        <v>4.1414814571916599E-2</v>
      </c>
      <c r="D195" t="n">
        <v>5.71493007542314E-2</v>
      </c>
      <c r="E195" t="s">
        <v>1720</v>
      </c>
      <c r="F195" t="s">
        <v>1527</v>
      </c>
      <c r="G195" t="n">
        <v>112.81100000000001</v>
      </c>
      <c r="H195" t="n">
        <v>1.06067528465337E-2</v>
      </c>
      <c r="I195" t="n">
        <v>111.736</v>
      </c>
      <c r="J195" t="n">
        <v>1.3101703674824E-2</v>
      </c>
      <c r="K195" t="s">
        <v>1200</v>
      </c>
      <c r="L195" t="s">
        <v>1007</v>
      </c>
    </row>
    <row r="196">
      <c r="A196" t="n">
        <v>1.4350946991545E-2</v>
      </c>
      <c r="B196" t="n">
        <v>2.3387558006987101E-2</v>
      </c>
      <c r="C196" t="n">
        <v>3.8836746328921902E-2</v>
      </c>
      <c r="D196" t="n">
        <v>2.9745006586506799E-2</v>
      </c>
      <c r="E196" t="s">
        <v>1721</v>
      </c>
      <c r="F196" t="s">
        <v>1527</v>
      </c>
      <c r="G196" t="n">
        <v>113.875</v>
      </c>
      <c r="H196" t="n">
        <v>9.4317043550717905E-3</v>
      </c>
      <c r="I196" t="n">
        <v>112.542</v>
      </c>
      <c r="J196" t="n">
        <v>7.2134316603422698E-3</v>
      </c>
      <c r="K196" t="s">
        <v>1201</v>
      </c>
      <c r="L196" t="s">
        <v>1007</v>
      </c>
    </row>
    <row r="197">
      <c r="A197" t="n">
        <v>1.51565091171486E-2</v>
      </c>
      <c r="B197" t="n">
        <v>2.9652502701153601E-2</v>
      </c>
      <c r="C197" t="n">
        <v>1.6036274889288799E-2</v>
      </c>
      <c r="D197" t="n">
        <v>4.1912016313216102E-2</v>
      </c>
      <c r="E197" t="s">
        <v>1722</v>
      </c>
      <c r="F197" t="s">
        <v>1527</v>
      </c>
      <c r="G197" t="n">
        <v>114.43899999999999</v>
      </c>
      <c r="H197" t="n">
        <v>4.9527991218440998E-3</v>
      </c>
      <c r="I197" t="n">
        <v>113.715</v>
      </c>
      <c r="J197" t="n">
        <v>1.0422775497147801E-2</v>
      </c>
      <c r="K197" t="s">
        <v>1202</v>
      </c>
      <c r="L197" t="s">
        <v>1007</v>
      </c>
    </row>
    <row r="198">
      <c r="A198" t="n">
        <v>8.3593342288621492E-3</v>
      </c>
      <c r="B198" t="n">
        <v>4.3357912415273203E-2</v>
      </c>
      <c r="C198" t="n">
        <v>-1.6750426853228501E-2</v>
      </c>
      <c r="D198" t="n">
        <v>1.5721372171975601E-2</v>
      </c>
      <c r="E198" t="s">
        <v>1723</v>
      </c>
      <c r="F198" t="s">
        <v>1527</v>
      </c>
      <c r="G198" t="n">
        <v>113.98</v>
      </c>
      <c r="H198" t="n">
        <v>-4.0108704200489996E-3</v>
      </c>
      <c r="I198" t="n">
        <v>114.175</v>
      </c>
      <c r="J198" t="n">
        <v>4.0452007211009304E-3</v>
      </c>
      <c r="K198" t="s">
        <v>1203</v>
      </c>
      <c r="L198" t="s">
        <v>1007</v>
      </c>
    </row>
    <row r="199">
      <c r="A199" t="n">
        <v>2.4734353401226102E-2</v>
      </c>
      <c r="B199" t="n">
        <v>-2.6343933972632301E-2</v>
      </c>
      <c r="C199" t="n">
        <v>2.5813818283005E-2</v>
      </c>
      <c r="D199" t="n">
        <v>4.8037769815769002E-2</v>
      </c>
      <c r="E199" t="s">
        <v>1724</v>
      </c>
      <c r="F199" t="s">
        <v>1527</v>
      </c>
      <c r="G199" t="n">
        <v>114.758</v>
      </c>
      <c r="H199" t="n">
        <v>6.8257589050710896E-3</v>
      </c>
      <c r="I199" t="n">
        <v>115.41800000000001</v>
      </c>
      <c r="J199" t="n">
        <v>1.0886796584191E-2</v>
      </c>
      <c r="K199" t="s">
        <v>1204</v>
      </c>
      <c r="L199" t="s">
        <v>1007</v>
      </c>
    </row>
    <row r="200">
      <c r="A200" t="n">
        <v>1.0490970472330399E-2</v>
      </c>
      <c r="B200" t="n">
        <v>1.0018821110834301E-2</v>
      </c>
      <c r="C200" t="n">
        <v>8.6124156242581903E-3</v>
      </c>
      <c r="D200" t="n">
        <v>1.9083730667159401E-2</v>
      </c>
      <c r="E200" t="s">
        <v>1725</v>
      </c>
      <c r="F200" t="s">
        <v>1527</v>
      </c>
      <c r="G200" t="n">
        <v>114.919</v>
      </c>
      <c r="H200" t="n">
        <v>1.40295229962173E-3</v>
      </c>
      <c r="I200" t="n">
        <v>115.982</v>
      </c>
      <c r="J200" t="n">
        <v>4.8865861477411796E-3</v>
      </c>
      <c r="K200" t="s">
        <v>1205</v>
      </c>
      <c r="L200" t="s">
        <v>1007</v>
      </c>
    </row>
    <row r="201">
      <c r="A201" t="n">
        <v>1.45690487077856E-2</v>
      </c>
      <c r="B201" t="n">
        <v>1.6245763277308499E-2</v>
      </c>
      <c r="C201" t="n">
        <v>1.6996215944869601E-2</v>
      </c>
      <c r="D201" t="n">
        <v>5.8979339636946503E-3</v>
      </c>
      <c r="E201" t="s">
        <v>1726</v>
      </c>
      <c r="F201" t="s">
        <v>1527</v>
      </c>
      <c r="G201" t="n">
        <v>115.285</v>
      </c>
      <c r="H201" t="n">
        <v>3.1848519391919298E-3</v>
      </c>
      <c r="I201" t="n">
        <v>116.167</v>
      </c>
      <c r="J201" t="n">
        <v>1.59507509785994E-3</v>
      </c>
      <c r="K201" t="s">
        <v>1206</v>
      </c>
      <c r="L201" t="s">
        <v>1007</v>
      </c>
    </row>
    <row r="202">
      <c r="A202" t="n">
        <v>1.46624987744557E-2</v>
      </c>
      <c r="B202" t="n">
        <v>1.3591255249432201E-2</v>
      </c>
      <c r="C202" t="n">
        <v>5.0660572456327199E-2</v>
      </c>
      <c r="D202" t="n">
        <v>1.0418465412080901E-2</v>
      </c>
      <c r="E202" t="s">
        <v>1727</v>
      </c>
      <c r="F202" t="s">
        <v>1527</v>
      </c>
      <c r="G202" t="n">
        <v>116.54600000000001</v>
      </c>
      <c r="H202" t="n">
        <v>1.09381099015484E-2</v>
      </c>
      <c r="I202" t="n">
        <v>116.5</v>
      </c>
      <c r="J202" t="n">
        <v>2.86656279322006E-3</v>
      </c>
      <c r="K202" t="s">
        <v>1207</v>
      </c>
      <c r="L202" t="s">
        <v>1007</v>
      </c>
    </row>
    <row r="203">
      <c r="A203" t="n">
        <v>-1.7940859457881899E-2</v>
      </c>
      <c r="B203" t="n">
        <v>3.31045118831508E-3</v>
      </c>
      <c r="C203" t="n">
        <v>-1.06133933402519E-3</v>
      </c>
      <c r="D203" t="n">
        <v>-7.65559802497651E-3</v>
      </c>
      <c r="E203" t="s">
        <v>1728</v>
      </c>
      <c r="F203" t="s">
        <v>1527</v>
      </c>
      <c r="G203" t="n">
        <v>116.072</v>
      </c>
      <c r="H203" t="n">
        <v>-4.0670636486881398E-3</v>
      </c>
      <c r="I203" t="n">
        <v>116.19499999999999</v>
      </c>
      <c r="J203" t="n">
        <v>-2.61802575107306E-3</v>
      </c>
      <c r="K203" t="s">
        <v>1208</v>
      </c>
      <c r="L203" t="s">
        <v>1007</v>
      </c>
    </row>
    <row r="204">
      <c r="A204" t="n">
        <v>3.3775526155126898E-2</v>
      </c>
      <c r="B204" t="n">
        <v>2.5959727144998501E-2</v>
      </c>
      <c r="C204" t="n">
        <v>3.4596703938155803E-2</v>
      </c>
      <c r="D204" t="n">
        <v>4.1355015452944698E-2</v>
      </c>
      <c r="E204" t="s">
        <v>1729</v>
      </c>
      <c r="F204" t="s">
        <v>1527</v>
      </c>
      <c r="G204" t="n">
        <v>116.51900000000001</v>
      </c>
      <c r="H204" t="n">
        <v>3.8510579640223001E-3</v>
      </c>
      <c r="I204" t="n">
        <v>117.285</v>
      </c>
      <c r="J204" t="n">
        <v>9.3807823056069103E-3</v>
      </c>
      <c r="K204" t="s">
        <v>1209</v>
      </c>
      <c r="L204" t="s">
        <v>1007</v>
      </c>
    </row>
    <row r="205">
      <c r="A205" t="n">
        <v>1.6442937470855502E-2</v>
      </c>
      <c r="B205" t="n">
        <v>2.4447407360365301E-2</v>
      </c>
      <c r="C205" t="n">
        <v>5.1547958936444697E-2</v>
      </c>
      <c r="D205" t="n">
        <v>1.8415186976738801E-2</v>
      </c>
      <c r="E205" t="s">
        <v>1730</v>
      </c>
      <c r="F205" t="s">
        <v>1527</v>
      </c>
      <c r="G205" t="n">
        <v>117.593</v>
      </c>
      <c r="H205" t="n">
        <v>9.2173808563409398E-3</v>
      </c>
      <c r="I205" t="n">
        <v>117.706</v>
      </c>
      <c r="J205" t="n">
        <v>3.5895468303705999E-3</v>
      </c>
      <c r="K205" t="s">
        <v>1210</v>
      </c>
      <c r="L205" t="s">
        <v>1007</v>
      </c>
    </row>
    <row r="206">
      <c r="A206" t="n">
        <v>4.5025943450948999E-2</v>
      </c>
      <c r="B206" t="n">
        <v>4.0827649049089101E-2</v>
      </c>
      <c r="C206" t="n">
        <v>9.2834286401326696E-2</v>
      </c>
      <c r="D206" t="n">
        <v>6.4160755006020101E-2</v>
      </c>
      <c r="E206" t="s">
        <v>1731</v>
      </c>
      <c r="F206" t="s">
        <v>1527</v>
      </c>
      <c r="G206" t="n">
        <v>119.419</v>
      </c>
      <c r="H206" t="n">
        <v>1.5528135178114201E-2</v>
      </c>
      <c r="I206" t="n">
        <v>119.416</v>
      </c>
      <c r="J206" t="n">
        <v>1.45277216114725E-2</v>
      </c>
      <c r="K206" t="s">
        <v>1211</v>
      </c>
      <c r="L206" t="s">
        <v>1007</v>
      </c>
    </row>
    <row r="207">
      <c r="A207" t="n">
        <v>6.4441802743663304E-2</v>
      </c>
      <c r="B207" t="n">
        <v>4.1247362410053098E-2</v>
      </c>
      <c r="C207" t="n">
        <v>8.0575514620662397E-2</v>
      </c>
      <c r="D207" t="n">
        <v>0.104589902157439</v>
      </c>
      <c r="E207" t="s">
        <v>1732</v>
      </c>
      <c r="F207" t="s">
        <v>1527</v>
      </c>
      <c r="G207" t="n">
        <v>121.425</v>
      </c>
      <c r="H207" t="n">
        <v>1.6797996968656699E-2</v>
      </c>
      <c r="I207" t="n">
        <v>122.101</v>
      </c>
      <c r="J207" t="n">
        <v>2.24844241977624E-2</v>
      </c>
      <c r="K207" t="s">
        <v>1212</v>
      </c>
      <c r="L207" t="s">
        <v>1007</v>
      </c>
    </row>
    <row r="208">
      <c r="A208" t="n">
        <v>5.5998846943190198E-2</v>
      </c>
      <c r="B208" t="n">
        <v>4.40178580952795E-2</v>
      </c>
      <c r="C208" t="n">
        <v>6.4680375979367696E-2</v>
      </c>
      <c r="D208" t="n">
        <v>9.3631239224950299E-2</v>
      </c>
      <c r="E208" t="s">
        <v>1733</v>
      </c>
      <c r="F208" t="s">
        <v>1527</v>
      </c>
      <c r="G208" t="n">
        <v>123.291</v>
      </c>
      <c r="H208" t="n">
        <v>1.53675108091413E-2</v>
      </c>
      <c r="I208" t="n">
        <v>124.71</v>
      </c>
      <c r="J208" t="n">
        <v>2.13675563672697E-2</v>
      </c>
      <c r="K208" t="s">
        <v>1213</v>
      </c>
      <c r="L208" t="s">
        <v>1007</v>
      </c>
    </row>
    <row r="209">
      <c r="A209" t="n">
        <v>6.1859650545573498E-2</v>
      </c>
      <c r="B209" t="n">
        <v>4.34322998250962E-2</v>
      </c>
      <c r="C209" t="n">
        <v>8.4136934840178798E-2</v>
      </c>
      <c r="D209" t="n">
        <v>0.12124821634027599</v>
      </c>
      <c r="E209" t="s">
        <v>1734</v>
      </c>
      <c r="F209" t="s">
        <v>1527</v>
      </c>
      <c r="G209" t="n">
        <v>125.712</v>
      </c>
      <c r="H209" t="n">
        <v>1.96364698153151E-2</v>
      </c>
      <c r="I209" t="n">
        <v>128.44900000000001</v>
      </c>
      <c r="J209" t="n">
        <v>2.9981557212733798E-2</v>
      </c>
      <c r="K209" t="s">
        <v>1214</v>
      </c>
      <c r="L209" t="s">
        <v>1007</v>
      </c>
    </row>
    <row r="210">
      <c r="A210" t="n">
        <v>7.4784916271317198E-2</v>
      </c>
      <c r="B210" t="n">
        <v>5.6798579453040801E-2</v>
      </c>
      <c r="C210" t="n">
        <v>0.10120576467409099</v>
      </c>
      <c r="D210" t="n">
        <v>0.12687792670398401</v>
      </c>
      <c r="E210" t="s">
        <v>1735</v>
      </c>
      <c r="F210" t="s">
        <v>1527</v>
      </c>
      <c r="G210" t="n">
        <v>129</v>
      </c>
      <c r="H210" t="n">
        <v>2.6155021000381799E-2</v>
      </c>
      <c r="I210" t="n">
        <v>132.33099999999999</v>
      </c>
      <c r="J210" t="n">
        <v>3.0222111499505398E-2</v>
      </c>
      <c r="K210" t="s">
        <v>1215</v>
      </c>
      <c r="L210" t="s">
        <v>1007</v>
      </c>
    </row>
    <row r="211">
      <c r="A211" t="n">
        <v>7.2922192171477093E-2</v>
      </c>
      <c r="B211" t="n">
        <v>5.9959109255099501E-2</v>
      </c>
      <c r="C211" t="n">
        <v>0.15221841372862299</v>
      </c>
      <c r="D211" t="n">
        <v>0.13796693794697101</v>
      </c>
      <c r="E211" t="s">
        <v>1736</v>
      </c>
      <c r="F211" t="s">
        <v>1527</v>
      </c>
      <c r="G211" t="n">
        <v>133.62100000000001</v>
      </c>
      <c r="H211" t="n">
        <v>3.5821705426356799E-2</v>
      </c>
      <c r="I211" t="n">
        <v>136.69900000000001</v>
      </c>
      <c r="J211" t="n">
        <v>3.3008138682546297E-2</v>
      </c>
      <c r="K211" t="s">
        <v>1216</v>
      </c>
      <c r="L211" t="s">
        <v>1007</v>
      </c>
    </row>
    <row r="212">
      <c r="A212" t="n">
        <v>4.1796200977757901E-2</v>
      </c>
      <c r="B212" t="n">
        <v>4.8377032065661102E-2</v>
      </c>
      <c r="C212" t="n">
        <v>8.9811228034972802E-3</v>
      </c>
      <c r="D212" t="n">
        <v>8.9581033951388098E-2</v>
      </c>
      <c r="E212" t="s">
        <v>1737</v>
      </c>
      <c r="F212" t="s">
        <v>1527</v>
      </c>
      <c r="H212" t="n">
        <v>1.10762503071244E-2</v>
      </c>
      <c r="J212" t="n">
        <v>1.10762503071244E-2</v>
      </c>
      <c r="K212" t="s">
        <v>1217</v>
      </c>
      <c r="L212" t="s">
        <v>1218</v>
      </c>
    </row>
    <row r="213">
      <c r="A213" t="n">
        <v>2.7447616796656402E-2</v>
      </c>
      <c r="B213" t="n">
        <v>2.3249618404576101E-2</v>
      </c>
      <c r="C213" t="n">
        <v>3.8298767461848897E-2</v>
      </c>
      <c r="D213" t="n">
        <v>3.8298767461848897E-2</v>
      </c>
      <c r="E213" t="s">
        <v>1738</v>
      </c>
      <c r="F213" t="s">
        <v>1739</v>
      </c>
      <c r="H213" t="n">
        <v>9.4401732935755992E-3</v>
      </c>
      <c r="J213" t="n">
        <v>9.4401732935755992E-3</v>
      </c>
      <c r="K213" t="s">
        <v>1219</v>
      </c>
      <c r="L213" t="s">
        <v>1218</v>
      </c>
    </row>
    <row r="214">
      <c r="A214" t="n">
        <v>2.49173870638888E-2</v>
      </c>
      <c r="B214" t="n">
        <v>2.1715756912072299E-2</v>
      </c>
      <c r="C214" t="n">
        <v>3.6085750781477598E-2</v>
      </c>
      <c r="D214" t="n">
        <v>3.6085750781477598E-2</v>
      </c>
      <c r="E214" t="s">
        <v>1740</v>
      </c>
      <c r="F214" t="s">
        <v>1739</v>
      </c>
      <c r="H214" t="n">
        <v>8.9018658885664497E-3</v>
      </c>
      <c r="J214" t="n">
        <v>8.9018658885664497E-3</v>
      </c>
      <c r="K214" t="s">
        <v>1220</v>
      </c>
      <c r="L214" t="s">
        <v>1218</v>
      </c>
    </row>
    <row r="215">
      <c r="A215" t="n">
        <v>2.33440010578361E-2</v>
      </c>
      <c r="B215" t="n">
        <v>2.1485909848918801E-2</v>
      </c>
      <c r="C215" t="n">
        <v>3.2005284910624002E-2</v>
      </c>
      <c r="D215" t="n">
        <v>3.2005284910624002E-2</v>
      </c>
      <c r="E215" t="s">
        <v>1741</v>
      </c>
      <c r="F215" t="s">
        <v>1739</v>
      </c>
      <c r="H215" t="n">
        <v>7.9070438771131606E-3</v>
      </c>
      <c r="J215" t="n">
        <v>7.9070438771131606E-3</v>
      </c>
      <c r="K215" t="s">
        <v>1221</v>
      </c>
      <c r="L215" t="s">
        <v>1218</v>
      </c>
    </row>
    <row r="216">
      <c r="A216" t="n">
        <v>2.2676579457354702E-2</v>
      </c>
      <c r="B216" t="n">
        <v>2.1729771469873E-2</v>
      </c>
      <c r="C216" t="n">
        <v>2.9538555790939999E-2</v>
      </c>
      <c r="D216" t="n">
        <v>2.9538555790939999E-2</v>
      </c>
      <c r="E216" t="s">
        <v>1742</v>
      </c>
      <c r="F216" t="s">
        <v>1739</v>
      </c>
      <c r="H216" t="n">
        <v>7.3042210756391101E-3</v>
      </c>
      <c r="J216" t="n">
        <v>7.3042210756391101E-3</v>
      </c>
      <c r="K216" t="s">
        <v>1222</v>
      </c>
      <c r="L216" t="s">
        <v>1218</v>
      </c>
    </row>
    <row r="217">
      <c r="A217" t="n">
        <v>2.2178287431426899E-2</v>
      </c>
      <c r="B217" t="n">
        <v>2.22727407121028E-2</v>
      </c>
      <c r="C217" t="n">
        <v>2.8512142036472E-2</v>
      </c>
      <c r="D217" t="n">
        <v>2.8512142036472E-2</v>
      </c>
      <c r="E217" t="s">
        <v>1743</v>
      </c>
      <c r="F217" t="s">
        <v>1739</v>
      </c>
      <c r="H217" t="n">
        <v>7.0530654325617901E-3</v>
      </c>
      <c r="J217" t="n">
        <v>7.0530654325617901E-3</v>
      </c>
      <c r="K217" t="s">
        <v>1223</v>
      </c>
      <c r="L217" t="s">
        <v>1218</v>
      </c>
    </row>
    <row r="218">
      <c r="A218" t="n">
        <v>2.1434276652948898E-2</v>
      </c>
      <c r="B218" t="n">
        <v>2.23623952750127E-2</v>
      </c>
      <c r="C218" t="n">
        <v>2.8283584176253401E-2</v>
      </c>
      <c r="D218" t="n">
        <v>2.8283584176253401E-2</v>
      </c>
      <c r="E218" t="s">
        <v>1744</v>
      </c>
      <c r="F218" t="s">
        <v>1739</v>
      </c>
      <c r="H218" t="n">
        <v>6.9971134735056202E-3</v>
      </c>
      <c r="J218" t="n">
        <v>6.9971134735056202E-3</v>
      </c>
      <c r="K218" t="s">
        <v>1224</v>
      </c>
      <c r="L218" t="s">
        <v>1218</v>
      </c>
    </row>
    <row r="219">
      <c r="A219" t="n">
        <v>2.10072065089228E-2</v>
      </c>
      <c r="B219" t="n">
        <v>2.2496789219665199E-2</v>
      </c>
      <c r="C219" t="n">
        <v>2.7654852328046001E-2</v>
      </c>
      <c r="D219" t="n">
        <v>2.7654852328046001E-2</v>
      </c>
      <c r="E219" t="s">
        <v>1745</v>
      </c>
      <c r="F219" t="s">
        <v>1739</v>
      </c>
      <c r="H219" t="n">
        <v>6.8431490448084302E-3</v>
      </c>
      <c r="J219" t="n">
        <v>6.8431490448084302E-3</v>
      </c>
      <c r="K219" t="s">
        <v>1225</v>
      </c>
      <c r="L219" t="s">
        <v>1218</v>
      </c>
    </row>
    <row r="220">
      <c r="A220" t="n">
        <v>2.0591622707038602E-2</v>
      </c>
      <c r="B220" t="n">
        <v>2.25123599902981E-2</v>
      </c>
      <c r="C220" t="n">
        <v>2.7753662335143502E-2</v>
      </c>
      <c r="D220" t="n">
        <v>2.7753662335143502E-2</v>
      </c>
      <c r="E220" t="s">
        <v>1746</v>
      </c>
      <c r="F220" t="s">
        <v>1739</v>
      </c>
      <c r="H220" t="n">
        <v>6.8673504076357502E-3</v>
      </c>
      <c r="J220" t="n">
        <v>6.8673504076357502E-3</v>
      </c>
      <c r="K220" t="s">
        <v>1226</v>
      </c>
      <c r="L220" t="s">
        <v>1218</v>
      </c>
    </row>
    <row r="221">
      <c r="A221" t="n">
        <v>2.0347186911993099E-2</v>
      </c>
      <c r="B221" t="n">
        <v>2.2891901714989799E-2</v>
      </c>
      <c r="C221" t="n">
        <v>2.8110399323646899E-2</v>
      </c>
      <c r="D221" t="n">
        <v>2.8110399323646899E-2</v>
      </c>
      <c r="E221" t="s">
        <v>1747</v>
      </c>
      <c r="F221" t="s">
        <v>1739</v>
      </c>
      <c r="H221" t="n">
        <v>6.9547108559351303E-3</v>
      </c>
      <c r="J221" t="n">
        <v>6.9547108559351303E-3</v>
      </c>
      <c r="K221" t="s">
        <v>1227</v>
      </c>
      <c r="L221" t="s">
        <v>1218</v>
      </c>
    </row>
    <row r="222">
      <c r="A222" t="n">
        <v>2.03844462174123E-2</v>
      </c>
      <c r="B222" t="n">
        <v>2.2688598137850801E-2</v>
      </c>
      <c r="C222" t="n">
        <v>2.89673943247446E-2</v>
      </c>
      <c r="D222" t="n">
        <v>2.89673943247446E-2</v>
      </c>
      <c r="E222" t="s">
        <v>1748</v>
      </c>
      <c r="F222" t="s">
        <v>1739</v>
      </c>
      <c r="H222" t="n">
        <v>7.1644853940870902E-3</v>
      </c>
      <c r="J222" t="n">
        <v>7.1644853940870902E-3</v>
      </c>
      <c r="K222" t="s">
        <v>1228</v>
      </c>
      <c r="L222" t="s">
        <v>1218</v>
      </c>
    </row>
    <row r="223">
      <c r="A223" t="n">
        <v>2.02121429685698E-2</v>
      </c>
      <c r="B223" t="n">
        <v>2.2861927422401802E-2</v>
      </c>
      <c r="C223" t="n">
        <v>2.97171972862664E-2</v>
      </c>
      <c r="D223" t="n">
        <v>2.97171972862664E-2</v>
      </c>
      <c r="E223" t="s">
        <v>1749</v>
      </c>
      <c r="F223" t="s">
        <v>1739</v>
      </c>
      <c r="H223" t="n">
        <v>7.3479141028771596E-3</v>
      </c>
      <c r="J223" t="n">
        <v>7.3479141028771596E-3</v>
      </c>
      <c r="K223" t="s">
        <v>1229</v>
      </c>
      <c r="L223" t="s">
        <v>1218</v>
      </c>
    </row>
    <row r="224">
      <c r="A224" t="n">
        <v>2.00951255413373E-2</v>
      </c>
      <c r="B224" t="n">
        <v>2.2789213164977801E-2</v>
      </c>
      <c r="C224" t="n">
        <v>2.9972823640437098E-2</v>
      </c>
      <c r="D224" t="n">
        <v>2.9972823640437098E-2</v>
      </c>
      <c r="E224" t="s">
        <v>1750</v>
      </c>
      <c r="F224" t="s">
        <v>1739</v>
      </c>
      <c r="H224" t="n">
        <v>7.4104265836887296E-3</v>
      </c>
      <c r="J224" t="n">
        <v>7.4104265836887296E-3</v>
      </c>
      <c r="K224" t="s">
        <v>1230</v>
      </c>
      <c r="L224" t="s">
        <v>1218</v>
      </c>
    </row>
    <row r="225">
      <c r="A225" t="n">
        <v>2.0005533751415599E-2</v>
      </c>
      <c r="B225" t="n">
        <v>2.30067515754304E-2</v>
      </c>
      <c r="C225" t="n">
        <v>3.0378543432117301E-2</v>
      </c>
      <c r="D225" t="n">
        <v>3.0378543432117301E-2</v>
      </c>
      <c r="E225" t="s">
        <v>1751</v>
      </c>
      <c r="F225" t="s">
        <v>1739</v>
      </c>
      <c r="H225" t="n">
        <v>7.5096199742570296E-3</v>
      </c>
      <c r="J225" t="n">
        <v>7.5096199742570296E-3</v>
      </c>
      <c r="K225" t="s">
        <v>1231</v>
      </c>
      <c r="L225" t="s">
        <v>1218</v>
      </c>
    </row>
    <row r="226">
      <c r="A226" t="n">
        <v>1.9992497685795502E-2</v>
      </c>
      <c r="B226" t="n">
        <v>2.28689196510703E-2</v>
      </c>
      <c r="C226" t="n">
        <v>3.0384347471833498E-2</v>
      </c>
      <c r="D226" t="n">
        <v>3.0384347471833498E-2</v>
      </c>
      <c r="E226" t="s">
        <v>1752</v>
      </c>
      <c r="F226" t="s">
        <v>1739</v>
      </c>
      <c r="H226" t="n">
        <v>7.5110387764860701E-3</v>
      </c>
      <c r="J226" t="n">
        <v>7.5110387764860701E-3</v>
      </c>
      <c r="K226" t="s">
        <v>1232</v>
      </c>
      <c r="L226" t="s">
        <v>1218</v>
      </c>
    </row>
    <row r="227">
      <c r="A227" t="n">
        <v>1.99491524210023E-2</v>
      </c>
      <c r="B227" t="n">
        <v>2.2952518060170599E-2</v>
      </c>
      <c r="C227" t="n">
        <v>3.0780667439755299E-2</v>
      </c>
      <c r="D227" t="n">
        <v>3.0780667439755299E-2</v>
      </c>
      <c r="E227" t="s">
        <v>1753</v>
      </c>
      <c r="F227" t="s">
        <v>1739</v>
      </c>
      <c r="H227" t="n">
        <v>7.6079053396602703E-3</v>
      </c>
      <c r="J227" t="n">
        <v>7.6079053396602703E-3</v>
      </c>
      <c r="K227" t="s">
        <v>1233</v>
      </c>
      <c r="L227" t="s">
        <v>1218</v>
      </c>
    </row>
    <row r="228">
      <c r="A228" t="n">
        <v>1.99785657506244E-2</v>
      </c>
      <c r="B228" t="n">
        <v>2.3092018308592099E-2</v>
      </c>
      <c r="C228" t="n">
        <v>3.09234356698747E-2</v>
      </c>
      <c r="D228" t="n">
        <v>3.09234356698747E-2</v>
      </c>
      <c r="E228" t="s">
        <v>1754</v>
      </c>
      <c r="F228" t="s">
        <v>1739</v>
      </c>
      <c r="H228" t="n">
        <v>7.6427931995954896E-3</v>
      </c>
      <c r="J228" t="n">
        <v>7.6427931995954896E-3</v>
      </c>
      <c r="K228" t="s">
        <v>1234</v>
      </c>
      <c r="L228" t="s">
        <v>1218</v>
      </c>
    </row>
    <row r="229">
      <c r="A229" t="n">
        <v>1.9973482507164499E-2</v>
      </c>
      <c r="B229" t="n">
        <v>2.29188557927167E-2</v>
      </c>
      <c r="C229" t="n">
        <v>3.0940126349132901E-2</v>
      </c>
      <c r="D229" t="n">
        <v>3.0940126349132901E-2</v>
      </c>
      <c r="E229" t="s">
        <v>1755</v>
      </c>
      <c r="F229" t="s">
        <v>1739</v>
      </c>
      <c r="H229" t="n">
        <v>7.6468716160857904E-3</v>
      </c>
      <c r="J229" t="n">
        <v>7.6468716160857904E-3</v>
      </c>
      <c r="K229" t="s">
        <v>1235</v>
      </c>
      <c r="L229" t="s">
        <v>1218</v>
      </c>
    </row>
    <row r="230">
      <c r="A230" t="n">
        <v>2.00262569988248E-2</v>
      </c>
      <c r="B230" t="n">
        <v>2.34219478386497E-2</v>
      </c>
      <c r="C230" t="n">
        <v>3.08963138434795E-2</v>
      </c>
      <c r="D230" t="n">
        <v>3.08963138434795E-2</v>
      </c>
      <c r="E230" t="s">
        <v>1756</v>
      </c>
      <c r="F230" t="s">
        <v>1739</v>
      </c>
      <c r="H230" t="n">
        <v>7.6361657960506398E-3</v>
      </c>
      <c r="J230" t="n">
        <v>7.6361657960506398E-3</v>
      </c>
      <c r="K230" t="s">
        <v>1236</v>
      </c>
      <c r="L230" t="s">
        <v>1218</v>
      </c>
    </row>
    <row r="231">
      <c r="A231" t="n">
        <v>2.0068184200822601E-2</v>
      </c>
      <c r="B231" t="n">
        <v>2.29559923804479E-2</v>
      </c>
      <c r="C231" t="n">
        <v>3.1171169586274899E-2</v>
      </c>
      <c r="D231" t="n">
        <v>3.1171169586274899E-2</v>
      </c>
      <c r="E231" t="s">
        <v>1757</v>
      </c>
      <c r="F231" t="s">
        <v>1739</v>
      </c>
      <c r="H231" t="n">
        <v>7.7033226228278E-3</v>
      </c>
      <c r="J231" t="n">
        <v>7.7033226228278E-3</v>
      </c>
      <c r="K231" t="s">
        <v>1237</v>
      </c>
      <c r="L231" t="s">
        <v>1218</v>
      </c>
    </row>
    <row r="232">
      <c r="A232" t="n">
        <v>2.00733299513789E-2</v>
      </c>
      <c r="B232" t="n">
        <v>2.3089907346120601E-2</v>
      </c>
      <c r="C232" t="n">
        <v>3.11290252355114E-2</v>
      </c>
      <c r="D232" t="n">
        <v>3.11290252355114E-2</v>
      </c>
      <c r="E232" t="s">
        <v>1758</v>
      </c>
      <c r="F232" t="s">
        <v>1739</v>
      </c>
      <c r="H232" t="n">
        <v>7.6930261622452098E-3</v>
      </c>
      <c r="J232" t="n">
        <v>7.6930261622452098E-3</v>
      </c>
      <c r="K232" t="s">
        <v>1238</v>
      </c>
      <c r="L232" t="s">
        <v>1218</v>
      </c>
    </row>
    <row r="233">
      <c r="A233" t="n">
        <v>2.00833471581769E-2</v>
      </c>
      <c r="B233" t="n">
        <v>2.2986135275529802E-2</v>
      </c>
      <c r="C233" t="n">
        <v>3.12799263503531E-2</v>
      </c>
      <c r="D233" t="n">
        <v>3.12799263503531E-2</v>
      </c>
      <c r="E233" t="s">
        <v>1759</v>
      </c>
      <c r="F233" t="s">
        <v>1739</v>
      </c>
      <c r="H233" t="n">
        <v>7.72989197946106E-3</v>
      </c>
      <c r="J233" t="n">
        <v>7.72989197946106E-3</v>
      </c>
      <c r="K233" t="s">
        <v>1239</v>
      </c>
      <c r="L233" t="s">
        <v>1218</v>
      </c>
    </row>
    <row r="234">
      <c r="A234" t="n">
        <v>2.0140093939852201E-2</v>
      </c>
      <c r="B234" t="n">
        <v>2.31414769468055E-2</v>
      </c>
      <c r="C234" t="n">
        <v>3.1432246791632999E-2</v>
      </c>
      <c r="D234" t="n">
        <v>3.1432246791632999E-2</v>
      </c>
      <c r="E234" t="s">
        <v>1760</v>
      </c>
      <c r="F234" t="s">
        <v>1739</v>
      </c>
      <c r="H234" t="n">
        <v>7.76710044167461E-3</v>
      </c>
      <c r="J234" t="n">
        <v>7.76710044167461E-3</v>
      </c>
      <c r="K234" t="s">
        <v>1240</v>
      </c>
      <c r="L234" t="s">
        <v>1218</v>
      </c>
    </row>
    <row r="235">
      <c r="A235" t="n">
        <v>2.02021592909249E-2</v>
      </c>
      <c r="B235" t="n">
        <v>2.2984714477401601E-2</v>
      </c>
      <c r="C235" t="n">
        <v>3.1205847095053599E-2</v>
      </c>
      <c r="D235" t="n">
        <v>3.1205847095053599E-2</v>
      </c>
      <c r="E235" t="s">
        <v>1761</v>
      </c>
      <c r="F235" t="s">
        <v>1739</v>
      </c>
      <c r="H235" t="n">
        <v>7.7117945916846996E-3</v>
      </c>
      <c r="J235" t="n">
        <v>7.7117945916846996E-3</v>
      </c>
      <c r="K235" t="s">
        <v>1241</v>
      </c>
      <c r="L235" t="s">
        <v>1218</v>
      </c>
    </row>
    <row r="236">
      <c r="A236" t="n">
        <v>2.0211898969260102E-2</v>
      </c>
      <c r="B236" t="n">
        <v>2.2913195171825301E-2</v>
      </c>
      <c r="C236" t="n">
        <v>3.14110402970686E-2</v>
      </c>
      <c r="D236" t="n">
        <v>3.14110402970686E-2</v>
      </c>
      <c r="E236" t="s">
        <v>1762</v>
      </c>
      <c r="F236" t="s">
        <v>1739</v>
      </c>
      <c r="H236" t="n">
        <v>7.7619204183672101E-3</v>
      </c>
      <c r="J236" t="n">
        <v>7.7619204183672101E-3</v>
      </c>
      <c r="K236" t="s">
        <v>1242</v>
      </c>
      <c r="L236" t="s">
        <v>1218</v>
      </c>
    </row>
    <row r="237">
      <c r="A237" t="n">
        <v>2.0290430669000999E-2</v>
      </c>
      <c r="B237" t="n">
        <v>2.29758501503456E-2</v>
      </c>
      <c r="C237" t="n">
        <v>3.1565029186180898E-2</v>
      </c>
      <c r="D237" t="n">
        <v>3.1565029186180898E-2</v>
      </c>
      <c r="E237" t="s">
        <v>1763</v>
      </c>
      <c r="F237" t="s">
        <v>1739</v>
      </c>
      <c r="H237" t="n">
        <v>7.7995328359632401E-3</v>
      </c>
      <c r="J237" t="n">
        <v>7.7995328359632401E-3</v>
      </c>
      <c r="K237" t="s">
        <v>1243</v>
      </c>
      <c r="L237" t="s">
        <v>1218</v>
      </c>
    </row>
    <row r="238">
      <c r="A238" t="n">
        <v>2.0308808571870299E-2</v>
      </c>
      <c r="B238" t="n">
        <v>2.2824531954790599E-2</v>
      </c>
      <c r="C238" t="n">
        <v>3.1531274423854297E-2</v>
      </c>
      <c r="D238" t="n">
        <v>3.1531274423854297E-2</v>
      </c>
      <c r="E238" t="s">
        <v>1764</v>
      </c>
      <c r="F238" t="s">
        <v>1739</v>
      </c>
      <c r="H238" t="n">
        <v>7.7912884572341997E-3</v>
      </c>
      <c r="J238" t="n">
        <v>7.7912884572341997E-3</v>
      </c>
      <c r="K238" t="s">
        <v>1244</v>
      </c>
      <c r="L238" t="s">
        <v>1218</v>
      </c>
    </row>
    <row r="239">
      <c r="A239" t="n">
        <v>2.03080060292413E-2</v>
      </c>
      <c r="B239" t="n">
        <v>2.2972481063801901E-2</v>
      </c>
      <c r="C239" t="n">
        <v>3.1542996473644003E-2</v>
      </c>
      <c r="D239" t="n">
        <v>3.1542996473644003E-2</v>
      </c>
      <c r="E239" t="s">
        <v>1765</v>
      </c>
      <c r="F239" t="s">
        <v>1739</v>
      </c>
      <c r="H239" t="n">
        <v>7.7941515137436301E-3</v>
      </c>
      <c r="J239" t="n">
        <v>7.7941515137436301E-3</v>
      </c>
      <c r="K239" t="s">
        <v>1245</v>
      </c>
      <c r="L239" t="s">
        <v>1218</v>
      </c>
    </row>
    <row r="240">
      <c r="A240" t="n">
        <v>2.0323983720006399E-2</v>
      </c>
      <c r="B240" t="n">
        <v>2.2824566637221998E-2</v>
      </c>
      <c r="C240" t="n">
        <v>3.1855243350590097E-2</v>
      </c>
      <c r="D240" t="n">
        <v>3.1855243350590097E-2</v>
      </c>
      <c r="E240" t="s">
        <v>1766</v>
      </c>
      <c r="F240" t="s">
        <v>1739</v>
      </c>
      <c r="H240" t="n">
        <v>7.8704073905595494E-3</v>
      </c>
      <c r="J240" t="n">
        <v>7.8704073905595494E-3</v>
      </c>
      <c r="K240" t="s">
        <v>1246</v>
      </c>
      <c r="L240" t="s">
        <v>1218</v>
      </c>
    </row>
    <row r="241">
      <c r="A241" t="n">
        <v>2.0325704902500501E-2</v>
      </c>
      <c r="B241" t="n">
        <v>2.2886555231629101E-2</v>
      </c>
      <c r="C241" t="n">
        <v>3.1708818720508798E-2</v>
      </c>
      <c r="D241" t="n">
        <v>3.1708818720508798E-2</v>
      </c>
      <c r="E241" t="s">
        <v>1767</v>
      </c>
      <c r="F241" t="s">
        <v>1739</v>
      </c>
      <c r="H241" t="n">
        <v>7.8346502176538397E-3</v>
      </c>
      <c r="J241" t="n">
        <v>7.8346502176538397E-3</v>
      </c>
      <c r="K241" t="s">
        <v>1247</v>
      </c>
      <c r="L241" t="s">
        <v>1218</v>
      </c>
    </row>
    <row r="242">
      <c r="A242" t="n">
        <v>2.0305041683886599E-2</v>
      </c>
      <c r="B242" t="n">
        <v>2.29465623765257E-2</v>
      </c>
      <c r="C242" t="n">
        <v>3.1893508731351002E-2</v>
      </c>
      <c r="D242" t="n">
        <v>3.1893508731351002E-2</v>
      </c>
      <c r="E242" t="s">
        <v>1768</v>
      </c>
      <c r="F242" t="s">
        <v>1739</v>
      </c>
      <c r="H242" t="n">
        <v>7.8797512420421007E-3</v>
      </c>
      <c r="J242" t="n">
        <v>7.8797512420421007E-3</v>
      </c>
      <c r="K242" t="s">
        <v>1248</v>
      </c>
      <c r="L242" t="s">
        <v>1218</v>
      </c>
    </row>
    <row r="243">
      <c r="A243" t="n">
        <v>2.0287096358251301E-2</v>
      </c>
      <c r="B243" t="n">
        <v>2.2798980065175601E-2</v>
      </c>
      <c r="C243" t="n">
        <v>3.1810408581062898E-2</v>
      </c>
      <c r="D243" t="n">
        <v>3.1810408581062898E-2</v>
      </c>
      <c r="E243" t="s">
        <v>1769</v>
      </c>
      <c r="F243" t="s">
        <v>1739</v>
      </c>
      <c r="H243" t="n">
        <v>7.8594590588953999E-3</v>
      </c>
      <c r="J243" t="n">
        <v>7.8594590588953999E-3</v>
      </c>
      <c r="K243" t="s">
        <v>1249</v>
      </c>
      <c r="L243" t="s">
        <v>1218</v>
      </c>
    </row>
    <row r="244">
      <c r="A244" t="n">
        <v>2.0271579331879098E-2</v>
      </c>
      <c r="B244" t="n">
        <v>2.2857567238674801E-2</v>
      </c>
      <c r="C244" t="n">
        <v>3.1611362599311098E-2</v>
      </c>
      <c r="D244" t="n">
        <v>3.1611362599311098E-2</v>
      </c>
      <c r="E244" t="s">
        <v>1770</v>
      </c>
      <c r="F244" t="s">
        <v>1739</v>
      </c>
      <c r="H244" t="n">
        <v>7.8108491379678098E-3</v>
      </c>
      <c r="J244" t="n">
        <v>7.8108491379678098E-3</v>
      </c>
      <c r="K244" t="s">
        <v>1250</v>
      </c>
      <c r="L244" t="s">
        <v>1218</v>
      </c>
    </row>
    <row r="245">
      <c r="A245" t="n">
        <v>2.0226750918557398E-2</v>
      </c>
      <c r="B245" t="n">
        <v>2.30078651102898E-2</v>
      </c>
      <c r="C245" t="n">
        <v>3.1895036638032601E-2</v>
      </c>
      <c r="D245" t="n">
        <v>3.1895036638032601E-2</v>
      </c>
      <c r="E245" t="s">
        <v>1771</v>
      </c>
      <c r="F245" t="s">
        <v>1739</v>
      </c>
      <c r="H245" t="n">
        <v>7.8801243293176206E-3</v>
      </c>
      <c r="J245" t="n">
        <v>7.8801243293176206E-3</v>
      </c>
      <c r="K245" t="s">
        <v>1251</v>
      </c>
      <c r="L245" t="s">
        <v>1218</v>
      </c>
    </row>
    <row r="246">
      <c r="A246" t="n">
        <v>2.0229639632362201E-2</v>
      </c>
      <c r="B246" t="n">
        <v>2.2755662461575201E-2</v>
      </c>
      <c r="C246" t="n">
        <v>3.1906732152356301E-2</v>
      </c>
      <c r="D246" t="n">
        <v>3.1906732152356301E-2</v>
      </c>
      <c r="E246" t="s">
        <v>1772</v>
      </c>
      <c r="F246" t="s">
        <v>1739</v>
      </c>
      <c r="H246" t="n">
        <v>7.88298014941358E-3</v>
      </c>
      <c r="J246" t="n">
        <v>7.88298014941358E-3</v>
      </c>
      <c r="K246" t="s">
        <v>1252</v>
      </c>
      <c r="L246" t="s">
        <v>1218</v>
      </c>
    </row>
    <row r="247">
      <c r="A247" t="n">
        <v>2.0196749252488402E-2</v>
      </c>
      <c r="B247" t="n">
        <v>2.2817811468051102E-2</v>
      </c>
      <c r="C247" t="n">
        <v>3.1666344390047098E-2</v>
      </c>
      <c r="D247" t="n">
        <v>3.1666344390047098E-2</v>
      </c>
      <c r="E247" t="s">
        <v>1773</v>
      </c>
      <c r="F247" t="s">
        <v>1739</v>
      </c>
      <c r="H247" t="n">
        <v>7.8242771932854893E-3</v>
      </c>
      <c r="J247" t="n">
        <v>7.8242771932854893E-3</v>
      </c>
      <c r="K247" t="s">
        <v>1253</v>
      </c>
      <c r="L247" t="s">
        <v>1218</v>
      </c>
    </row>
    <row r="248">
      <c r="A248" t="n">
        <v>2.0138226913895701E-2</v>
      </c>
      <c r="B248" t="n">
        <v>2.3174738681931199E-2</v>
      </c>
      <c r="C248" t="n">
        <v>3.1749922428638201E-2</v>
      </c>
      <c r="D248" t="n">
        <v>3.1749922428638201E-2</v>
      </c>
      <c r="E248" t="s">
        <v>1774</v>
      </c>
      <c r="F248" t="s">
        <v>1739</v>
      </c>
      <c r="H248" t="n">
        <v>7.8446882055194199E-3</v>
      </c>
      <c r="J248" t="n">
        <v>7.8446882055194199E-3</v>
      </c>
      <c r="K248" t="s">
        <v>1254</v>
      </c>
      <c r="L248" t="s">
        <v>1218</v>
      </c>
    </row>
    <row r="249">
      <c r="A249" t="n">
        <v>2.0129535533826501E-2</v>
      </c>
      <c r="B249" t="n">
        <v>2.27379267080541E-2</v>
      </c>
      <c r="C249" t="n">
        <v>3.1908648163189397E-2</v>
      </c>
      <c r="D249" t="n">
        <v>3.1908648163189397E-2</v>
      </c>
      <c r="E249" t="s">
        <v>1775</v>
      </c>
      <c r="F249" t="s">
        <v>1739</v>
      </c>
      <c r="H249" t="n">
        <v>7.8834480001659397E-3</v>
      </c>
      <c r="J249" t="n">
        <v>7.8834480001659397E-3</v>
      </c>
      <c r="K249" t="s">
        <v>1255</v>
      </c>
      <c r="L249" t="s">
        <v>1218</v>
      </c>
    </row>
    <row r="250">
      <c r="A250" t="n">
        <v>2.0106884793451098E-2</v>
      </c>
      <c r="B250" t="n">
        <v>2.3093327603912001E-2</v>
      </c>
      <c r="C250" t="n">
        <v>3.1692204125751702E-2</v>
      </c>
      <c r="D250" t="n">
        <v>3.1692204125751702E-2</v>
      </c>
      <c r="E250" t="s">
        <v>1776</v>
      </c>
      <c r="F250" t="s">
        <v>1739</v>
      </c>
      <c r="H250" t="n">
        <v>7.8305926616084598E-3</v>
      </c>
      <c r="J250" t="n">
        <v>7.8305926616084598E-3</v>
      </c>
      <c r="K250" t="s">
        <v>1256</v>
      </c>
      <c r="L250" t="s">
        <v>1218</v>
      </c>
    </row>
    <row r="251">
      <c r="A251" t="n">
        <v>2.0037252982960399E-2</v>
      </c>
      <c r="B251" t="n">
        <v>2.2853757020905099E-2</v>
      </c>
      <c r="C251" t="n">
        <v>3.1763978164364597E-2</v>
      </c>
      <c r="D251" t="n">
        <v>3.1763978164364597E-2</v>
      </c>
      <c r="E251" t="s">
        <v>1777</v>
      </c>
      <c r="F251" t="s">
        <v>1739</v>
      </c>
      <c r="H251" t="n">
        <v>7.8481207054677E-3</v>
      </c>
      <c r="J251" t="n">
        <v>7.8481207054677E-3</v>
      </c>
      <c r="K251" t="s">
        <v>1257</v>
      </c>
      <c r="L251" t="s">
        <v>1218</v>
      </c>
    </row>
    <row r="252">
      <c r="A252" t="n">
        <v>2.0056022895238401E-2</v>
      </c>
      <c r="B252" t="n">
        <v>2.2713969923905002E-2</v>
      </c>
      <c r="C252" t="n">
        <v>3.17278315390737E-2</v>
      </c>
      <c r="D252" t="n">
        <v>3.17278315390737E-2</v>
      </c>
      <c r="E252" t="s">
        <v>1778</v>
      </c>
      <c r="F252" t="s">
        <v>1739</v>
      </c>
      <c r="H252" t="n">
        <v>7.8392933990876195E-3</v>
      </c>
      <c r="J252" t="n">
        <v>7.8392933990876195E-3</v>
      </c>
      <c r="K252" t="s">
        <v>1258</v>
      </c>
      <c r="L252" t="s">
        <v>1218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2023-02-23T16:21:33Z</dcterms:modified>
  <cp:category/>
  <cp:contentStatus/>
</cp:coreProperties>
</file>