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8_{693CDE9E-8FEA-442F-AC82-1628247A401A}" xr6:coauthVersionLast="47" xr6:coauthVersionMax="47" xr10:uidLastSave="{00000000-0000-0000-0000-000000000000}"/>
  <bookViews>
    <workbookView xWindow="30090" yWindow="870" windowWidth="26100" windowHeight="13380"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50" l="1"/>
  <c r="M8" i="50"/>
  <c r="M7" i="50"/>
  <c r="M6" i="50"/>
  <c r="M5" i="50"/>
  <c r="M4" i="50"/>
  <c r="M3" i="50"/>
  <c r="M2" i="50"/>
  <c r="E4" i="46"/>
  <c r="E5" i="46"/>
  <c r="E6" i="46"/>
  <c r="E7" i="46"/>
  <c r="E8" i="46"/>
  <c r="E9" i="46"/>
  <c r="F9" i="46" s="1"/>
  <c r="G9" i="46" s="1"/>
  <c r="E10" i="46"/>
  <c r="E11" i="46"/>
  <c r="E12" i="46"/>
  <c r="E13" i="46"/>
  <c r="E14" i="46"/>
  <c r="E15" i="46"/>
  <c r="E16" i="46"/>
  <c r="E17" i="46"/>
  <c r="F17" i="46" s="1"/>
  <c r="G17" i="46" s="1"/>
  <c r="E18" i="46"/>
  <c r="E19" i="46"/>
  <c r="E20" i="46"/>
  <c r="E21" i="46"/>
  <c r="E22" i="46"/>
  <c r="E23" i="46"/>
  <c r="E24" i="46"/>
  <c r="E25" i="46"/>
  <c r="F25" i="46" s="1"/>
  <c r="G25" i="46" s="1"/>
  <c r="E26" i="46"/>
  <c r="E27" i="46"/>
  <c r="F27" i="46" s="1"/>
  <c r="G27" i="46" s="1"/>
  <c r="E28" i="46"/>
  <c r="E29" i="46"/>
  <c r="E30" i="46"/>
  <c r="E31" i="46"/>
  <c r="E32" i="46"/>
  <c r="E33" i="46"/>
  <c r="F33" i="46" s="1"/>
  <c r="G33" i="46" s="1"/>
  <c r="E34" i="46"/>
  <c r="E35" i="46"/>
  <c r="F35" i="46" s="1"/>
  <c r="G35" i="46" s="1"/>
  <c r="E36" i="46"/>
  <c r="E37" i="46"/>
  <c r="E38" i="46"/>
  <c r="E39" i="46"/>
  <c r="E40" i="46"/>
  <c r="E41" i="46"/>
  <c r="F41" i="46" s="1"/>
  <c r="G41" i="46" s="1"/>
  <c r="E42" i="46"/>
  <c r="E43" i="46"/>
  <c r="F43" i="46" s="1"/>
  <c r="G43" i="46" s="1"/>
  <c r="E44" i="46"/>
  <c r="E45" i="46"/>
  <c r="E46" i="46"/>
  <c r="E47" i="46"/>
  <c r="E48" i="46"/>
  <c r="E49" i="46"/>
  <c r="F49" i="46" s="1"/>
  <c r="G49" i="46" s="1"/>
  <c r="E50" i="46"/>
  <c r="E51" i="46"/>
  <c r="F51" i="46" s="1"/>
  <c r="G51" i="46" s="1"/>
  <c r="E52" i="46"/>
  <c r="E53" i="46"/>
  <c r="E54" i="46"/>
  <c r="E55" i="46"/>
  <c r="E56" i="46"/>
  <c r="E57" i="46"/>
  <c r="F57" i="46" s="1"/>
  <c r="E58" i="46"/>
  <c r="E59" i="46"/>
  <c r="F59" i="46" s="1"/>
  <c r="G59" i="46" s="1"/>
  <c r="E60" i="46"/>
  <c r="E61" i="46"/>
  <c r="E62" i="46"/>
  <c r="E63" i="46"/>
  <c r="E64" i="46"/>
  <c r="E65" i="46"/>
  <c r="F65" i="46" s="1"/>
  <c r="G65" i="46" s="1"/>
  <c r="E66" i="46"/>
  <c r="E67" i="46"/>
  <c r="F67" i="46" s="1"/>
  <c r="G67" i="46" s="1"/>
  <c r="E68" i="46"/>
  <c r="E69" i="46"/>
  <c r="E70" i="46"/>
  <c r="E71" i="46"/>
  <c r="E72" i="46"/>
  <c r="E73" i="46"/>
  <c r="F73" i="46" s="1"/>
  <c r="G73" i="46" s="1"/>
  <c r="E74" i="46"/>
  <c r="E75" i="46"/>
  <c r="F75" i="46" s="1"/>
  <c r="G75" i="46" s="1"/>
  <c r="E76" i="46"/>
  <c r="E77" i="46"/>
  <c r="E78" i="46"/>
  <c r="E79" i="46"/>
  <c r="E80" i="46"/>
  <c r="E81" i="46"/>
  <c r="E3" i="46"/>
  <c r="F19" i="46"/>
  <c r="G19" i="46" s="1"/>
  <c r="F11" i="46"/>
  <c r="G11" i="46" s="1"/>
  <c r="T37" i="70"/>
  <c r="T36" i="70"/>
  <c r="T35" i="70"/>
  <c r="T34" i="70"/>
  <c r="T33" i="70"/>
  <c r="T12" i="70" s="1"/>
  <c r="T122" i="48"/>
  <c r="T121" i="48"/>
  <c r="T18" i="48"/>
  <c r="T15" i="48"/>
  <c r="T13" i="48"/>
  <c r="T27" i="48"/>
  <c r="T10" i="48"/>
  <c r="T26" i="48"/>
  <c r="T25" i="48"/>
  <c r="T24" i="48"/>
  <c r="T118" i="48"/>
  <c r="T117" i="48"/>
  <c r="T116" i="48"/>
  <c r="T115" i="48"/>
  <c r="T114" i="48"/>
  <c r="T113" i="48"/>
  <c r="T112" i="48"/>
  <c r="T79" i="59"/>
  <c r="T78" i="59"/>
  <c r="T76" i="59"/>
  <c r="T75" i="59"/>
  <c r="T74" i="59"/>
  <c r="T65" i="59"/>
  <c r="T64" i="59"/>
  <c r="T63" i="59"/>
  <c r="T21" i="59"/>
  <c r="T12" i="59"/>
  <c r="T10" i="29"/>
  <c r="T9" i="29"/>
  <c r="T11" i="33"/>
  <c r="T10" i="33"/>
  <c r="T32" i="49"/>
  <c r="T12" i="49"/>
  <c r="T11" i="49"/>
  <c r="T10" i="49"/>
  <c r="T23" i="30"/>
  <c r="T22" i="30"/>
  <c r="T21" i="30"/>
  <c r="T20" i="30"/>
  <c r="T19" i="30"/>
  <c r="T18" i="30"/>
  <c r="T17" i="30"/>
  <c r="T16" i="30"/>
  <c r="T14" i="30"/>
  <c r="T11" i="30"/>
  <c r="T35" i="20"/>
  <c r="T32" i="20"/>
  <c r="T13" i="20"/>
  <c r="T12" i="20"/>
  <c r="T93" i="26"/>
  <c r="T20" i="26"/>
  <c r="T19" i="26"/>
  <c r="T17" i="26"/>
  <c r="T16" i="26"/>
  <c r="T15" i="26"/>
  <c r="T14" i="26"/>
  <c r="T13" i="26"/>
  <c r="T11" i="26"/>
  <c r="T10" i="26"/>
  <c r="T9" i="26"/>
  <c r="T13" i="25"/>
  <c r="T20" i="25" s="1"/>
  <c r="T19" i="25" s="1"/>
  <c r="T18" i="25"/>
  <c r="T17" i="25"/>
  <c r="T16" i="25"/>
  <c r="T15" i="25"/>
  <c r="T14" i="25"/>
  <c r="T12" i="25"/>
  <c r="T11" i="25"/>
  <c r="T17" i="40"/>
  <c r="T16" i="40"/>
  <c r="T15" i="40"/>
  <c r="T14" i="40"/>
  <c r="T13" i="40"/>
  <c r="T12" i="40"/>
  <c r="T11" i="40"/>
  <c r="Z30" i="72"/>
  <c r="Z8" i="72" s="1"/>
  <c r="Z46" i="72" s="1"/>
  <c r="D31" i="72"/>
  <c r="E31" i="72"/>
  <c r="F31" i="72"/>
  <c r="G31" i="72"/>
  <c r="H31" i="72"/>
  <c r="I31" i="72"/>
  <c r="J31" i="72"/>
  <c r="K31" i="72"/>
  <c r="L31" i="72"/>
  <c r="M31" i="72"/>
  <c r="N31" i="72"/>
  <c r="O31" i="72"/>
  <c r="P31" i="72"/>
  <c r="Q31" i="72"/>
  <c r="R31" i="72"/>
  <c r="S31" i="72"/>
  <c r="T31" i="72"/>
  <c r="U31" i="72"/>
  <c r="V31" i="72"/>
  <c r="W31" i="72"/>
  <c r="X31" i="72"/>
  <c r="Y31" i="72"/>
  <c r="D32" i="72"/>
  <c r="E32" i="72"/>
  <c r="F32" i="72"/>
  <c r="G32" i="72"/>
  <c r="H32" i="72"/>
  <c r="I32" i="72"/>
  <c r="J32" i="72"/>
  <c r="K32" i="72"/>
  <c r="L32" i="72"/>
  <c r="M32" i="72"/>
  <c r="N32" i="72"/>
  <c r="O32" i="72"/>
  <c r="P32" i="72"/>
  <c r="Q32" i="72"/>
  <c r="R32" i="72"/>
  <c r="S32" i="72"/>
  <c r="T32" i="72"/>
  <c r="U32" i="72"/>
  <c r="V32" i="72"/>
  <c r="W32" i="72"/>
  <c r="X32" i="72"/>
  <c r="Y32" i="72"/>
  <c r="D33" i="72"/>
  <c r="E33" i="72"/>
  <c r="F33" i="72"/>
  <c r="G33" i="72"/>
  <c r="H33" i="72"/>
  <c r="I33" i="72"/>
  <c r="J33" i="72"/>
  <c r="K33" i="72"/>
  <c r="L33" i="72"/>
  <c r="M33" i="72"/>
  <c r="N33" i="72"/>
  <c r="O33" i="72"/>
  <c r="P33" i="72"/>
  <c r="Q33" i="72"/>
  <c r="R33" i="72"/>
  <c r="S33" i="72"/>
  <c r="T33" i="72"/>
  <c r="U33" i="72"/>
  <c r="V33" i="72"/>
  <c r="W33" i="72"/>
  <c r="X33" i="72"/>
  <c r="Y33" i="72"/>
  <c r="D34" i="72"/>
  <c r="E34" i="72"/>
  <c r="F34" i="72"/>
  <c r="G34" i="72"/>
  <c r="H34" i="72"/>
  <c r="I34" i="72"/>
  <c r="J34" i="72"/>
  <c r="K34" i="72"/>
  <c r="L34" i="72"/>
  <c r="M34" i="72"/>
  <c r="N34" i="72"/>
  <c r="O34" i="72"/>
  <c r="P34" i="72"/>
  <c r="Q34" i="72"/>
  <c r="R34" i="72"/>
  <c r="S34" i="72"/>
  <c r="T34" i="72"/>
  <c r="U34" i="72"/>
  <c r="V34" i="72"/>
  <c r="W34" i="72"/>
  <c r="X34" i="72"/>
  <c r="Y34" i="72"/>
  <c r="D36" i="72"/>
  <c r="E36" i="72"/>
  <c r="F36" i="72"/>
  <c r="G36" i="72"/>
  <c r="H36" i="72"/>
  <c r="I36" i="72"/>
  <c r="J36" i="72"/>
  <c r="K36" i="72"/>
  <c r="L36" i="72"/>
  <c r="M36" i="72"/>
  <c r="N36" i="72"/>
  <c r="O36" i="72"/>
  <c r="P36" i="72"/>
  <c r="Q36" i="72"/>
  <c r="R36" i="72"/>
  <c r="S36" i="72"/>
  <c r="T36" i="72"/>
  <c r="U36" i="72"/>
  <c r="V36" i="72"/>
  <c r="W36" i="72"/>
  <c r="X36" i="72"/>
  <c r="Y36" i="72"/>
  <c r="D37" i="72"/>
  <c r="E37" i="72"/>
  <c r="F37" i="72"/>
  <c r="G37" i="72"/>
  <c r="H37" i="72"/>
  <c r="I37" i="72"/>
  <c r="J37" i="72"/>
  <c r="K37" i="72"/>
  <c r="L37" i="72"/>
  <c r="M37" i="72"/>
  <c r="N37" i="72"/>
  <c r="O37" i="72"/>
  <c r="P37" i="72"/>
  <c r="Q37" i="72"/>
  <c r="R37" i="72"/>
  <c r="S37" i="72"/>
  <c r="T37" i="72"/>
  <c r="U37" i="72"/>
  <c r="V37" i="72"/>
  <c r="W37" i="72"/>
  <c r="X37" i="72"/>
  <c r="Y37" i="72"/>
  <c r="D38" i="72"/>
  <c r="E38" i="72"/>
  <c r="F38" i="72"/>
  <c r="G38" i="72"/>
  <c r="H38" i="72"/>
  <c r="I38" i="72"/>
  <c r="J38" i="72"/>
  <c r="K38" i="72"/>
  <c r="L38" i="72"/>
  <c r="M38" i="72"/>
  <c r="N38" i="72"/>
  <c r="O38" i="72"/>
  <c r="P38" i="72"/>
  <c r="Q38" i="72"/>
  <c r="R38" i="72"/>
  <c r="S38" i="72"/>
  <c r="T38" i="72"/>
  <c r="U38" i="72"/>
  <c r="V38" i="72"/>
  <c r="W38" i="72"/>
  <c r="X38" i="72"/>
  <c r="Y38" i="72"/>
  <c r="D39" i="72"/>
  <c r="E39" i="72"/>
  <c r="F39" i="72"/>
  <c r="G39" i="72"/>
  <c r="H39" i="72"/>
  <c r="I39" i="72"/>
  <c r="J39" i="72"/>
  <c r="K39" i="72"/>
  <c r="L39" i="72"/>
  <c r="M39" i="72"/>
  <c r="N39" i="72"/>
  <c r="O39" i="72"/>
  <c r="P39" i="72"/>
  <c r="Q39" i="72"/>
  <c r="R39" i="72"/>
  <c r="S39" i="72"/>
  <c r="T39" i="72"/>
  <c r="U39" i="72"/>
  <c r="V39" i="72"/>
  <c r="W39" i="72"/>
  <c r="X39" i="72"/>
  <c r="Y39" i="72"/>
  <c r="D40" i="72"/>
  <c r="E40" i="72"/>
  <c r="F40" i="72"/>
  <c r="G40" i="72"/>
  <c r="H40" i="72"/>
  <c r="I40" i="72"/>
  <c r="J40" i="72"/>
  <c r="K40" i="72"/>
  <c r="L40" i="72"/>
  <c r="M40" i="72"/>
  <c r="N40" i="72"/>
  <c r="O40" i="72"/>
  <c r="P40" i="72"/>
  <c r="Q40" i="72"/>
  <c r="R40" i="72"/>
  <c r="S40" i="72"/>
  <c r="T40" i="72"/>
  <c r="U40" i="72"/>
  <c r="V40" i="72"/>
  <c r="W40" i="72"/>
  <c r="X40" i="72"/>
  <c r="Y40" i="72"/>
  <c r="N30" i="72"/>
  <c r="O30" i="72"/>
  <c r="P30" i="72"/>
  <c r="Q30" i="72"/>
  <c r="R30" i="72"/>
  <c r="S30" i="72"/>
  <c r="T30" i="72"/>
  <c r="U30" i="72"/>
  <c r="V30" i="72"/>
  <c r="W30" i="72"/>
  <c r="X30" i="72"/>
  <c r="Y30" i="72"/>
  <c r="E30" i="72"/>
  <c r="F30" i="72"/>
  <c r="G30" i="72"/>
  <c r="H30" i="72"/>
  <c r="I30" i="72"/>
  <c r="J30" i="72"/>
  <c r="K30" i="72"/>
  <c r="L30" i="72"/>
  <c r="M30" i="72"/>
  <c r="D30" i="72"/>
  <c r="Y46" i="72"/>
  <c r="X46" i="72"/>
  <c r="W46" i="72"/>
  <c r="V46" i="72"/>
  <c r="U46" i="72"/>
  <c r="T46" i="72"/>
  <c r="S46" i="72"/>
  <c r="T13" i="70"/>
  <c r="T19" i="70" s="1"/>
  <c r="C3" i="71" s="1"/>
  <c r="T12"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20"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4" i="48"/>
  <c r="AB154" i="48"/>
  <c r="AA154" i="48"/>
  <c r="Z154" i="48"/>
  <c r="Y154" i="48"/>
  <c r="X154" i="48"/>
  <c r="W154" i="48"/>
  <c r="V154" i="48"/>
  <c r="U154" i="48"/>
  <c r="T154" i="48"/>
  <c r="T146" i="48" s="1"/>
  <c r="U146" i="48" s="1"/>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T143" i="48" s="1"/>
  <c r="S151" i="48"/>
  <c r="R151" i="48"/>
  <c r="Q151" i="48"/>
  <c r="P151" i="48"/>
  <c r="O151" i="48"/>
  <c r="N151" i="48"/>
  <c r="M151" i="48"/>
  <c r="L151" i="48"/>
  <c r="K151" i="48"/>
  <c r="J151" i="48"/>
  <c r="I151" i="48"/>
  <c r="H151" i="48"/>
  <c r="G151" i="48"/>
  <c r="T145" i="48"/>
  <c r="U145" i="48" s="1"/>
  <c r="T144" i="48"/>
  <c r="S142" i="48"/>
  <c r="R142" i="48"/>
  <c r="Q142" i="48"/>
  <c r="P142" i="48"/>
  <c r="O142" i="48"/>
  <c r="N142" i="48"/>
  <c r="M142" i="48"/>
  <c r="L142" i="48"/>
  <c r="K142" i="48"/>
  <c r="J142" i="48"/>
  <c r="I142" i="48"/>
  <c r="H142" i="48"/>
  <c r="G142" i="48"/>
  <c r="F142" i="48"/>
  <c r="P133" i="48"/>
  <c r="S118" i="48"/>
  <c r="R118" i="48"/>
  <c r="R136" i="48" s="1"/>
  <c r="Q118" i="48"/>
  <c r="P118" i="48"/>
  <c r="Q136" i="48" s="1"/>
  <c r="O118" i="48"/>
  <c r="O136" i="48" s="1"/>
  <c r="N118" i="48"/>
  <c r="N136" i="48" s="1"/>
  <c r="M118" i="48"/>
  <c r="M136" i="48" s="1"/>
  <c r="L118" i="48"/>
  <c r="K118" i="48"/>
  <c r="J118" i="48"/>
  <c r="J136" i="48" s="1"/>
  <c r="I118" i="48"/>
  <c r="I136" i="48" s="1"/>
  <c r="H118" i="48"/>
  <c r="G118" i="48"/>
  <c r="G136" i="48" s="1"/>
  <c r="F118" i="48"/>
  <c r="S117" i="48"/>
  <c r="S135" i="48" s="1"/>
  <c r="R117" i="48"/>
  <c r="Q117" i="48"/>
  <c r="P117" i="48"/>
  <c r="P135" i="48" s="1"/>
  <c r="O117" i="48"/>
  <c r="N117" i="48"/>
  <c r="N135" i="48" s="1"/>
  <c r="M117" i="48"/>
  <c r="M135" i="48" s="1"/>
  <c r="L117" i="48"/>
  <c r="L135" i="48" s="1"/>
  <c r="K117" i="48"/>
  <c r="K135" i="48" s="1"/>
  <c r="J117" i="48"/>
  <c r="I117" i="48"/>
  <c r="H117" i="48"/>
  <c r="H135" i="48" s="1"/>
  <c r="G117" i="48"/>
  <c r="F117" i="48"/>
  <c r="R116" i="48"/>
  <c r="R134" i="48" s="1"/>
  <c r="S115" i="48"/>
  <c r="S133" i="48" s="1"/>
  <c r="R115" i="48"/>
  <c r="R133" i="48" s="1"/>
  <c r="Q115" i="48"/>
  <c r="P115" i="48"/>
  <c r="O115" i="48"/>
  <c r="N115" i="48"/>
  <c r="M115" i="48"/>
  <c r="M133" i="48" s="1"/>
  <c r="L115" i="48"/>
  <c r="K115" i="48"/>
  <c r="J115" i="48"/>
  <c r="J133" i="48" s="1"/>
  <c r="I115" i="48"/>
  <c r="H115" i="48"/>
  <c r="H133" i="48" s="1"/>
  <c r="G115" i="48"/>
  <c r="F115" i="48"/>
  <c r="S114" i="48"/>
  <c r="S132" i="48" s="1"/>
  <c r="R114" i="48"/>
  <c r="Q114" i="48"/>
  <c r="P114" i="48"/>
  <c r="P132" i="48" s="1"/>
  <c r="O114" i="48"/>
  <c r="N114" i="48"/>
  <c r="N132" i="48" s="1"/>
  <c r="M114" i="48"/>
  <c r="L114" i="48"/>
  <c r="K114" i="48"/>
  <c r="K132" i="48" s="1"/>
  <c r="J114" i="48"/>
  <c r="I114" i="48"/>
  <c r="H114" i="48"/>
  <c r="H132" i="48" s="1"/>
  <c r="G114" i="48"/>
  <c r="F114" i="48"/>
  <c r="S113" i="48"/>
  <c r="R113" i="48"/>
  <c r="Q113" i="48"/>
  <c r="Q131" i="48" s="1"/>
  <c r="P113" i="48"/>
  <c r="O113" i="48"/>
  <c r="N113" i="48"/>
  <c r="N131" i="48" s="1"/>
  <c r="M113" i="48"/>
  <c r="L113" i="48"/>
  <c r="K113" i="48"/>
  <c r="J113" i="48"/>
  <c r="I113" i="48"/>
  <c r="I131" i="48" s="1"/>
  <c r="H113" i="48"/>
  <c r="G113" i="48"/>
  <c r="F113" i="48"/>
  <c r="S112" i="48"/>
  <c r="R112" i="48"/>
  <c r="Q112" i="48"/>
  <c r="Q116" i="48" s="1"/>
  <c r="P112" i="48"/>
  <c r="O112" i="48"/>
  <c r="O116" i="48" s="1"/>
  <c r="N112" i="48"/>
  <c r="N116" i="48" s="1"/>
  <c r="M112" i="48"/>
  <c r="L112" i="48"/>
  <c r="L116" i="48" s="1"/>
  <c r="K112" i="48"/>
  <c r="J112" i="48"/>
  <c r="J116" i="48" s="1"/>
  <c r="I112" i="48"/>
  <c r="I116" i="48" s="1"/>
  <c r="H112" i="48"/>
  <c r="G112" i="48"/>
  <c r="G116" i="48" s="1"/>
  <c r="F112" i="48"/>
  <c r="F116" i="48" s="1"/>
  <c r="AC93" i="48"/>
  <c r="AB93" i="48"/>
  <c r="AA93" i="48"/>
  <c r="AA150" i="48" s="1"/>
  <c r="Z93" i="48"/>
  <c r="Y93" i="48"/>
  <c r="Y150" i="48" s="1"/>
  <c r="X93" i="48"/>
  <c r="W93" i="48"/>
  <c r="V93" i="48"/>
  <c r="V150" i="48" s="1"/>
  <c r="U93" i="48"/>
  <c r="T93" i="48"/>
  <c r="S93" i="48"/>
  <c r="S150" i="48" s="1"/>
  <c r="R93" i="48"/>
  <c r="Q93" i="48"/>
  <c r="Q150" i="48" s="1"/>
  <c r="P93" i="48"/>
  <c r="O93" i="48"/>
  <c r="N93" i="48"/>
  <c r="N150" i="48" s="1"/>
  <c r="M93" i="48"/>
  <c r="L93" i="48"/>
  <c r="K93" i="48"/>
  <c r="K150" i="48" s="1"/>
  <c r="J93" i="48"/>
  <c r="I93" i="48"/>
  <c r="I150" i="48" s="1"/>
  <c r="H93" i="48"/>
  <c r="G93" i="48"/>
  <c r="F93" i="48"/>
  <c r="J80" i="48"/>
  <c r="I80" i="48"/>
  <c r="H80" i="48"/>
  <c r="G80" i="48"/>
  <c r="F80" i="48"/>
  <c r="E80" i="48"/>
  <c r="E88" i="48" s="1"/>
  <c r="H79" i="48"/>
  <c r="L78" i="48"/>
  <c r="K78" i="48"/>
  <c r="J78" i="48"/>
  <c r="I78" i="48"/>
  <c r="H78" i="48"/>
  <c r="G78" i="48"/>
  <c r="F78" i="48"/>
  <c r="E78" i="48"/>
  <c r="L77" i="48"/>
  <c r="K77" i="48"/>
  <c r="J77" i="48"/>
  <c r="I77" i="48"/>
  <c r="H77" i="48"/>
  <c r="G77" i="48"/>
  <c r="F77" i="48"/>
  <c r="F85" i="48" s="1"/>
  <c r="E77" i="48"/>
  <c r="E85" i="48" s="1"/>
  <c r="H65" i="48"/>
  <c r="F65" i="48"/>
  <c r="E65" i="48"/>
  <c r="H64" i="48"/>
  <c r="F63" i="48"/>
  <c r="E63" i="48"/>
  <c r="F62" i="48"/>
  <c r="E62" i="48"/>
  <c r="H58" i="48"/>
  <c r="H57" i="48"/>
  <c r="H56" i="48"/>
  <c r="H63" i="48" s="1"/>
  <c r="H55" i="48"/>
  <c r="H62" i="48" s="1"/>
  <c r="L52" i="48"/>
  <c r="L80" i="48" s="1"/>
  <c r="K52" i="48"/>
  <c r="L50" i="48"/>
  <c r="L49" i="48" s="1"/>
  <c r="L79" i="48" s="1"/>
  <c r="K50" i="48"/>
  <c r="K49" i="48" s="1"/>
  <c r="K79" i="48" s="1"/>
  <c r="J49" i="48"/>
  <c r="J79" i="48" s="1"/>
  <c r="I49" i="48"/>
  <c r="I79" i="48" s="1"/>
  <c r="H49" i="48"/>
  <c r="G49" i="48"/>
  <c r="G79" i="48" s="1"/>
  <c r="F49" i="48"/>
  <c r="E49" i="48"/>
  <c r="E79" i="48" s="1"/>
  <c r="I37" i="48"/>
  <c r="I58" i="48" s="1"/>
  <c r="I65" i="48" s="1"/>
  <c r="I36" i="48"/>
  <c r="I35" i="48"/>
  <c r="J35" i="48" s="1"/>
  <c r="K35" i="48" s="1"/>
  <c r="I34" i="48"/>
  <c r="I55" i="48" s="1"/>
  <c r="I62" i="48" s="1"/>
  <c r="S27" i="48"/>
  <c r="S123" i="48" s="1"/>
  <c r="T123" i="48" s="1"/>
  <c r="R27" i="48"/>
  <c r="Q27" i="48"/>
  <c r="Q123" i="48" s="1"/>
  <c r="P27" i="48"/>
  <c r="O27" i="48"/>
  <c r="N27" i="48"/>
  <c r="N123" i="48" s="1"/>
  <c r="M27" i="48"/>
  <c r="M123" i="48" s="1"/>
  <c r="L27" i="48"/>
  <c r="L123" i="48" s="1"/>
  <c r="K27" i="48"/>
  <c r="K123" i="48" s="1"/>
  <c r="J27" i="48"/>
  <c r="I27" i="48"/>
  <c r="I123" i="48" s="1"/>
  <c r="H27" i="48"/>
  <c r="G27" i="48"/>
  <c r="F27" i="48"/>
  <c r="F123" i="48" s="1"/>
  <c r="S26" i="48"/>
  <c r="S122" i="48" s="1"/>
  <c r="R26" i="48"/>
  <c r="R122" i="48" s="1"/>
  <c r="Q26" i="48"/>
  <c r="Q122" i="48" s="1"/>
  <c r="P26" i="48"/>
  <c r="O26" i="48"/>
  <c r="O122" i="48" s="1"/>
  <c r="N26" i="48"/>
  <c r="M26" i="48"/>
  <c r="L26" i="48"/>
  <c r="L122" i="48" s="1"/>
  <c r="K26" i="48"/>
  <c r="K122" i="48" s="1"/>
  <c r="J26" i="48"/>
  <c r="J122" i="48" s="1"/>
  <c r="I26" i="48"/>
  <c r="I122" i="48" s="1"/>
  <c r="H26" i="48"/>
  <c r="G26" i="48"/>
  <c r="G122" i="48" s="1"/>
  <c r="F26" i="48"/>
  <c r="S25" i="48"/>
  <c r="R25" i="48"/>
  <c r="Q25" i="48"/>
  <c r="Q121" i="48" s="1"/>
  <c r="P25" i="48"/>
  <c r="O25" i="48"/>
  <c r="N25" i="48"/>
  <c r="M25" i="48"/>
  <c r="L25" i="48"/>
  <c r="K25" i="48"/>
  <c r="J25" i="48"/>
  <c r="I25" i="48"/>
  <c r="I121" i="48" s="1"/>
  <c r="H25" i="48"/>
  <c r="G25" i="48"/>
  <c r="F25" i="48"/>
  <c r="S24" i="48"/>
  <c r="R24" i="48"/>
  <c r="R22" i="48" s="1"/>
  <c r="Q24" i="48"/>
  <c r="Q22" i="48" s="1"/>
  <c r="P24" i="48"/>
  <c r="P22" i="48" s="1"/>
  <c r="O24" i="48"/>
  <c r="O22" i="48" s="1"/>
  <c r="N24" i="48"/>
  <c r="M24" i="48"/>
  <c r="L24" i="48"/>
  <c r="K24" i="48"/>
  <c r="J24" i="48"/>
  <c r="I24" i="48"/>
  <c r="I22" i="48" s="1"/>
  <c r="H24" i="48"/>
  <c r="G24" i="48"/>
  <c r="F24" i="48"/>
  <c r="N22" i="48"/>
  <c r="L22" i="48"/>
  <c r="J22" i="48"/>
  <c r="G22" i="48"/>
  <c r="F22" i="48"/>
  <c r="Y20" i="48"/>
  <c r="X20" i="48"/>
  <c r="S20" i="48"/>
  <c r="S18" i="48"/>
  <c r="S108" i="48" s="1"/>
  <c r="T108" i="48" s="1"/>
  <c r="U108" i="48" s="1"/>
  <c r="V108" i="48" s="1"/>
  <c r="W108" i="48" s="1"/>
  <c r="X108" i="48" s="1"/>
  <c r="Y108" i="48" s="1"/>
  <c r="Z108" i="48" s="1"/>
  <c r="AA108" i="48" s="1"/>
  <c r="AB108" i="48" s="1"/>
  <c r="AC108" i="48" s="1"/>
  <c r="R18" i="48"/>
  <c r="R108" i="48" s="1"/>
  <c r="Q18" i="48"/>
  <c r="Q108" i="48" s="1"/>
  <c r="P18" i="48"/>
  <c r="O18" i="48"/>
  <c r="N18" i="48"/>
  <c r="N108" i="48" s="1"/>
  <c r="I88" i="48" s="1"/>
  <c r="J88" i="48" s="1"/>
  <c r="K88" i="48" s="1"/>
  <c r="L88" i="48" s="1"/>
  <c r="M18" i="48"/>
  <c r="M108" i="48" s="1"/>
  <c r="H88" i="48" s="1"/>
  <c r="L18" i="48"/>
  <c r="L108" i="48" s="1"/>
  <c r="K18" i="48"/>
  <c r="K108" i="48" s="1"/>
  <c r="J18" i="48"/>
  <c r="J108" i="48" s="1"/>
  <c r="I18" i="48"/>
  <c r="I108" i="48" s="1"/>
  <c r="H18" i="48"/>
  <c r="G18" i="48"/>
  <c r="F18" i="48"/>
  <c r="AC17" i="48"/>
  <c r="AB17" i="48"/>
  <c r="AA17" i="48"/>
  <c r="Z17" i="48"/>
  <c r="Y17" i="48"/>
  <c r="X17" i="48"/>
  <c r="W17" i="48"/>
  <c r="V17" i="48"/>
  <c r="U17" i="48"/>
  <c r="T17" i="48"/>
  <c r="S17" i="48"/>
  <c r="S15" i="48"/>
  <c r="R15" i="48"/>
  <c r="R107" i="48" s="1"/>
  <c r="Q15" i="48"/>
  <c r="Q107" i="48" s="1"/>
  <c r="P15" i="48"/>
  <c r="O15" i="48"/>
  <c r="O107" i="48" s="1"/>
  <c r="N15" i="48"/>
  <c r="M15" i="48"/>
  <c r="L15" i="48"/>
  <c r="L107" i="48" s="1"/>
  <c r="K15" i="48"/>
  <c r="K107" i="48" s="1"/>
  <c r="J15" i="48"/>
  <c r="J107" i="48" s="1"/>
  <c r="I15" i="48"/>
  <c r="I107" i="48" s="1"/>
  <c r="H15" i="48"/>
  <c r="G15" i="48"/>
  <c r="F15" i="48"/>
  <c r="S13" i="48"/>
  <c r="R13" i="48"/>
  <c r="Q13" i="48"/>
  <c r="P13" i="48"/>
  <c r="O13" i="48"/>
  <c r="N13" i="48"/>
  <c r="M13" i="48"/>
  <c r="L13" i="48"/>
  <c r="L106" i="48" s="1"/>
  <c r="K13" i="48"/>
  <c r="J13" i="48"/>
  <c r="I13" i="48"/>
  <c r="H13" i="48"/>
  <c r="G13" i="48"/>
  <c r="G9" i="48" s="1"/>
  <c r="F13" i="48"/>
  <c r="AC12" i="48"/>
  <c r="AB12" i="48"/>
  <c r="AA12" i="48"/>
  <c r="Z12" i="48"/>
  <c r="Y12" i="48"/>
  <c r="X12" i="48"/>
  <c r="S12" i="48"/>
  <c r="S10" i="48"/>
  <c r="R10" i="48"/>
  <c r="Q10" i="48"/>
  <c r="P10" i="48"/>
  <c r="P9" i="48" s="1"/>
  <c r="O10" i="48"/>
  <c r="N10" i="48"/>
  <c r="M10" i="48"/>
  <c r="L10" i="48"/>
  <c r="L9" i="48" s="1"/>
  <c r="K10" i="48"/>
  <c r="J10" i="48"/>
  <c r="I10" i="48"/>
  <c r="H10" i="48"/>
  <c r="H9" i="48" s="1"/>
  <c r="G10" i="48"/>
  <c r="F10" i="48"/>
  <c r="R9" i="48"/>
  <c r="O9" i="48"/>
  <c r="F9" i="48"/>
  <c r="E85" i="59"/>
  <c r="E89" i="59" s="1"/>
  <c r="D85" i="59"/>
  <c r="D89" i="59" s="1"/>
  <c r="F82" i="59"/>
  <c r="G82" i="59" s="1"/>
  <c r="S78" i="59"/>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N42" i="62"/>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U11" i="33"/>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U23" i="30" s="1"/>
  <c r="V23" i="30" s="1"/>
  <c r="W23" i="30" s="1"/>
  <c r="X23" i="30" s="1"/>
  <c r="Y23" i="30" s="1"/>
  <c r="Z23" i="30" s="1"/>
  <c r="AA23" i="30" s="1"/>
  <c r="AB23" i="30" s="1"/>
  <c r="AC23" i="30" s="1"/>
  <c r="R23" i="30"/>
  <c r="Q23" i="30"/>
  <c r="P23" i="30"/>
  <c r="O23" i="30"/>
  <c r="N23" i="30"/>
  <c r="S22" i="30"/>
  <c r="R22" i="30"/>
  <c r="Q22" i="30"/>
  <c r="P22" i="30"/>
  <c r="O22" i="30"/>
  <c r="N22" i="30"/>
  <c r="S21" i="30"/>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S19" i="30"/>
  <c r="R19" i="30"/>
  <c r="Q19" i="30"/>
  <c r="P19" i="30"/>
  <c r="O19" i="30"/>
  <c r="N19" i="30"/>
  <c r="M19" i="30"/>
  <c r="L19" i="30"/>
  <c r="K19" i="30"/>
  <c r="J19" i="30"/>
  <c r="I19" i="30"/>
  <c r="I13" i="30" s="1"/>
  <c r="H19" i="30"/>
  <c r="AC18" i="30"/>
  <c r="AB18" i="30"/>
  <c r="AA18" i="30"/>
  <c r="Z18" i="30"/>
  <c r="Y18" i="30"/>
  <c r="X18" i="30"/>
  <c r="W18" i="30"/>
  <c r="V18" i="30"/>
  <c r="U18" i="30"/>
  <c r="S18" i="30"/>
  <c r="R18" i="30"/>
  <c r="Q18" i="30"/>
  <c r="P18" i="30"/>
  <c r="O18" i="30"/>
  <c r="N18" i="30"/>
  <c r="M18" i="30"/>
  <c r="L18" i="30"/>
  <c r="K18" i="30"/>
  <c r="J18" i="30"/>
  <c r="I18" i="30"/>
  <c r="H18" i="30"/>
  <c r="H13" i="30" s="1"/>
  <c r="S17" i="30"/>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M35" i="20"/>
  <c r="M34" i="20" s="1"/>
  <c r="L35" i="20"/>
  <c r="AB34" i="20"/>
  <c r="AA34" i="20"/>
  <c r="Z34" i="20"/>
  <c r="Y34" i="20"/>
  <c r="X34" i="20"/>
  <c r="W34" i="20"/>
  <c r="V34" i="20"/>
  <c r="U34" i="20"/>
  <c r="BB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87" i="26"/>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U17" i="25"/>
  <c r="V17" i="25" s="1"/>
  <c r="W17" i="25" s="1"/>
  <c r="X17" i="25" s="1"/>
  <c r="Y17" i="25" s="1"/>
  <c r="Z17" i="25" s="1"/>
  <c r="AA17" i="25" s="1"/>
  <c r="AB17" i="25" s="1"/>
  <c r="AC17" i="25" s="1"/>
  <c r="S17" i="25"/>
  <c r="R17" i="25"/>
  <c r="Q17" i="25"/>
  <c r="P17" i="25"/>
  <c r="O17" i="25"/>
  <c r="N17" i="25"/>
  <c r="M17" i="25"/>
  <c r="L17" i="25"/>
  <c r="L13" i="25" s="1"/>
  <c r="K17" i="25"/>
  <c r="J17" i="25"/>
  <c r="I17" i="25"/>
  <c r="H17" i="25"/>
  <c r="G17" i="25"/>
  <c r="F17" i="25"/>
  <c r="E17" i="25"/>
  <c r="D17" i="25"/>
  <c r="S16" i="25"/>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L2" i="71"/>
  <c r="I2" i="71"/>
  <c r="F2" i="71"/>
  <c r="E2" i="71"/>
  <c r="D2" i="71"/>
  <c r="H9" i="50"/>
  <c r="G9" i="50"/>
  <c r="F9" i="50"/>
  <c r="E9" i="50"/>
  <c r="D9" i="50"/>
  <c r="C9" i="50"/>
  <c r="H6" i="50"/>
  <c r="G6" i="50"/>
  <c r="F6" i="50"/>
  <c r="E6" i="50"/>
  <c r="D6" i="50"/>
  <c r="C6" i="50"/>
  <c r="D5" i="50"/>
  <c r="F4" i="50"/>
  <c r="E4" i="50"/>
  <c r="D4" i="50"/>
  <c r="C4" i="50"/>
  <c r="O51" i="62"/>
  <c r="M23" i="35"/>
  <c r="L23" i="35"/>
  <c r="K23" i="35"/>
  <c r="K25" i="55" s="1"/>
  <c r="K101" i="55" s="1"/>
  <c r="J23" i="35"/>
  <c r="J25" i="55" s="1"/>
  <c r="J75" i="55" s="1"/>
  <c r="I23" i="35"/>
  <c r="H23" i="35"/>
  <c r="G23" i="35"/>
  <c r="F23" i="35"/>
  <c r="E23" i="35"/>
  <c r="D23" i="35"/>
  <c r="C23" i="35"/>
  <c r="C22" i="35"/>
  <c r="L8" i="50" s="1"/>
  <c r="C21" i="35"/>
  <c r="L7" i="50" s="1"/>
  <c r="L15" i="35"/>
  <c r="D15" i="35"/>
  <c r="M14" i="35"/>
  <c r="M16" i="55" s="1"/>
  <c r="M92" i="55" s="1"/>
  <c r="L14" i="35"/>
  <c r="K14" i="35"/>
  <c r="J14" i="35"/>
  <c r="I14" i="35"/>
  <c r="H14" i="35"/>
  <c r="G14" i="35"/>
  <c r="F14" i="35"/>
  <c r="E14" i="35"/>
  <c r="E16" i="55" s="1"/>
  <c r="E92" i="55" s="1"/>
  <c r="D14" i="35"/>
  <c r="C14" i="35"/>
  <c r="M13" i="35"/>
  <c r="L13" i="35"/>
  <c r="K13" i="35"/>
  <c r="J13" i="35"/>
  <c r="I13" i="35"/>
  <c r="H13" i="35"/>
  <c r="H15" i="55" s="1"/>
  <c r="H91" i="55" s="1"/>
  <c r="G13" i="35"/>
  <c r="F13" i="35"/>
  <c r="E13" i="35"/>
  <c r="D13" i="35"/>
  <c r="C13" i="35"/>
  <c r="C12" i="35"/>
  <c r="C11" i="35"/>
  <c r="C4" i="35"/>
  <c r="J101" i="55"/>
  <c r="M25" i="55"/>
  <c r="L25" i="55"/>
  <c r="I25" i="55"/>
  <c r="I101" i="55" s="1"/>
  <c r="H25" i="55"/>
  <c r="H101" i="55" s="1"/>
  <c r="G25" i="55"/>
  <c r="G101" i="55" s="1"/>
  <c r="F25" i="55"/>
  <c r="F101" i="55" s="1"/>
  <c r="E25" i="55"/>
  <c r="D25" i="55"/>
  <c r="C25" i="55"/>
  <c r="B25" i="55"/>
  <c r="C24" i="55"/>
  <c r="B24" i="55"/>
  <c r="C23" i="55"/>
  <c r="B23" i="55"/>
  <c r="C22" i="55"/>
  <c r="B22" i="55"/>
  <c r="C21" i="55"/>
  <c r="B21" i="55"/>
  <c r="C20" i="55"/>
  <c r="B20" i="55"/>
  <c r="C19" i="55"/>
  <c r="B19" i="55"/>
  <c r="C18" i="55"/>
  <c r="B18" i="55"/>
  <c r="L17" i="55"/>
  <c r="D17" i="55"/>
  <c r="C17" i="55"/>
  <c r="B17" i="55"/>
  <c r="L16" i="55"/>
  <c r="L92" i="55" s="1"/>
  <c r="K16" i="55"/>
  <c r="K66" i="55" s="1"/>
  <c r="J16" i="55"/>
  <c r="I16" i="55"/>
  <c r="H16" i="55"/>
  <c r="H92" i="55" s="1"/>
  <c r="G16" i="55"/>
  <c r="G92" i="55" s="1"/>
  <c r="F16" i="55"/>
  <c r="F92" i="55" s="1"/>
  <c r="D16" i="55"/>
  <c r="D92" i="55" s="1"/>
  <c r="C16" i="55"/>
  <c r="B16" i="55"/>
  <c r="M15" i="55"/>
  <c r="M91" i="55" s="1"/>
  <c r="L15" i="55"/>
  <c r="L91" i="55" s="1"/>
  <c r="K15" i="55"/>
  <c r="K91" i="55" s="1"/>
  <c r="J15" i="55"/>
  <c r="J91" i="55" s="1"/>
  <c r="I15" i="55"/>
  <c r="I91" i="55" s="1"/>
  <c r="G15" i="55"/>
  <c r="G65" i="55" s="1"/>
  <c r="F15" i="55"/>
  <c r="F65" i="55" s="1"/>
  <c r="E15" i="55"/>
  <c r="E91" i="55" s="1"/>
  <c r="D15" i="55"/>
  <c r="D91" i="55" s="1"/>
  <c r="C15" i="55"/>
  <c r="B15" i="55"/>
  <c r="C14" i="55"/>
  <c r="B14" i="55"/>
  <c r="C13" i="55"/>
  <c r="B13" i="55"/>
  <c r="C12" i="55"/>
  <c r="B12" i="55"/>
  <c r="C11" i="55"/>
  <c r="B11" i="55"/>
  <c r="C10" i="55"/>
  <c r="B10" i="55"/>
  <c r="C9" i="55"/>
  <c r="B9" i="55"/>
  <c r="C8" i="55"/>
  <c r="B8" i="55"/>
  <c r="C7" i="55"/>
  <c r="B7" i="55"/>
  <c r="C6" i="55"/>
  <c r="B6" i="55"/>
  <c r="C5" i="55"/>
  <c r="B5" i="55"/>
  <c r="C4" i="55"/>
  <c r="B4" i="55"/>
  <c r="J3" i="55"/>
  <c r="I3" i="55"/>
  <c r="H3" i="55"/>
  <c r="G3" i="55"/>
  <c r="F3" i="55"/>
  <c r="E3" i="55"/>
  <c r="D3" i="55"/>
  <c r="C3" i="55"/>
  <c r="B3" i="55"/>
  <c r="F81" i="46"/>
  <c r="G81" i="46" s="1"/>
  <c r="C81" i="46"/>
  <c r="F80" i="46"/>
  <c r="G80" i="46" s="1"/>
  <c r="C80" i="46"/>
  <c r="F79" i="46"/>
  <c r="G79" i="46" s="1"/>
  <c r="C79" i="46"/>
  <c r="F78" i="46"/>
  <c r="G78" i="46" s="1"/>
  <c r="C78" i="46"/>
  <c r="F77" i="46"/>
  <c r="G77" i="46" s="1"/>
  <c r="C77" i="46"/>
  <c r="F76" i="46"/>
  <c r="G76" i="46" s="1"/>
  <c r="C76" i="46"/>
  <c r="C75" i="46"/>
  <c r="F74" i="46"/>
  <c r="G74" i="46" s="1"/>
  <c r="C74" i="46"/>
  <c r="C73" i="46"/>
  <c r="F72" i="46"/>
  <c r="G72" i="46" s="1"/>
  <c r="C72" i="46"/>
  <c r="F71" i="46"/>
  <c r="G71" i="46" s="1"/>
  <c r="C71" i="46"/>
  <c r="F70" i="46"/>
  <c r="G70" i="46" s="1"/>
  <c r="C70" i="46"/>
  <c r="F69" i="46"/>
  <c r="G69" i="46" s="1"/>
  <c r="C69" i="46"/>
  <c r="F68" i="46"/>
  <c r="G68" i="46" s="1"/>
  <c r="C68" i="46"/>
  <c r="C67" i="46"/>
  <c r="F66" i="46"/>
  <c r="G66" i="46" s="1"/>
  <c r="C66" i="46"/>
  <c r="C65" i="46"/>
  <c r="F64" i="46"/>
  <c r="G64" i="46" s="1"/>
  <c r="C64" i="46"/>
  <c r="F63" i="46"/>
  <c r="G63" i="46" s="1"/>
  <c r="C63" i="46"/>
  <c r="F62" i="46"/>
  <c r="G62" i="46" s="1"/>
  <c r="C62" i="46"/>
  <c r="F61" i="46"/>
  <c r="G61" i="46" s="1"/>
  <c r="C61" i="46"/>
  <c r="F60" i="46"/>
  <c r="G60" i="46" s="1"/>
  <c r="C60" i="46"/>
  <c r="C59" i="46"/>
  <c r="F58" i="46"/>
  <c r="G58" i="46" s="1"/>
  <c r="C58" i="46"/>
  <c r="C57" i="46"/>
  <c r="F56" i="46"/>
  <c r="G56" i="46" s="1"/>
  <c r="C56" i="46"/>
  <c r="F55" i="46"/>
  <c r="G55" i="46" s="1"/>
  <c r="C55" i="46"/>
  <c r="F54" i="46"/>
  <c r="G54" i="46" s="1"/>
  <c r="C54" i="46"/>
  <c r="F53" i="46"/>
  <c r="G53" i="46" s="1"/>
  <c r="C53" i="46"/>
  <c r="F52" i="46"/>
  <c r="G52" i="46" s="1"/>
  <c r="C52" i="46"/>
  <c r="C51" i="46"/>
  <c r="F50" i="46"/>
  <c r="G50" i="46" s="1"/>
  <c r="C50" i="46"/>
  <c r="C49" i="46"/>
  <c r="G48" i="46"/>
  <c r="F48" i="46"/>
  <c r="C48" i="46"/>
  <c r="F47" i="46"/>
  <c r="G47" i="46" s="1"/>
  <c r="C47" i="46"/>
  <c r="F46" i="46"/>
  <c r="G46" i="46" s="1"/>
  <c r="C46" i="46"/>
  <c r="F45" i="46"/>
  <c r="G45" i="46" s="1"/>
  <c r="C45" i="46"/>
  <c r="F44" i="46"/>
  <c r="G44" i="46" s="1"/>
  <c r="C44" i="46"/>
  <c r="C43" i="46"/>
  <c r="F42" i="46"/>
  <c r="G42" i="46" s="1"/>
  <c r="C42" i="46"/>
  <c r="C41" i="46"/>
  <c r="F40" i="46"/>
  <c r="G40" i="46" s="1"/>
  <c r="C40" i="46"/>
  <c r="F39" i="46"/>
  <c r="G39" i="46" s="1"/>
  <c r="C39" i="46"/>
  <c r="F38" i="46"/>
  <c r="G38" i="46" s="1"/>
  <c r="C38" i="46"/>
  <c r="F37" i="46"/>
  <c r="G37" i="46" s="1"/>
  <c r="C37" i="46"/>
  <c r="F36" i="46"/>
  <c r="G36" i="46" s="1"/>
  <c r="C36" i="46"/>
  <c r="C35" i="46"/>
  <c r="F34" i="46"/>
  <c r="G34" i="46" s="1"/>
  <c r="C34" i="46"/>
  <c r="C33" i="46"/>
  <c r="F32" i="46"/>
  <c r="G32" i="46" s="1"/>
  <c r="C32" i="46"/>
  <c r="F31" i="46"/>
  <c r="G31" i="46" s="1"/>
  <c r="F30" i="46"/>
  <c r="G30" i="46" s="1"/>
  <c r="F29" i="46"/>
  <c r="G29" i="46" s="1"/>
  <c r="F28" i="46"/>
  <c r="G28" i="46" s="1"/>
  <c r="C27" i="46"/>
  <c r="F26" i="46"/>
  <c r="G26" i="46" s="1"/>
  <c r="C26" i="46"/>
  <c r="C25" i="46"/>
  <c r="F24" i="46"/>
  <c r="G24" i="46" s="1"/>
  <c r="C24" i="46"/>
  <c r="F23" i="46"/>
  <c r="G23" i="46" s="1"/>
  <c r="C23" i="46"/>
  <c r="F22" i="46"/>
  <c r="G22" i="46" s="1"/>
  <c r="C22" i="46"/>
  <c r="F21" i="46"/>
  <c r="G21" i="46" s="1"/>
  <c r="C21" i="46"/>
  <c r="F20" i="46"/>
  <c r="G20" i="46" s="1"/>
  <c r="C20" i="46"/>
  <c r="C19" i="46"/>
  <c r="F18" i="46"/>
  <c r="G18" i="46" s="1"/>
  <c r="C18" i="46"/>
  <c r="C17" i="46"/>
  <c r="F16" i="46"/>
  <c r="G16" i="46" s="1"/>
  <c r="C16" i="46"/>
  <c r="F15" i="46"/>
  <c r="G15" i="46" s="1"/>
  <c r="C15" i="46"/>
  <c r="F14" i="46"/>
  <c r="G14" i="46" s="1"/>
  <c r="C14" i="46"/>
  <c r="F13" i="46"/>
  <c r="G13" i="46" s="1"/>
  <c r="C13" i="46"/>
  <c r="F12" i="46"/>
  <c r="G12" i="46" s="1"/>
  <c r="C12" i="46"/>
  <c r="C11" i="46"/>
  <c r="F10" i="46"/>
  <c r="G10" i="46" s="1"/>
  <c r="C10" i="46"/>
  <c r="C9" i="46"/>
  <c r="F8" i="46"/>
  <c r="G8" i="46" s="1"/>
  <c r="C8" i="46"/>
  <c r="F7" i="46"/>
  <c r="G7" i="46" s="1"/>
  <c r="C7" i="46"/>
  <c r="F6" i="46"/>
  <c r="G6" i="46" s="1"/>
  <c r="C6" i="46"/>
  <c r="F5" i="46"/>
  <c r="G5" i="46" s="1"/>
  <c r="C5" i="46"/>
  <c r="F4" i="46"/>
  <c r="G4" i="46" s="1"/>
  <c r="C4" i="46"/>
  <c r="F3" i="46"/>
  <c r="G3" i="46" s="1"/>
  <c r="C3" i="46"/>
  <c r="C2" i="46"/>
  <c r="M66" i="55" l="1"/>
  <c r="G75" i="55"/>
  <c r="H75" i="55"/>
  <c r="H65" i="55"/>
  <c r="I65" i="55"/>
  <c r="K75" i="55"/>
  <c r="E66" i="55"/>
  <c r="G91" i="55"/>
  <c r="F66" i="55"/>
  <c r="K92" i="55"/>
  <c r="L66" i="55"/>
  <c r="T18" i="70"/>
  <c r="C2" i="71" s="1"/>
  <c r="AA51" i="72"/>
  <c r="T106" i="48"/>
  <c r="T107" i="48"/>
  <c r="T111" i="48"/>
  <c r="T104" i="48" s="1"/>
  <c r="D66" i="55"/>
  <c r="U21" i="30"/>
  <c r="V21" i="30" s="1"/>
  <c r="W21" i="30" s="1"/>
  <c r="X21" i="30" s="1"/>
  <c r="Y21" i="30" s="1"/>
  <c r="Z21" i="30" s="1"/>
  <c r="AA21" i="30" s="1"/>
  <c r="AB21" i="30" s="1"/>
  <c r="AC21" i="30" s="1"/>
  <c r="D8" i="35"/>
  <c r="D10" i="55" s="1"/>
  <c r="D86" i="55" s="1"/>
  <c r="X51" i="72"/>
  <c r="V51" i="72"/>
  <c r="T51" i="72"/>
  <c r="W51" i="72"/>
  <c r="Y51" i="72"/>
  <c r="U51" i="72"/>
  <c r="Z51" i="72"/>
  <c r="J134" i="48"/>
  <c r="J106" i="48"/>
  <c r="N104" i="48"/>
  <c r="H85" i="48" s="1"/>
  <c r="I85" i="48" s="1"/>
  <c r="J85" i="48" s="1"/>
  <c r="K85" i="48" s="1"/>
  <c r="L85" i="48" s="1"/>
  <c r="S22" i="48"/>
  <c r="C20" i="35" s="1"/>
  <c r="O123" i="48"/>
  <c r="N107" i="48"/>
  <c r="H87" i="48" s="1"/>
  <c r="F122" i="48"/>
  <c r="N122" i="48"/>
  <c r="H123" i="48"/>
  <c r="P123" i="48"/>
  <c r="F111" i="48"/>
  <c r="F120" i="48" s="1"/>
  <c r="K130" i="48"/>
  <c r="S130" i="48"/>
  <c r="M131" i="48"/>
  <c r="G132" i="48"/>
  <c r="O132" i="48"/>
  <c r="I133" i="48"/>
  <c r="Q133" i="48"/>
  <c r="I135" i="48"/>
  <c r="Q135" i="48"/>
  <c r="K136" i="48"/>
  <c r="S136" i="48"/>
  <c r="S120" i="48"/>
  <c r="G123" i="48"/>
  <c r="N9" i="48"/>
  <c r="J9" i="48"/>
  <c r="J37" i="48"/>
  <c r="J58" i="48" s="1"/>
  <c r="J65" i="48" s="1"/>
  <c r="N111" i="48"/>
  <c r="J135" i="48"/>
  <c r="R135" i="48"/>
  <c r="L136" i="48"/>
  <c r="G130" i="48"/>
  <c r="H107" i="48"/>
  <c r="P107" i="48"/>
  <c r="O108" i="48"/>
  <c r="N120" i="48"/>
  <c r="H122" i="48"/>
  <c r="P122" i="48"/>
  <c r="J123" i="48"/>
  <c r="R123" i="48"/>
  <c r="I39" i="48"/>
  <c r="S111" i="48"/>
  <c r="O111" i="48"/>
  <c r="O129" i="48" s="1"/>
  <c r="L130" i="48"/>
  <c r="M107" i="48"/>
  <c r="M122" i="48"/>
  <c r="S9" i="48"/>
  <c r="C19" i="35" s="1"/>
  <c r="O106" i="48"/>
  <c r="G37" i="48"/>
  <c r="G58" i="48" s="1"/>
  <c r="G65" i="48" s="1"/>
  <c r="P108" i="48"/>
  <c r="G121" i="48"/>
  <c r="O121" i="48"/>
  <c r="O130" i="48"/>
  <c r="U144" i="48"/>
  <c r="F86" i="48"/>
  <c r="G150" i="48"/>
  <c r="O150" i="48"/>
  <c r="W150" i="48"/>
  <c r="J131" i="48"/>
  <c r="R131" i="48"/>
  <c r="N133" i="48"/>
  <c r="H136" i="48"/>
  <c r="P136" i="48"/>
  <c r="R106" i="48"/>
  <c r="M22" i="48"/>
  <c r="G36" i="48"/>
  <c r="E64" i="48"/>
  <c r="E87" i="48" s="1"/>
  <c r="H150" i="48"/>
  <c r="P150" i="48"/>
  <c r="X150" i="48"/>
  <c r="G133" i="48"/>
  <c r="O133" i="48"/>
  <c r="G135" i="48"/>
  <c r="O135" i="48"/>
  <c r="L75" i="55"/>
  <c r="L101" i="55"/>
  <c r="O22" i="59"/>
  <c r="K65" i="38"/>
  <c r="F91"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U12" i="20"/>
  <c r="AA56" i="20"/>
  <c r="K3" i="35"/>
  <c r="K5" i="55" s="1"/>
  <c r="D101" i="55"/>
  <c r="D75" i="55"/>
  <c r="Q43" i="38"/>
  <c r="X87" i="26"/>
  <c r="M75" i="55"/>
  <c r="M101" i="55"/>
  <c r="E101" i="55"/>
  <c r="E75" i="55"/>
  <c r="E58" i="26"/>
  <c r="S56" i="20"/>
  <c r="C3" i="35"/>
  <c r="L9" i="50"/>
  <c r="D93" i="55"/>
  <c r="D67" i="55"/>
  <c r="C60" i="26"/>
  <c r="E60" i="26" s="1"/>
  <c r="C74" i="26"/>
  <c r="Q46" i="26"/>
  <c r="N46" i="26"/>
  <c r="I92" i="55"/>
  <c r="I66" i="55"/>
  <c r="L93" i="55"/>
  <c r="L67" i="55"/>
  <c r="J92" i="55"/>
  <c r="J66" i="55"/>
  <c r="P16" i="26"/>
  <c r="P89" i="26" s="1"/>
  <c r="AD43" i="26"/>
  <c r="U17" i="30"/>
  <c r="S16" i="38"/>
  <c r="L15" i="38"/>
  <c r="I69" i="38"/>
  <c r="I66" i="38"/>
  <c r="J14" i="59"/>
  <c r="J19" i="25"/>
  <c r="I35" i="20"/>
  <c r="J65" i="55"/>
  <c r="G66" i="55"/>
  <c r="P34" i="38"/>
  <c r="R39" i="38"/>
  <c r="P56" i="38"/>
  <c r="P22" i="59"/>
  <c r="N15" i="40"/>
  <c r="S13" i="25"/>
  <c r="S20" i="25" s="1"/>
  <c r="O13" i="25"/>
  <c r="O20" i="25" s="1"/>
  <c r="C68" i="26"/>
  <c r="C63" i="26" s="1"/>
  <c r="C59" i="26"/>
  <c r="Y116" i="26"/>
  <c r="Q34" i="49"/>
  <c r="E24" i="49"/>
  <c r="E25" i="49" s="1"/>
  <c r="E26" i="49" s="1"/>
  <c r="J36" i="26"/>
  <c r="I58" i="20"/>
  <c r="K65" i="55"/>
  <c r="H66"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J15" i="30"/>
  <c r="J13" i="30"/>
  <c r="J12" i="30" s="1"/>
  <c r="N15" i="30"/>
  <c r="N13" i="30"/>
  <c r="D65" i="55"/>
  <c r="L65" i="55"/>
  <c r="F75" i="55"/>
  <c r="Q28" i="38"/>
  <c r="S29" i="38"/>
  <c r="P32" i="38"/>
  <c r="Q39" i="38"/>
  <c r="M16" i="40"/>
  <c r="K17" i="40"/>
  <c r="S17" i="40"/>
  <c r="Q14" i="59"/>
  <c r="Q19" i="25"/>
  <c r="M13" i="25"/>
  <c r="M20" i="25" s="1"/>
  <c r="K20" i="25"/>
  <c r="D58" i="26"/>
  <c r="I14" i="20"/>
  <c r="I40" i="48"/>
  <c r="J36" i="48"/>
  <c r="I57" i="48"/>
  <c r="I64" i="48" s="1"/>
  <c r="Q34" i="20"/>
  <c r="AX64" i="20" s="1"/>
  <c r="E65" i="55"/>
  <c r="M65" i="55"/>
  <c r="H3" i="35"/>
  <c r="H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I75" i="55"/>
  <c r="M15" i="38"/>
  <c r="H14" i="59"/>
  <c r="H75" i="59" s="1"/>
  <c r="H76" i="59" s="1"/>
  <c r="U12" i="25"/>
  <c r="K20" i="26"/>
  <c r="K90" i="26" s="1"/>
  <c r="K85" i="26" s="1"/>
  <c r="J9" i="50"/>
  <c r="Q56" i="20"/>
  <c r="V116" i="26"/>
  <c r="F35" i="49"/>
  <c r="F31" i="59"/>
  <c r="F32" i="59" s="1"/>
  <c r="P31" i="59"/>
  <c r="P35" i="49"/>
  <c r="D23" i="33"/>
  <c r="H15" i="59"/>
  <c r="E86" i="59"/>
  <c r="E83" i="59"/>
  <c r="E84" i="59" s="1"/>
  <c r="P15" i="59"/>
  <c r="F19" i="33"/>
  <c r="V12" i="33"/>
  <c r="U12" i="33"/>
  <c r="T12" i="33"/>
  <c r="W12" i="33"/>
  <c r="L56" i="38"/>
  <c r="AF13" i="26"/>
  <c r="N12" i="30"/>
  <c r="I15" i="30"/>
  <c r="M15" i="30"/>
  <c r="M13" i="30"/>
  <c r="C24" i="49"/>
  <c r="C25" i="49" s="1"/>
  <c r="D26" i="49" s="1"/>
  <c r="Q31" i="59"/>
  <c r="Q32" i="59" s="1"/>
  <c r="Q35" i="49"/>
  <c r="S12" i="33"/>
  <c r="R12" i="33"/>
  <c r="Q12" i="33"/>
  <c r="P12" i="33"/>
  <c r="G57" i="48"/>
  <c r="G64" i="48" s="1"/>
  <c r="G87" i="48" s="1"/>
  <c r="H40" i="48"/>
  <c r="Q15" i="40"/>
  <c r="AC35" i="20"/>
  <c r="V12" i="30"/>
  <c r="AC12" i="30"/>
  <c r="U12" i="30"/>
  <c r="AB12" i="30"/>
  <c r="AA12" i="30"/>
  <c r="Z12" i="30"/>
  <c r="H46" i="30"/>
  <c r="Y12" i="30"/>
  <c r="H12" i="30"/>
  <c r="R31" i="59"/>
  <c r="R32" i="59" s="1"/>
  <c r="R34" i="59" s="1"/>
  <c r="R35" i="49"/>
  <c r="E34" i="49"/>
  <c r="N17" i="40"/>
  <c r="G19" i="25"/>
  <c r="G14" i="59" s="1"/>
  <c r="R34" i="20"/>
  <c r="AY64" i="20" s="1"/>
  <c r="S34" i="49"/>
  <c r="C10" i="3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F88" i="48"/>
  <c r="L12" i="30"/>
  <c r="C23" i="33"/>
  <c r="D15" i="59"/>
  <c r="R16" i="59"/>
  <c r="I106" i="48"/>
  <c r="I9" i="48"/>
  <c r="G35" i="48"/>
  <c r="Q106" i="48"/>
  <c r="Q9" i="48"/>
  <c r="G88" i="48"/>
  <c r="M12" i="30"/>
  <c r="N32" i="49"/>
  <c r="M10" i="29"/>
  <c r="M16" i="59" s="1"/>
  <c r="K32" i="59"/>
  <c r="Q63" i="59"/>
  <c r="Q20" i="59" s="1"/>
  <c r="K34" i="49"/>
  <c r="K35" i="49" s="1"/>
  <c r="G35" i="49"/>
  <c r="K22" i="48"/>
  <c r="F79" i="48"/>
  <c r="F64" i="48"/>
  <c r="K80" i="48"/>
  <c r="H116" i="48"/>
  <c r="H134" i="48" s="1"/>
  <c r="H130" i="48"/>
  <c r="H111" i="48"/>
  <c r="H120" i="48" s="1"/>
  <c r="P116" i="48"/>
  <c r="P134" i="48" s="1"/>
  <c r="P130" i="48"/>
  <c r="P111" i="48"/>
  <c r="L132" i="48"/>
  <c r="M132" i="48"/>
  <c r="O63" i="59"/>
  <c r="O20" i="59" s="1"/>
  <c r="O65" i="59"/>
  <c r="K9" i="48"/>
  <c r="H22" i="48"/>
  <c r="J39" i="48"/>
  <c r="O131" i="48"/>
  <c r="M194" i="65"/>
  <c r="AA20" i="48" s="1"/>
  <c r="Z20" i="48"/>
  <c r="H18" i="21"/>
  <c r="D86" i="59"/>
  <c r="L104" i="48"/>
  <c r="U122" i="48"/>
  <c r="U26" i="48" s="1"/>
  <c r="J34" i="48"/>
  <c r="L15" i="59"/>
  <c r="D83" i="59"/>
  <c r="D84" i="59" s="1"/>
  <c r="M9" i="48"/>
  <c r="E86" i="48"/>
  <c r="I77" i="59"/>
  <c r="S107" i="48"/>
  <c r="U107" i="48" s="1"/>
  <c r="V107" i="48" s="1"/>
  <c r="W107" i="48" s="1"/>
  <c r="X107" i="48" s="1"/>
  <c r="Y107" i="48" s="1"/>
  <c r="Z107" i="48" s="1"/>
  <c r="AA107" i="48" s="1"/>
  <c r="AB107" i="48" s="1"/>
  <c r="AC107" i="48" s="1"/>
  <c r="U123" i="48"/>
  <c r="D22" i="35"/>
  <c r="D24" i="55" s="1"/>
  <c r="M111" i="48"/>
  <c r="M130" i="48"/>
  <c r="M116" i="48"/>
  <c r="M134" i="48" s="1"/>
  <c r="G111" i="48"/>
  <c r="G120" i="48" s="1"/>
  <c r="G131" i="48"/>
  <c r="I132" i="48"/>
  <c r="I111" i="48"/>
  <c r="J132" i="48"/>
  <c r="Q132" i="48"/>
  <c r="Q111" i="48"/>
  <c r="R132" i="48"/>
  <c r="K133" i="48"/>
  <c r="K111" i="48"/>
  <c r="G192" i="65"/>
  <c r="G194" i="65"/>
  <c r="T20"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1" i="48"/>
  <c r="K56" i="48"/>
  <c r="K63" i="48" s="1"/>
  <c r="K39" i="48"/>
  <c r="H41" i="48"/>
  <c r="J56" i="48"/>
  <c r="J63" i="48" s="1"/>
  <c r="H131" i="48"/>
  <c r="P131" i="48"/>
  <c r="L133" i="48"/>
  <c r="L150" i="48"/>
  <c r="H104" i="48"/>
  <c r="G34" i="48"/>
  <c r="H106" i="48"/>
  <c r="L35" i="48"/>
  <c r="I38" i="48"/>
  <c r="T150" i="48"/>
  <c r="AB150" i="48"/>
  <c r="H108" i="48"/>
  <c r="V145" i="48"/>
  <c r="W145" i="48" s="1"/>
  <c r="X145" i="48" s="1"/>
  <c r="Y145" i="48" s="1"/>
  <c r="Z145" i="48" s="1"/>
  <c r="AA145" i="48" s="1"/>
  <c r="AB145" i="48" s="1"/>
  <c r="AC145" i="48" s="1"/>
  <c r="Y33" i="70"/>
  <c r="Y12" i="70" s="1"/>
  <c r="Y18" i="70" s="1"/>
  <c r="H2" i="71" s="1"/>
  <c r="X33" i="70"/>
  <c r="X12" i="70" s="1"/>
  <c r="X18" i="70" s="1"/>
  <c r="G2" i="71" s="1"/>
  <c r="AA34" i="70"/>
  <c r="AA13" i="70" s="1"/>
  <c r="AA19" i="70" s="1"/>
  <c r="J3" i="71" s="1"/>
  <c r="Z34" i="70"/>
  <c r="Z13" i="70" s="1"/>
  <c r="Z19" i="70" s="1"/>
  <c r="I3" i="71" s="1"/>
  <c r="U35" i="70"/>
  <c r="AC35" i="70"/>
  <c r="AB35" i="70"/>
  <c r="C80" i="21"/>
  <c r="C76" i="21"/>
  <c r="C21" i="21"/>
  <c r="M39" i="30" s="1"/>
  <c r="C18" i="21"/>
  <c r="J121" i="48"/>
  <c r="R121" i="48"/>
  <c r="I41" i="48"/>
  <c r="I56" i="48"/>
  <c r="I63" i="48" s="1"/>
  <c r="J150" i="48"/>
  <c r="R150" i="48"/>
  <c r="Z150" i="48"/>
  <c r="G134" i="48"/>
  <c r="O134" i="48"/>
  <c r="U143" i="48"/>
  <c r="V143" i="48" s="1"/>
  <c r="W143" i="48" s="1"/>
  <c r="X143" i="48" s="1"/>
  <c r="Y143" i="48" s="1"/>
  <c r="Z143" i="48" s="1"/>
  <c r="AA143" i="48" s="1"/>
  <c r="AB143" i="48" s="1"/>
  <c r="AC143" i="48" s="1"/>
  <c r="N106" i="48"/>
  <c r="H86" i="48" s="1"/>
  <c r="I86" i="48" s="1"/>
  <c r="J86" i="48" s="1"/>
  <c r="K86" i="48" s="1"/>
  <c r="L86" i="48" s="1"/>
  <c r="AB20" i="48"/>
  <c r="L120" i="48"/>
  <c r="L121" i="48"/>
  <c r="K131" i="48"/>
  <c r="S131" i="48"/>
  <c r="V146" i="48"/>
  <c r="W146" i="48" s="1"/>
  <c r="X146" i="48" s="1"/>
  <c r="Y146" i="48" s="1"/>
  <c r="Z146" i="48" s="1"/>
  <c r="AA146" i="48" s="1"/>
  <c r="AB146" i="48" s="1"/>
  <c r="AC146" i="48" s="1"/>
  <c r="C14" i="21"/>
  <c r="J15" i="21"/>
  <c r="M120" i="48"/>
  <c r="M150" i="48"/>
  <c r="U150" i="48"/>
  <c r="AC150" i="48"/>
  <c r="J130" i="48"/>
  <c r="J111" i="48"/>
  <c r="R130" i="48"/>
  <c r="R111" i="48"/>
  <c r="R120" i="48" s="1"/>
  <c r="L131" i="48"/>
  <c r="L111" i="48"/>
  <c r="V144" i="48"/>
  <c r="W144" i="48" s="1"/>
  <c r="X144" i="48" s="1"/>
  <c r="Y144" i="48" s="1"/>
  <c r="Z144" i="48" s="1"/>
  <c r="AA144" i="48" s="1"/>
  <c r="AB144" i="48" s="1"/>
  <c r="AC144" i="48" s="1"/>
  <c r="P106" i="48"/>
  <c r="F121" i="48"/>
  <c r="N121" i="48"/>
  <c r="N129" i="48"/>
  <c r="G5" i="21"/>
  <c r="Q17" i="59" s="1"/>
  <c r="J4" i="50" s="1"/>
  <c r="I5" i="21"/>
  <c r="S17" i="59" s="1"/>
  <c r="F5" i="21"/>
  <c r="H5" i="21"/>
  <c r="R17" i="59" s="1"/>
  <c r="K4" i="50" s="1"/>
  <c r="L134" i="48"/>
  <c r="T142" i="48"/>
  <c r="U142" i="48" s="1"/>
  <c r="V142" i="48" s="1"/>
  <c r="W142" i="48" s="1"/>
  <c r="X142" i="48" s="1"/>
  <c r="Y142" i="48" s="1"/>
  <c r="Z142" i="48" s="1"/>
  <c r="AA142" i="48" s="1"/>
  <c r="G75" i="21"/>
  <c r="U50" i="21"/>
  <c r="U51" i="21"/>
  <c r="K116" i="48"/>
  <c r="K134" i="48" s="1"/>
  <c r="S116" i="48"/>
  <c r="S134" i="48" s="1"/>
  <c r="R40" i="21"/>
  <c r="P40" i="21"/>
  <c r="O40" i="21"/>
  <c r="V40" i="21"/>
  <c r="R6" i="21"/>
  <c r="U6" i="21"/>
  <c r="T6" i="21"/>
  <c r="D21" i="21"/>
  <c r="P30" i="21"/>
  <c r="M30" i="21"/>
  <c r="E30" i="21"/>
  <c r="T30" i="21"/>
  <c r="L30" i="21"/>
  <c r="Q30" i="21"/>
  <c r="J30" i="21"/>
  <c r="I30" i="21"/>
  <c r="N130"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30" i="48"/>
  <c r="Q130" i="48"/>
  <c r="C7" i="21"/>
  <c r="H16" i="5"/>
  <c r="T4" i="21"/>
  <c r="R4" i="21"/>
  <c r="U4" i="21"/>
  <c r="S4" i="21"/>
  <c r="AC18" i="59" s="1"/>
  <c r="AC24" i="59" s="1"/>
  <c r="G16" i="5"/>
  <c r="S6" i="21"/>
  <c r="AC45" i="30" s="1"/>
  <c r="M7" i="35" s="1"/>
  <c r="M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K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J9" i="55" s="1"/>
  <c r="P24" i="21"/>
  <c r="O23" i="21"/>
  <c r="O6" i="21"/>
  <c r="Y45" i="30" s="1"/>
  <c r="I7" i="35" s="1"/>
  <c r="I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G17" i="55" s="1"/>
  <c r="L5" i="21"/>
  <c r="V17" i="59" s="1"/>
  <c r="F15" i="35" s="1"/>
  <c r="F17" i="55" s="1"/>
  <c r="K5" i="21"/>
  <c r="U17" i="59" s="1"/>
  <c r="E15" i="35" s="1"/>
  <c r="E17" i="55" s="1"/>
  <c r="N19" i="21"/>
  <c r="Q9" i="21"/>
  <c r="P9" i="21"/>
  <c r="F79" i="21" s="1"/>
  <c r="U5" i="21"/>
  <c r="T5" i="21"/>
  <c r="S5" i="21"/>
  <c r="AC17" i="59" s="1"/>
  <c r="M15" i="35" s="1"/>
  <c r="M17" i="55" s="1"/>
  <c r="J16" i="5"/>
  <c r="G3" i="21"/>
  <c r="O3" i="21"/>
  <c r="F7" i="21"/>
  <c r="D77" i="21" s="1"/>
  <c r="E11" i="21"/>
  <c r="T12" i="21"/>
  <c r="S13" i="21"/>
  <c r="S14" i="21" s="1"/>
  <c r="I19" i="21"/>
  <c r="S37" i="30" s="1"/>
  <c r="I23" i="21"/>
  <c r="S41" i="30" s="1"/>
  <c r="S24" i="30" s="1"/>
  <c r="S15" i="30" s="1"/>
  <c r="D60" i="55" l="1"/>
  <c r="P129" i="48"/>
  <c r="J87" i="48"/>
  <c r="K87" i="48" s="1"/>
  <c r="L87" i="48" s="1"/>
  <c r="AB142" i="48"/>
  <c r="AC142" i="48" s="1"/>
  <c r="J129" i="48"/>
  <c r="K106" i="48"/>
  <c r="G129" i="48"/>
  <c r="S129" i="48"/>
  <c r="O120" i="48"/>
  <c r="Q134" i="48"/>
  <c r="K37" i="48"/>
  <c r="K58" i="48" s="1"/>
  <c r="K65" i="48" s="1"/>
  <c r="O104" i="48"/>
  <c r="S104" i="48"/>
  <c r="U104" i="48" s="1"/>
  <c r="V104" i="48" s="1"/>
  <c r="W104" i="48" s="1"/>
  <c r="X104" i="48" s="1"/>
  <c r="Y104" i="48" s="1"/>
  <c r="Z104" i="48" s="1"/>
  <c r="AA104" i="48" s="1"/>
  <c r="AB104" i="48" s="1"/>
  <c r="AC104" i="48" s="1"/>
  <c r="I134" i="48"/>
  <c r="J41" i="48"/>
  <c r="T19" i="48" s="1"/>
  <c r="U19" i="48" s="1"/>
  <c r="V19" i="48" s="1"/>
  <c r="W19" i="48" s="1"/>
  <c r="G75" i="59"/>
  <c r="G76" i="59" s="1"/>
  <c r="G79" i="59" s="1"/>
  <c r="G23" i="59" s="1"/>
  <c r="G77" i="59"/>
  <c r="G25" i="59" s="1"/>
  <c r="G28" i="59" s="1"/>
  <c r="E75" i="59"/>
  <c r="E76" i="59" s="1"/>
  <c r="E77" i="59"/>
  <c r="E25" i="59" s="1"/>
  <c r="O19" i="25"/>
  <c r="O14" i="59" s="1"/>
  <c r="O75" i="59" s="1"/>
  <c r="O76" i="59" s="1"/>
  <c r="W36" i="30"/>
  <c r="K57" i="20"/>
  <c r="K58" i="20" s="1"/>
  <c r="D2" i="50"/>
  <c r="C9" i="35"/>
  <c r="S19" i="25"/>
  <c r="C8" i="35" s="1"/>
  <c r="S34" i="59"/>
  <c r="C18" i="35"/>
  <c r="Q36" i="30"/>
  <c r="L56" i="48"/>
  <c r="L39" i="48"/>
  <c r="I25" i="59"/>
  <c r="V56" i="20"/>
  <c r="F3" i="35"/>
  <c r="F5" i="55" s="1"/>
  <c r="H81" i="55"/>
  <c r="H55" i="55"/>
  <c r="M15" i="21"/>
  <c r="W48" i="26"/>
  <c r="C74" i="21"/>
  <c r="M18" i="59"/>
  <c r="M24" i="59" s="1"/>
  <c r="F5" i="50" s="1"/>
  <c r="C78" i="21"/>
  <c r="D14" i="59"/>
  <c r="J35" i="26"/>
  <c r="AD35" i="26" s="1"/>
  <c r="AD36" i="26"/>
  <c r="AE12" i="26" s="1"/>
  <c r="E93" i="55"/>
  <c r="E67" i="55"/>
  <c r="I59" i="55"/>
  <c r="I85" i="55"/>
  <c r="G23" i="21"/>
  <c r="Q41" i="30" s="1"/>
  <c r="Q24" i="30" s="1"/>
  <c r="K85" i="55"/>
  <c r="K59" i="55"/>
  <c r="H15" i="21"/>
  <c r="R48" i="26"/>
  <c r="C79" i="21"/>
  <c r="U35" i="21"/>
  <c r="M35" i="21"/>
  <c r="T35" i="21"/>
  <c r="L35" i="21"/>
  <c r="R35" i="21"/>
  <c r="J35" i="21"/>
  <c r="E79" i="21"/>
  <c r="Q35" i="21"/>
  <c r="P35" i="21"/>
  <c r="N35" i="21"/>
  <c r="K35" i="21"/>
  <c r="V35" i="21"/>
  <c r="S35" i="21"/>
  <c r="O35" i="21"/>
  <c r="T47" i="26"/>
  <c r="E75" i="21"/>
  <c r="R30" i="21"/>
  <c r="U30" i="21"/>
  <c r="S40" i="21"/>
  <c r="J120" i="48"/>
  <c r="AB36" i="70"/>
  <c r="AB14" i="70"/>
  <c r="AB20" i="70" s="1"/>
  <c r="K4" i="71" s="1"/>
  <c r="P104" i="48"/>
  <c r="O5" i="21"/>
  <c r="Y17" i="59" s="1"/>
  <c r="I15" i="35" s="1"/>
  <c r="I17" i="55" s="1"/>
  <c r="P5" i="21"/>
  <c r="Z17" i="59" s="1"/>
  <c r="J15" i="35" s="1"/>
  <c r="J17" i="55" s="1"/>
  <c r="N5" i="21"/>
  <c r="Q5" i="21"/>
  <c r="AA17" i="59" s="1"/>
  <c r="K15" i="35" s="1"/>
  <c r="K17" i="55" s="1"/>
  <c r="F16" i="5"/>
  <c r="M23" i="21"/>
  <c r="W41" i="30" s="1"/>
  <c r="W24" i="30" s="1"/>
  <c r="E76" i="21"/>
  <c r="J21" i="21"/>
  <c r="T45" i="30"/>
  <c r="D7" i="35" s="1"/>
  <c r="D9" i="55" s="1"/>
  <c r="P32" i="21"/>
  <c r="K32" i="21"/>
  <c r="D21" i="35"/>
  <c r="D23" i="55" s="1"/>
  <c r="M129" i="48"/>
  <c r="M104" i="48"/>
  <c r="D100" i="55"/>
  <c r="D74" i="55"/>
  <c r="I87" i="48"/>
  <c r="V122" i="48"/>
  <c r="V26" i="48" s="1"/>
  <c r="N35" i="49"/>
  <c r="N31" i="59"/>
  <c r="N32" i="59" s="1"/>
  <c r="N34" i="59" s="1"/>
  <c r="E34" i="59"/>
  <c r="K9" i="50"/>
  <c r="R56" i="20"/>
  <c r="F14" i="59"/>
  <c r="R17" i="40"/>
  <c r="C55" i="26"/>
  <c r="S17" i="38"/>
  <c r="L16" i="38"/>
  <c r="N16" i="38" s="1"/>
  <c r="D80" i="21"/>
  <c r="P49" i="26"/>
  <c r="P17" i="26" s="1"/>
  <c r="J55" i="48"/>
  <c r="J62" i="48" s="1"/>
  <c r="J38" i="48"/>
  <c r="T11" i="48" s="1"/>
  <c r="K34" i="48"/>
  <c r="H79" i="59"/>
  <c r="H23" i="59" s="1"/>
  <c r="AP71" i="20"/>
  <c r="AP72" i="20"/>
  <c r="AP70" i="20"/>
  <c r="U13" i="20"/>
  <c r="V12" i="20"/>
  <c r="D82" i="21"/>
  <c r="T38" i="21"/>
  <c r="S38" i="21"/>
  <c r="Q38" i="21"/>
  <c r="P38" i="21"/>
  <c r="O38" i="21"/>
  <c r="V38" i="21"/>
  <c r="U38" i="21"/>
  <c r="R38" i="21"/>
  <c r="N38" i="21"/>
  <c r="M38" i="21"/>
  <c r="W47" i="26"/>
  <c r="Q104" i="48"/>
  <c r="Q129" i="48"/>
  <c r="F93" i="55"/>
  <c r="F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M18" i="55" s="1"/>
  <c r="F30" i="21"/>
  <c r="F80" i="21"/>
  <c r="Q39" i="21"/>
  <c r="X49" i="26"/>
  <c r="X17" i="26" s="1"/>
  <c r="V30" i="21"/>
  <c r="G30" i="21"/>
  <c r="G76" i="21"/>
  <c r="AB45" i="30"/>
  <c r="L7" i="35" s="1"/>
  <c r="L9" i="55" s="1"/>
  <c r="W5" i="21"/>
  <c r="W13" i="21"/>
  <c r="C25" i="21"/>
  <c r="M43" i="30" s="1"/>
  <c r="M36" i="30"/>
  <c r="AC36" i="70"/>
  <c r="AC14" i="70"/>
  <c r="AC20" i="70" s="1"/>
  <c r="L4" i="71" s="1"/>
  <c r="G55" i="48"/>
  <c r="G62" i="48" s="1"/>
  <c r="G85" i="48" s="1"/>
  <c r="H38" i="48"/>
  <c r="L18" i="21"/>
  <c r="J20" i="21"/>
  <c r="T38" i="30" s="1"/>
  <c r="Q32" i="21"/>
  <c r="S32" i="21"/>
  <c r="H194" i="65"/>
  <c r="U20" i="48"/>
  <c r="U18" i="48" s="1"/>
  <c r="E21" i="35" s="1"/>
  <c r="E23" i="55" s="1"/>
  <c r="V123" i="48"/>
  <c r="U27" i="48"/>
  <c r="E22" i="35" s="1"/>
  <c r="E24" i="55" s="1"/>
  <c r="P120" i="48"/>
  <c r="H129" i="48"/>
  <c r="K121" i="48"/>
  <c r="P121" i="48"/>
  <c r="J31" i="59"/>
  <c r="J32" i="59" s="1"/>
  <c r="J34" i="59" s="1"/>
  <c r="J35" i="49"/>
  <c r="L35" i="49"/>
  <c r="L31" i="59"/>
  <c r="L32" i="59" s="1"/>
  <c r="L34" i="59" s="1"/>
  <c r="F34" i="59"/>
  <c r="T32" i="59" s="1"/>
  <c r="N15" i="38"/>
  <c r="T56" i="20"/>
  <c r="D3" i="35"/>
  <c r="D5" i="55" s="1"/>
  <c r="T42" i="38"/>
  <c r="P41" i="38"/>
  <c r="R41" i="38" s="1"/>
  <c r="K14" i="59"/>
  <c r="K75" i="59" s="1"/>
  <c r="K76" i="59" s="1"/>
  <c r="Z56" i="20"/>
  <c r="J3" i="35"/>
  <c r="J5" i="55" s="1"/>
  <c r="U15" i="30"/>
  <c r="U13" i="30"/>
  <c r="U11" i="30" s="1"/>
  <c r="U46" i="30" s="1"/>
  <c r="E6" i="35" s="1"/>
  <c r="E8" i="55" s="1"/>
  <c r="V17" i="30"/>
  <c r="K81" i="55"/>
  <c r="K55" i="55"/>
  <c r="K19" i="25"/>
  <c r="R19" i="25"/>
  <c r="R14" i="59" s="1"/>
  <c r="R75" i="59" s="1"/>
  <c r="R76" i="59" s="1"/>
  <c r="L71" i="38"/>
  <c r="K70" i="38"/>
  <c r="N25" i="21"/>
  <c r="X43" i="30" s="1"/>
  <c r="X37" i="30"/>
  <c r="X20" i="30" s="1"/>
  <c r="D83" i="21"/>
  <c r="F14" i="21"/>
  <c r="M85" i="55"/>
  <c r="M59" i="55"/>
  <c r="N134" i="48"/>
  <c r="F87" i="48"/>
  <c r="J104" i="48"/>
  <c r="Q34" i="59"/>
  <c r="M93" i="55"/>
  <c r="M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14" i="70"/>
  <c r="T20" i="70" s="1"/>
  <c r="C4" i="71" s="1"/>
  <c r="U32" i="21"/>
  <c r="L32" i="21"/>
  <c r="I104" i="48"/>
  <c r="I129" i="48"/>
  <c r="Q120" i="48"/>
  <c r="H77" i="59"/>
  <c r="H25" i="59" s="1"/>
  <c r="S121" i="48"/>
  <c r="AB56" i="20"/>
  <c r="L3" i="35"/>
  <c r="L5" i="55" s="1"/>
  <c r="J40" i="48"/>
  <c r="T16" i="48" s="1"/>
  <c r="K36" i="48"/>
  <c r="J57" i="48"/>
  <c r="J64" i="48" s="1"/>
  <c r="M14" i="59"/>
  <c r="M19" i="25"/>
  <c r="O29" i="38"/>
  <c r="Q29" i="38" s="1"/>
  <c r="S30" i="38"/>
  <c r="R13" i="30"/>
  <c r="R12" i="30" s="1"/>
  <c r="J75" i="59"/>
  <c r="J76" i="59" s="1"/>
  <c r="T13" i="30"/>
  <c r="K69" i="38"/>
  <c r="K66" i="38"/>
  <c r="O56" i="38"/>
  <c r="J16" i="35"/>
  <c r="J18" i="55" s="1"/>
  <c r="K18" i="21"/>
  <c r="R36" i="30"/>
  <c r="M35" i="49"/>
  <c r="F50" i="49"/>
  <c r="G50" i="49" s="1"/>
  <c r="H50" i="49" s="1"/>
  <c r="M31" i="59"/>
  <c r="M32" i="59" s="1"/>
  <c r="M34" i="59" s="1"/>
  <c r="S36" i="30"/>
  <c r="K16" i="35"/>
  <c r="K18" i="55" s="1"/>
  <c r="M21" i="21"/>
  <c r="W45" i="30"/>
  <c r="G7" i="35" s="1"/>
  <c r="G9" i="55" s="1"/>
  <c r="H34" i="59"/>
  <c r="J85" i="26"/>
  <c r="D4" i="35"/>
  <c r="D6" i="55" s="1"/>
  <c r="G93" i="55"/>
  <c r="G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J85" i="55"/>
  <c r="J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L129" i="48"/>
  <c r="C15" i="21"/>
  <c r="C84" i="21"/>
  <c r="U36" i="70"/>
  <c r="U14" i="70"/>
  <c r="U20" i="70" s="1"/>
  <c r="D4" i="71" s="1"/>
  <c r="M19" i="21"/>
  <c r="W37" i="30" s="1"/>
  <c r="W20" i="30" s="1"/>
  <c r="M20" i="21"/>
  <c r="W38" i="30" s="1"/>
  <c r="K24" i="21"/>
  <c r="H32" i="21"/>
  <c r="T32" i="21"/>
  <c r="H192" i="65"/>
  <c r="U12" i="48"/>
  <c r="I120" i="48"/>
  <c r="M106" i="48"/>
  <c r="S20" i="59"/>
  <c r="D31" i="59"/>
  <c r="D32" i="59" s="1"/>
  <c r="D35" i="49"/>
  <c r="W56" i="20"/>
  <c r="G3" i="35"/>
  <c r="G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1" i="48"/>
  <c r="L21" i="21"/>
  <c r="V45" i="30"/>
  <c r="F7" i="35" s="1"/>
  <c r="F9" i="55" s="1"/>
  <c r="T36" i="30"/>
  <c r="K129" i="48"/>
  <c r="K104" i="48"/>
  <c r="U13" i="48"/>
  <c r="V13" i="48" s="1"/>
  <c r="W13" i="48" s="1"/>
  <c r="X13" i="48" s="1"/>
  <c r="Y13" i="48" s="1"/>
  <c r="Z13" i="48" s="1"/>
  <c r="AA13" i="48" s="1"/>
  <c r="AB13" i="48" s="1"/>
  <c r="AC13" i="48" s="1"/>
  <c r="K41" i="48"/>
  <c r="X19" i="48" s="1"/>
  <c r="L37" i="48"/>
  <c r="K120" i="48"/>
  <c r="M5" i="35"/>
  <c r="M7" i="55" s="1"/>
  <c r="V12" i="25"/>
  <c r="U14" i="25"/>
  <c r="U13" i="25" s="1"/>
  <c r="AC56" i="20"/>
  <c r="M3" i="35"/>
  <c r="M5" i="55" s="1"/>
  <c r="AO70" i="20"/>
  <c r="AO71" i="20"/>
  <c r="AO72" i="20"/>
  <c r="Q75" i="59"/>
  <c r="Q76" i="59" s="1"/>
  <c r="Y56" i="20"/>
  <c r="I3" i="35"/>
  <c r="I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E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H9" i="55" s="1"/>
  <c r="G21" i="21"/>
  <c r="Q45" i="30"/>
  <c r="G15" i="21"/>
  <c r="Q48" i="26"/>
  <c r="V17" i="6"/>
  <c r="T50" i="21"/>
  <c r="T51" i="21"/>
  <c r="N36" i="30"/>
  <c r="Q25" i="21"/>
  <c r="AA43" i="30" s="1"/>
  <c r="AA41" i="30"/>
  <c r="AA24" i="30" s="1"/>
  <c r="E22" i="21"/>
  <c r="O40" i="30" s="1"/>
  <c r="O39" i="30"/>
  <c r="I16" i="35"/>
  <c r="I18" i="55" s="1"/>
  <c r="D22" i="21"/>
  <c r="N40" i="30" s="1"/>
  <c r="N39" i="30"/>
  <c r="R129" i="48"/>
  <c r="L23" i="21"/>
  <c r="V41" i="30" s="1"/>
  <c r="V24" i="30" s="1"/>
  <c r="M24" i="21"/>
  <c r="K20" i="21"/>
  <c r="U38" i="30" s="1"/>
  <c r="M32" i="21"/>
  <c r="V32" i="21"/>
  <c r="S106" i="48"/>
  <c r="U106" i="48" s="1"/>
  <c r="V106" i="48" s="1"/>
  <c r="W106" i="48" s="1"/>
  <c r="X106" i="48" s="1"/>
  <c r="Y106" i="48" s="1"/>
  <c r="Z106" i="48" s="1"/>
  <c r="AA106" i="48" s="1"/>
  <c r="AB106" i="48" s="1"/>
  <c r="AC106" i="48" s="1"/>
  <c r="R104" i="48"/>
  <c r="G56" i="48"/>
  <c r="G63" i="48" s="1"/>
  <c r="G86" i="48" s="1"/>
  <c r="H39" i="48"/>
  <c r="I34" i="59"/>
  <c r="I75" i="59"/>
  <c r="I76" i="59" s="1"/>
  <c r="I79" i="59" s="1"/>
  <c r="I23" i="59" s="1"/>
  <c r="S13" i="30"/>
  <c r="S12" i="30" s="1"/>
  <c r="U10" i="33"/>
  <c r="T15" i="59"/>
  <c r="D12" i="35"/>
  <c r="D14" i="55" s="1"/>
  <c r="U56" i="20"/>
  <c r="E3" i="35"/>
  <c r="E5" i="55" s="1"/>
  <c r="N19" i="25"/>
  <c r="L14" i="59"/>
  <c r="L75" i="59" s="1"/>
  <c r="L76" i="59" s="1"/>
  <c r="M40" i="26"/>
  <c r="Q45" i="26"/>
  <c r="P48" i="38"/>
  <c r="J67" i="38"/>
  <c r="S25" i="38"/>
  <c r="M24" i="38"/>
  <c r="O24" i="38" s="1"/>
  <c r="T46" i="30" l="1"/>
  <c r="D6" i="35" s="1"/>
  <c r="D8" i="55" s="1"/>
  <c r="T12" i="30"/>
  <c r="D58" i="55"/>
  <c r="D84" i="55"/>
  <c r="E84" i="55"/>
  <c r="E58" i="55"/>
  <c r="Y19" i="48"/>
  <c r="X18" i="48"/>
  <c r="H21" i="35" s="1"/>
  <c r="H23" i="55" s="1"/>
  <c r="U32" i="59"/>
  <c r="D18" i="35"/>
  <c r="D20" i="55" s="1"/>
  <c r="I94" i="55"/>
  <c r="I68" i="55"/>
  <c r="E85" i="55"/>
  <c r="E59" i="55"/>
  <c r="M55" i="55"/>
  <c r="M81" i="55"/>
  <c r="I50" i="49"/>
  <c r="S31" i="38"/>
  <c r="O30" i="38"/>
  <c r="Q30" i="38" s="1"/>
  <c r="E16" i="35"/>
  <c r="E18" i="55" s="1"/>
  <c r="O28" i="21"/>
  <c r="Y93" i="26" s="1"/>
  <c r="R47" i="21"/>
  <c r="AB95" i="26" s="1"/>
  <c r="K71" i="38"/>
  <c r="K73" i="38"/>
  <c r="E99" i="55"/>
  <c r="E73" i="55"/>
  <c r="V45" i="26"/>
  <c r="V13" i="26"/>
  <c r="N15" i="21"/>
  <c r="F85" i="21" s="1"/>
  <c r="F84" i="21"/>
  <c r="F87" i="21" s="1"/>
  <c r="X48" i="26"/>
  <c r="X45" i="26" s="1"/>
  <c r="E79" i="59"/>
  <c r="E23" i="59" s="1"/>
  <c r="V10" i="33"/>
  <c r="U15" i="59"/>
  <c r="E12" i="35"/>
  <c r="E14" i="55" s="1"/>
  <c r="G84" i="21"/>
  <c r="R15" i="21"/>
  <c r="G85" i="21" s="1"/>
  <c r="G87" i="21" s="1"/>
  <c r="AB48" i="26"/>
  <c r="AB45" i="26" s="1"/>
  <c r="F85" i="55"/>
  <c r="F59" i="55"/>
  <c r="E74" i="21"/>
  <c r="T18" i="59"/>
  <c r="AD47" i="26"/>
  <c r="AE13" i="26" s="1"/>
  <c r="I28" i="21"/>
  <c r="P15" i="30"/>
  <c r="P13" i="30"/>
  <c r="P12" i="30" s="1"/>
  <c r="L5" i="50"/>
  <c r="C16" i="35"/>
  <c r="I194" i="65"/>
  <c r="W20" i="48" s="1"/>
  <c r="W18" i="48" s="1"/>
  <c r="G21" i="35" s="1"/>
  <c r="G23" i="55" s="1"/>
  <c r="V20" i="48"/>
  <c r="V18" i="48" s="1"/>
  <c r="F21" i="35" s="1"/>
  <c r="F23" i="55" s="1"/>
  <c r="AC37" i="70"/>
  <c r="AC16" i="70" s="1"/>
  <c r="AC22" i="70" s="1"/>
  <c r="L6" i="71" s="1"/>
  <c r="AC15" i="70"/>
  <c r="AC21" i="70" s="1"/>
  <c r="L5" i="71" s="1"/>
  <c r="I6" i="50"/>
  <c r="P46" i="30"/>
  <c r="K55" i="48"/>
  <c r="K62" i="48" s="1"/>
  <c r="K38" i="48"/>
  <c r="L34" i="48"/>
  <c r="AB37" i="70"/>
  <c r="AB16" i="70" s="1"/>
  <c r="AB22" i="70" s="1"/>
  <c r="K6" i="71" s="1"/>
  <c r="AB15" i="70"/>
  <c r="AB21" i="70" s="1"/>
  <c r="K5" i="71" s="1"/>
  <c r="J77" i="59"/>
  <c r="AR72" i="20"/>
  <c r="AR70" i="20"/>
  <c r="AR71" i="20"/>
  <c r="K14" i="20"/>
  <c r="K36" i="20"/>
  <c r="G16" i="35"/>
  <c r="G18" i="55" s="1"/>
  <c r="T28" i="21"/>
  <c r="D74" i="21"/>
  <c r="P18" i="59"/>
  <c r="P24" i="59" s="1"/>
  <c r="I5" i="50" s="1"/>
  <c r="V15" i="30"/>
  <c r="V13" i="30"/>
  <c r="V11" i="30" s="1"/>
  <c r="V46" i="30" s="1"/>
  <c r="F6" i="35" s="1"/>
  <c r="F8" i="55" s="1"/>
  <c r="W17" i="30"/>
  <c r="S18" i="38"/>
  <c r="L17" i="38"/>
  <c r="N17" i="38" s="1"/>
  <c r="S26" i="38"/>
  <c r="M26" i="38" s="1"/>
  <c r="O26" i="38" s="1"/>
  <c r="M25" i="38"/>
  <c r="O25" i="38" s="1"/>
  <c r="U13" i="26"/>
  <c r="U45" i="26"/>
  <c r="L22" i="21"/>
  <c r="V40" i="30" s="1"/>
  <c r="V39" i="30"/>
  <c r="F16" i="35"/>
  <c r="F18" i="55" s="1"/>
  <c r="K28" i="21"/>
  <c r="U93" i="26" s="1"/>
  <c r="M28" i="21"/>
  <c r="W93" i="26" s="1"/>
  <c r="Q28" i="21"/>
  <c r="AA93" i="26" s="1"/>
  <c r="Q95" i="26"/>
  <c r="M75" i="59"/>
  <c r="M76" i="59" s="1"/>
  <c r="U121" i="48"/>
  <c r="U25" i="48" s="1"/>
  <c r="F22" i="21"/>
  <c r="P39" i="30"/>
  <c r="W12" i="20"/>
  <c r="V13" i="20"/>
  <c r="U11" i="48"/>
  <c r="D99" i="55"/>
  <c r="D73" i="55"/>
  <c r="D75" i="59"/>
  <c r="D76" i="59" s="1"/>
  <c r="D77" i="59"/>
  <c r="D25" i="59" s="1"/>
  <c r="T45" i="26"/>
  <c r="K22" i="21"/>
  <c r="U40" i="30" s="1"/>
  <c r="U39" i="30"/>
  <c r="L41" i="48"/>
  <c r="L58" i="48"/>
  <c r="C85" i="21"/>
  <c r="L6" i="50"/>
  <c r="C7" i="35"/>
  <c r="S46" i="30"/>
  <c r="C6" i="35" s="1"/>
  <c r="D55" i="55"/>
  <c r="D81" i="55"/>
  <c r="K34" i="59"/>
  <c r="I28" i="59"/>
  <c r="O34" i="59"/>
  <c r="E25" i="21"/>
  <c r="AA13" i="26"/>
  <c r="AA45" i="26"/>
  <c r="W12" i="25"/>
  <c r="V14" i="25"/>
  <c r="V13" i="25" s="1"/>
  <c r="U28" i="21"/>
  <c r="J28" i="21"/>
  <c r="H47" i="21"/>
  <c r="R95" i="26" s="1"/>
  <c r="G85" i="55"/>
  <c r="G59" i="55"/>
  <c r="U36" i="30"/>
  <c r="H28" i="59"/>
  <c r="K6" i="50"/>
  <c r="R46" i="30"/>
  <c r="I22" i="21"/>
  <c r="S39" i="30"/>
  <c r="J81" i="55"/>
  <c r="J55" i="55"/>
  <c r="E4" i="35"/>
  <c r="E6" i="55" s="1"/>
  <c r="F75" i="59"/>
  <c r="F76" i="59" s="1"/>
  <c r="F77" i="59"/>
  <c r="F25" i="59" s="1"/>
  <c r="K93" i="55"/>
  <c r="K67" i="55"/>
  <c r="Q13" i="30"/>
  <c r="Q12" i="30" s="1"/>
  <c r="Q15" i="30"/>
  <c r="H59" i="55"/>
  <c r="H85" i="55"/>
  <c r="AB13" i="26"/>
  <c r="T43" i="38"/>
  <c r="P42" i="38"/>
  <c r="M39" i="26"/>
  <c r="M88" i="26"/>
  <c r="N40" i="26"/>
  <c r="M15" i="26"/>
  <c r="AC13" i="26"/>
  <c r="AC45" i="26"/>
  <c r="J69" i="38"/>
  <c r="J66" i="38"/>
  <c r="E55" i="55"/>
  <c r="E81" i="55"/>
  <c r="J6" i="50"/>
  <c r="Q46" i="30"/>
  <c r="Z13" i="26"/>
  <c r="Z45" i="26"/>
  <c r="N45" i="26"/>
  <c r="M83" i="55"/>
  <c r="M57" i="55"/>
  <c r="AS72" i="20"/>
  <c r="AS70" i="20"/>
  <c r="AS71" i="20"/>
  <c r="L14" i="20"/>
  <c r="L36" i="20"/>
  <c r="U37" i="70"/>
  <c r="U16" i="70" s="1"/>
  <c r="U22" i="70" s="1"/>
  <c r="D6" i="71" s="1"/>
  <c r="U15" i="70"/>
  <c r="U21" i="70" s="1"/>
  <c r="D5" i="71" s="1"/>
  <c r="H28" i="21"/>
  <c r="F28" i="21"/>
  <c r="R28" i="21"/>
  <c r="AB93" i="26" s="1"/>
  <c r="J94" i="55"/>
  <c r="J68" i="55"/>
  <c r="J79" i="59"/>
  <c r="J23" i="59" s="1"/>
  <c r="L36" i="48"/>
  <c r="K57" i="48"/>
  <c r="K64" i="48" s="1"/>
  <c r="K40" i="48"/>
  <c r="T16" i="70"/>
  <c r="T22" i="70" s="1"/>
  <c r="C6" i="71" s="1"/>
  <c r="T15" i="70"/>
  <c r="T21" i="70" s="1"/>
  <c r="C5" i="71" s="1"/>
  <c r="F15" i="21"/>
  <c r="D85" i="21" s="1"/>
  <c r="D87" i="21" s="1"/>
  <c r="D84" i="21"/>
  <c r="P48" i="26"/>
  <c r="AD48" i="26" s="1"/>
  <c r="AE14" i="26" s="1"/>
  <c r="W122" i="48"/>
  <c r="W26" i="48" s="1"/>
  <c r="F75" i="21"/>
  <c r="X17" i="59"/>
  <c r="H15" i="35" s="1"/>
  <c r="H17" i="55" s="1"/>
  <c r="U47" i="21"/>
  <c r="D82" i="55"/>
  <c r="D56" i="55"/>
  <c r="M22" i="21"/>
  <c r="W40" i="30" s="1"/>
  <c r="W39" i="30"/>
  <c r="U16" i="48"/>
  <c r="C87" i="21"/>
  <c r="H22" i="21"/>
  <c r="R39" i="30"/>
  <c r="E100" i="55"/>
  <c r="E74" i="55"/>
  <c r="V36" i="30"/>
  <c r="D85" i="55"/>
  <c r="D59" i="55"/>
  <c r="J93" i="55"/>
  <c r="J67" i="55"/>
  <c r="T14" i="59"/>
  <c r="D9" i="35"/>
  <c r="U20" i="25"/>
  <c r="S28" i="21"/>
  <c r="AC93" i="26" s="1"/>
  <c r="N47" i="21"/>
  <c r="X95" i="26" s="1"/>
  <c r="J57" i="20"/>
  <c r="J58" i="20" s="1"/>
  <c r="C2" i="50"/>
  <c r="E28" i="59"/>
  <c r="I81" i="55"/>
  <c r="I55" i="55"/>
  <c r="G22" i="21"/>
  <c r="Q40" i="30" s="1"/>
  <c r="Q39" i="30"/>
  <c r="H16" i="35"/>
  <c r="H18" i="55" s="1"/>
  <c r="G81" i="55"/>
  <c r="G55" i="55"/>
  <c r="I192" i="65"/>
  <c r="W12" i="48" s="1"/>
  <c r="V12" i="48"/>
  <c r="L16" i="35"/>
  <c r="L18" i="55" s="1"/>
  <c r="L28" i="21"/>
  <c r="V93" i="26" s="1"/>
  <c r="N28" i="21"/>
  <c r="X93" i="26" s="1"/>
  <c r="D90" i="55"/>
  <c r="D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K94" i="55"/>
  <c r="K68" i="55"/>
  <c r="L55" i="55"/>
  <c r="L81" i="55"/>
  <c r="W123" i="48"/>
  <c r="V27" i="48"/>
  <c r="F22" i="35" s="1"/>
  <c r="F24" i="55" s="1"/>
  <c r="L85" i="55"/>
  <c r="L59" i="55"/>
  <c r="M68" i="55"/>
  <c r="M94" i="55"/>
  <c r="W13" i="26"/>
  <c r="W45" i="26"/>
  <c r="J22" i="21"/>
  <c r="T39" i="30"/>
  <c r="I67" i="55"/>
  <c r="I93" i="55"/>
  <c r="F81" i="55"/>
  <c r="F55" i="55"/>
  <c r="M46" i="38"/>
  <c r="M47" i="38" s="1"/>
  <c r="S14" i="59"/>
  <c r="S75" i="59" s="1"/>
  <c r="S76" i="59" s="1"/>
  <c r="P75" i="59"/>
  <c r="P76" i="59" s="1"/>
  <c r="L55" i="48" l="1"/>
  <c r="L38" i="48"/>
  <c r="U12" i="49"/>
  <c r="V12" i="49" s="1"/>
  <c r="W12" i="49" s="1"/>
  <c r="X12" i="49" s="1"/>
  <c r="R40" i="30"/>
  <c r="H25" i="21"/>
  <c r="U14" i="59"/>
  <c r="V20" i="25"/>
  <c r="E9" i="35"/>
  <c r="E11" i="55" s="1"/>
  <c r="U11" i="25"/>
  <c r="U19" i="25" s="1"/>
  <c r="E8" i="35" s="1"/>
  <c r="E10" i="55" s="1"/>
  <c r="E82" i="55"/>
  <c r="E56" i="55"/>
  <c r="N48" i="62"/>
  <c r="F100" i="55"/>
  <c r="F74" i="55"/>
  <c r="O43" i="30"/>
  <c r="E26" i="21"/>
  <c r="P40" i="30"/>
  <c r="F25" i="21"/>
  <c r="T40" i="30"/>
  <c r="J25" i="21"/>
  <c r="X123" i="48"/>
  <c r="W27" i="48"/>
  <c r="G22" i="35" s="1"/>
  <c r="G24" i="55" s="1"/>
  <c r="N33" i="62"/>
  <c r="D11" i="55"/>
  <c r="L25" i="21"/>
  <c r="J71" i="38"/>
  <c r="J73" i="38"/>
  <c r="M25" i="21"/>
  <c r="V121" i="48"/>
  <c r="V25" i="48" s="1"/>
  <c r="G94" i="55"/>
  <c r="G68" i="55"/>
  <c r="P45" i="26"/>
  <c r="AD45" i="26" s="1"/>
  <c r="E68" i="55"/>
  <c r="E94" i="55"/>
  <c r="D96" i="55"/>
  <c r="D70" i="55"/>
  <c r="F84" i="55"/>
  <c r="F58" i="55"/>
  <c r="V16" i="48"/>
  <c r="U15" i="48"/>
  <c r="H67" i="55"/>
  <c r="H93" i="55"/>
  <c r="W15" i="21"/>
  <c r="U10" i="48"/>
  <c r="U9" i="48" s="1"/>
  <c r="E19" i="35" s="1"/>
  <c r="E21" i="55" s="1"/>
  <c r="V11" i="48"/>
  <c r="E90" i="55"/>
  <c r="E64" i="55"/>
  <c r="V32" i="59"/>
  <c r="E18" i="35"/>
  <c r="E20" i="55" s="1"/>
  <c r="D59" i="26"/>
  <c r="M20" i="26"/>
  <c r="M90" i="26" s="1"/>
  <c r="M85" i="26" s="1"/>
  <c r="V63" i="59"/>
  <c r="U20" i="59"/>
  <c r="H94" i="55"/>
  <c r="H68" i="55"/>
  <c r="G25" i="21"/>
  <c r="R42" i="38"/>
  <c r="K25" i="21"/>
  <c r="X12" i="25"/>
  <c r="W14" i="25"/>
  <c r="W13" i="25" s="1"/>
  <c r="T9" i="48"/>
  <c r="D19" i="35" s="1"/>
  <c r="D21" i="55" s="1"/>
  <c r="F68" i="55"/>
  <c r="F94" i="55"/>
  <c r="K77" i="59"/>
  <c r="J25" i="59"/>
  <c r="J28" i="59" s="1"/>
  <c r="C3" i="50" s="1"/>
  <c r="G99" i="55"/>
  <c r="G73" i="55"/>
  <c r="L40" i="48"/>
  <c r="L57" i="48"/>
  <c r="N39" i="26"/>
  <c r="O40" i="26"/>
  <c r="N15" i="26"/>
  <c r="N20" i="26" s="1"/>
  <c r="N90" i="26" s="1"/>
  <c r="N88" i="26"/>
  <c r="N85" i="26" s="1"/>
  <c r="D79" i="59"/>
  <c r="D23" i="59" s="1"/>
  <c r="T44" i="38"/>
  <c r="P43" i="38"/>
  <c r="R43" i="38" s="1"/>
  <c r="F4" i="35"/>
  <c r="F6" i="55" s="1"/>
  <c r="S19" i="38"/>
  <c r="L18" i="38"/>
  <c r="N18" i="38" s="1"/>
  <c r="W10" i="33"/>
  <c r="V15" i="59"/>
  <c r="F12" i="35"/>
  <c r="F14" i="55" s="1"/>
  <c r="H99" i="55"/>
  <c r="H73" i="55"/>
  <c r="D28" i="59"/>
  <c r="F79" i="59"/>
  <c r="F23" i="59" s="1"/>
  <c r="F28" i="59" s="1"/>
  <c r="L94" i="55"/>
  <c r="L68" i="55"/>
  <c r="N43" i="30"/>
  <c r="D26" i="21"/>
  <c r="AQ71" i="20"/>
  <c r="AQ72" i="20"/>
  <c r="AQ70" i="20"/>
  <c r="J14" i="20"/>
  <c r="J36" i="20"/>
  <c r="X122" i="48"/>
  <c r="X26" i="48" s="1"/>
  <c r="S40" i="30"/>
  <c r="I25" i="21"/>
  <c r="AD13" i="26"/>
  <c r="X12" i="20"/>
  <c r="W13" i="20"/>
  <c r="W47" i="21"/>
  <c r="W13" i="30"/>
  <c r="W11" i="30" s="1"/>
  <c r="W46" i="30" s="1"/>
  <c r="G6" i="35" s="1"/>
  <c r="G8" i="55" s="1"/>
  <c r="X17" i="30"/>
  <c r="W15" i="30"/>
  <c r="F73" i="55"/>
  <c r="F99" i="55"/>
  <c r="O31" i="38"/>
  <c r="Q31" i="38" s="1"/>
  <c r="S32" i="38"/>
  <c r="Z19" i="48"/>
  <c r="Y18" i="48"/>
  <c r="I21" i="35" s="1"/>
  <c r="I23" i="55" s="1"/>
  <c r="E60" i="55" l="1"/>
  <c r="E86" i="55"/>
  <c r="M57" i="20"/>
  <c r="M58" i="20" s="1"/>
  <c r="F2" i="50"/>
  <c r="E96" i="55"/>
  <c r="E70" i="55"/>
  <c r="P43" i="30"/>
  <c r="F26" i="21"/>
  <c r="I99" i="55"/>
  <c r="I73" i="55"/>
  <c r="W15" i="59"/>
  <c r="X10" i="33"/>
  <c r="G12" i="35"/>
  <c r="G14" i="55" s="1"/>
  <c r="D87" i="55"/>
  <c r="D61" i="55"/>
  <c r="E87" i="55"/>
  <c r="E61" i="55"/>
  <c r="W20" i="25"/>
  <c r="F9" i="35"/>
  <c r="F11" i="55" s="1"/>
  <c r="W63" i="59"/>
  <c r="V20" i="59"/>
  <c r="V43" i="30"/>
  <c r="L26" i="21"/>
  <c r="F24" i="49"/>
  <c r="F25" i="49" s="1"/>
  <c r="F26" i="49" s="1"/>
  <c r="AA19" i="48"/>
  <c r="Z18" i="48"/>
  <c r="J21" i="35" s="1"/>
  <c r="J23" i="55" s="1"/>
  <c r="O32" i="38"/>
  <c r="Q32" i="38" s="1"/>
  <c r="S33" i="38"/>
  <c r="G4" i="35"/>
  <c r="G6" i="55" s="1"/>
  <c r="W121" i="48"/>
  <c r="W25" i="48" s="1"/>
  <c r="P44" i="38"/>
  <c r="R44" i="38" s="1"/>
  <c r="T45" i="38"/>
  <c r="P45" i="38" s="1"/>
  <c r="R45" i="38" s="1"/>
  <c r="R46" i="38" s="1"/>
  <c r="R47" i="38" s="1"/>
  <c r="G19" i="33"/>
  <c r="N57" i="20"/>
  <c r="N58" i="20" s="1"/>
  <c r="G2" i="50"/>
  <c r="D97" i="55"/>
  <c r="D71" i="55"/>
  <c r="Q43" i="30"/>
  <c r="G26" i="21"/>
  <c r="V15" i="48"/>
  <c r="W16" i="48"/>
  <c r="W43" i="30"/>
  <c r="M26" i="21"/>
  <c r="G100" i="55"/>
  <c r="G74" i="55"/>
  <c r="V11" i="25"/>
  <c r="V19" i="25" s="1"/>
  <c r="F8" i="35" s="1"/>
  <c r="F10" i="55" s="1"/>
  <c r="X13" i="30"/>
  <c r="X11" i="30" s="1"/>
  <c r="X46" i="30" s="1"/>
  <c r="H6" i="35" s="1"/>
  <c r="H8" i="55" s="1"/>
  <c r="Y17" i="30"/>
  <c r="X15" i="30"/>
  <c r="U43" i="30"/>
  <c r="K26" i="21"/>
  <c r="G84" i="55"/>
  <c r="G58" i="55"/>
  <c r="F86" i="59"/>
  <c r="L19" i="38"/>
  <c r="N19" i="38" s="1"/>
  <c r="S20" i="38"/>
  <c r="L20" i="38" s="1"/>
  <c r="W11" i="48"/>
  <c r="V10" i="48"/>
  <c r="Y123" i="48"/>
  <c r="X27" i="48"/>
  <c r="H22" i="35" s="1"/>
  <c r="H24" i="55" s="1"/>
  <c r="Y12" i="49"/>
  <c r="Z12" i="49" s="1"/>
  <c r="AA12" i="49" s="1"/>
  <c r="AB12" i="49" s="1"/>
  <c r="AC12" i="49" s="1"/>
  <c r="G24" i="49"/>
  <c r="G25" i="49" s="1"/>
  <c r="Y122" i="48"/>
  <c r="Y26" i="48" s="1"/>
  <c r="Y12" i="20"/>
  <c r="X13" i="20"/>
  <c r="F82" i="55"/>
  <c r="F56" i="55"/>
  <c r="L77" i="59"/>
  <c r="K25" i="59"/>
  <c r="K28" i="59" s="1"/>
  <c r="D3" i="50" s="1"/>
  <c r="K79" i="59"/>
  <c r="K23" i="59" s="1"/>
  <c r="E97" i="55"/>
  <c r="E71" i="55"/>
  <c r="T43" i="30"/>
  <c r="J26" i="21"/>
  <c r="R43" i="30"/>
  <c r="H26" i="21"/>
  <c r="W32" i="59"/>
  <c r="F18" i="35"/>
  <c r="F20" i="55" s="1"/>
  <c r="F83" i="59"/>
  <c r="F84" i="59" s="1"/>
  <c r="O88" i="26"/>
  <c r="P40" i="26"/>
  <c r="O39" i="26"/>
  <c r="O15" i="26"/>
  <c r="O20" i="26" s="1"/>
  <c r="O90" i="26" s="1"/>
  <c r="D55" i="26"/>
  <c r="E59" i="26"/>
  <c r="E55" i="26" s="1"/>
  <c r="S43" i="30"/>
  <c r="I26" i="21"/>
  <c r="F90" i="55"/>
  <c r="F64" i="55"/>
  <c r="X14" i="25"/>
  <c r="X13" i="25" s="1"/>
  <c r="Y12" i="25"/>
  <c r="G26" i="49" l="1"/>
  <c r="F60" i="55"/>
  <c r="F86" i="55"/>
  <c r="V14" i="59"/>
  <c r="L25" i="59"/>
  <c r="M77" i="59"/>
  <c r="L79" i="59"/>
  <c r="L23" i="59" s="1"/>
  <c r="H74" i="55"/>
  <c r="H100" i="55"/>
  <c r="AB19" i="48"/>
  <c r="AA18" i="48"/>
  <c r="K21" i="35" s="1"/>
  <c r="K23" i="55" s="1"/>
  <c r="O85" i="26"/>
  <c r="Z12" i="20"/>
  <c r="Y13" i="20"/>
  <c r="V9" i="48"/>
  <c r="F19" i="35" s="1"/>
  <c r="F21" i="55" s="1"/>
  <c r="X121" i="48"/>
  <c r="X25" i="48" s="1"/>
  <c r="X20" i="25"/>
  <c r="G9" i="35"/>
  <c r="G11" i="55" s="1"/>
  <c r="G90" i="55"/>
  <c r="G64" i="55"/>
  <c r="T34" i="49"/>
  <c r="T35" i="49" s="1"/>
  <c r="U32" i="49"/>
  <c r="T31" i="59"/>
  <c r="D11" i="35"/>
  <c r="F87" i="55"/>
  <c r="F61" i="55"/>
  <c r="P46" i="38"/>
  <c r="P47" i="38" s="1"/>
  <c r="W10" i="48"/>
  <c r="X11" i="48"/>
  <c r="G82" i="55"/>
  <c r="G56" i="55"/>
  <c r="X15" i="59"/>
  <c r="Y10" i="33"/>
  <c r="H12" i="35"/>
  <c r="H14" i="55" s="1"/>
  <c r="J99" i="55"/>
  <c r="J73" i="55"/>
  <c r="Q40" i="26"/>
  <c r="P15" i="26"/>
  <c r="P20" i="26" s="1"/>
  <c r="P90" i="26" s="1"/>
  <c r="P88" i="26"/>
  <c r="P85" i="26" s="1"/>
  <c r="P39" i="26"/>
  <c r="Z123" i="48"/>
  <c r="Y27" i="48"/>
  <c r="I22" i="35" s="1"/>
  <c r="I24" i="55" s="1"/>
  <c r="Y14" i="25"/>
  <c r="Y13" i="25" s="1"/>
  <c r="Z12" i="25"/>
  <c r="F96" i="55"/>
  <c r="F70" i="55"/>
  <c r="N20" i="38"/>
  <c r="L46" i="38"/>
  <c r="L47" i="38" s="1"/>
  <c r="Z17" i="30"/>
  <c r="Y15" i="30"/>
  <c r="Y13" i="30"/>
  <c r="Y11" i="30" s="1"/>
  <c r="Y46" i="30" s="1"/>
  <c r="I6" i="35" s="1"/>
  <c r="I8" i="55" s="1"/>
  <c r="AU70" i="20"/>
  <c r="AU71" i="20"/>
  <c r="N36" i="20"/>
  <c r="AU72" i="20"/>
  <c r="N14" i="20"/>
  <c r="AT70" i="20"/>
  <c r="AT71" i="20"/>
  <c r="AT72" i="20"/>
  <c r="M14" i="20"/>
  <c r="M36" i="20"/>
  <c r="H4" i="35"/>
  <c r="H6" i="55" s="1"/>
  <c r="X32" i="59"/>
  <c r="G18" i="35"/>
  <c r="G20" i="55" s="1"/>
  <c r="Z122" i="48"/>
  <c r="Z26" i="48" s="1"/>
  <c r="N46" i="38"/>
  <c r="N47" i="38" s="1"/>
  <c r="H84" i="55"/>
  <c r="H58" i="55"/>
  <c r="W15" i="48"/>
  <c r="X16" i="48"/>
  <c r="O33" i="38"/>
  <c r="Q33" i="38" s="1"/>
  <c r="S34" i="38"/>
  <c r="X63" i="59"/>
  <c r="W20" i="59"/>
  <c r="W11" i="25"/>
  <c r="W19" i="25" s="1"/>
  <c r="G8" i="35" s="1"/>
  <c r="G10" i="55" s="1"/>
  <c r="W14" i="59" l="1"/>
  <c r="G60" i="55"/>
  <c r="G86" i="55"/>
  <c r="X15" i="48"/>
  <c r="Y16" i="48"/>
  <c r="Y32" i="59"/>
  <c r="H18" i="35"/>
  <c r="H20" i="55" s="1"/>
  <c r="N32" i="62"/>
  <c r="D13" i="55"/>
  <c r="Y20" i="25"/>
  <c r="H9" i="35"/>
  <c r="H11" i="55" s="1"/>
  <c r="H82" i="55"/>
  <c r="H56" i="55"/>
  <c r="AA17" i="30"/>
  <c r="Z15" i="30"/>
  <c r="Z13" i="30"/>
  <c r="Z11" i="30" s="1"/>
  <c r="Z46" i="30" s="1"/>
  <c r="J6" i="35" s="1"/>
  <c r="J8" i="55" s="1"/>
  <c r="I74" i="55"/>
  <c r="I100" i="55"/>
  <c r="H90" i="55"/>
  <c r="H64" i="55"/>
  <c r="I84" i="55"/>
  <c r="I58" i="55"/>
  <c r="W9" i="48"/>
  <c r="G19" i="35" s="1"/>
  <c r="G21" i="55" s="1"/>
  <c r="V32" i="49"/>
  <c r="U31" i="59"/>
  <c r="U34" i="49"/>
  <c r="U35" i="49" s="1"/>
  <c r="E11" i="35"/>
  <c r="E13" i="55" s="1"/>
  <c r="Y121" i="48"/>
  <c r="Y25" i="48" s="1"/>
  <c r="M25" i="59"/>
  <c r="M28" i="59" s="1"/>
  <c r="F3" i="50" s="1"/>
  <c r="N77" i="59"/>
  <c r="M79" i="59"/>
  <c r="M23" i="59" s="1"/>
  <c r="O57" i="20"/>
  <c r="O58" i="20" s="1"/>
  <c r="H2" i="50"/>
  <c r="AA123" i="48"/>
  <c r="Z27" i="48"/>
  <c r="J22" i="35" s="1"/>
  <c r="J24" i="55" s="1"/>
  <c r="Y11" i="48"/>
  <c r="X10" i="48"/>
  <c r="P57" i="20"/>
  <c r="P58" i="20" s="1"/>
  <c r="I2" i="50"/>
  <c r="D10" i="35"/>
  <c r="D12" i="55" s="1"/>
  <c r="F71" i="55"/>
  <c r="F97" i="55"/>
  <c r="L28" i="59"/>
  <c r="E3" i="50" s="1"/>
  <c r="G70" i="55"/>
  <c r="G96" i="55"/>
  <c r="G87" i="55"/>
  <c r="G61" i="55"/>
  <c r="Z10" i="33"/>
  <c r="I12" i="35"/>
  <c r="I14" i="55" s="1"/>
  <c r="Y15" i="59"/>
  <c r="Y63" i="59"/>
  <c r="X20" i="59"/>
  <c r="I4" i="35"/>
  <c r="I6" i="55" s="1"/>
  <c r="K99" i="55"/>
  <c r="K73" i="55"/>
  <c r="X11" i="25"/>
  <c r="X19" i="25" s="1"/>
  <c r="H8" i="35" s="1"/>
  <c r="H10" i="55" s="1"/>
  <c r="S35" i="38"/>
  <c r="O34" i="38"/>
  <c r="Q34" i="38" s="1"/>
  <c r="AA122" i="48"/>
  <c r="AA26" i="48" s="1"/>
  <c r="AA12" i="25"/>
  <c r="Z14" i="25"/>
  <c r="Z13" i="25" s="1"/>
  <c r="R40" i="26"/>
  <c r="Q15" i="26"/>
  <c r="Q20" i="26" s="1"/>
  <c r="Q90" i="26" s="1"/>
  <c r="Q88" i="26"/>
  <c r="Q39" i="26"/>
  <c r="Z13" i="20"/>
  <c r="AA12" i="20"/>
  <c r="AC19" i="48"/>
  <c r="AC18" i="48" s="1"/>
  <c r="M21" i="35" s="1"/>
  <c r="M23" i="55" s="1"/>
  <c r="AB18" i="48"/>
  <c r="L21" i="35" s="1"/>
  <c r="L23" i="55" s="1"/>
  <c r="X14" i="59" l="1"/>
  <c r="H86" i="55"/>
  <c r="H60" i="55"/>
  <c r="J84" i="55"/>
  <c r="J58" i="55"/>
  <c r="M99" i="55"/>
  <c r="M73" i="55"/>
  <c r="U10" i="26"/>
  <c r="E10" i="35"/>
  <c r="E12" i="55" s="1"/>
  <c r="H70" i="55"/>
  <c r="H96" i="55"/>
  <c r="AA14" i="25"/>
  <c r="AA13" i="25" s="1"/>
  <c r="AB12" i="25"/>
  <c r="AV70" i="20"/>
  <c r="AV71" i="20"/>
  <c r="AV72" i="20"/>
  <c r="O36" i="20"/>
  <c r="O14" i="20"/>
  <c r="Z32" i="59"/>
  <c r="I18" i="35"/>
  <c r="I20" i="55" s="1"/>
  <c r="Z63" i="59"/>
  <c r="Y20" i="59"/>
  <c r="E63" i="55"/>
  <c r="E89" i="55"/>
  <c r="D88" i="55"/>
  <c r="D62" i="55"/>
  <c r="AB17" i="30"/>
  <c r="AA15" i="30"/>
  <c r="AA13" i="30"/>
  <c r="AA11" i="30" s="1"/>
  <c r="AA46" i="30" s="1"/>
  <c r="K6" i="35" s="1"/>
  <c r="K8" i="55" s="1"/>
  <c r="AA13" i="20"/>
  <c r="AB12" i="20"/>
  <c r="J4" i="35"/>
  <c r="J6" i="55" s="1"/>
  <c r="I56" i="55"/>
  <c r="I82" i="55"/>
  <c r="V31" i="59"/>
  <c r="W32" i="49"/>
  <c r="V34" i="49"/>
  <c r="V35" i="49" s="1"/>
  <c r="F11" i="35"/>
  <c r="F13" i="55" s="1"/>
  <c r="Z16" i="48"/>
  <c r="Y15" i="48"/>
  <c r="O35" i="38"/>
  <c r="Q35" i="38" s="1"/>
  <c r="S36" i="38"/>
  <c r="O36" i="38" s="1"/>
  <c r="J100" i="55"/>
  <c r="J74" i="55"/>
  <c r="Z121" i="48"/>
  <c r="Z25" i="48" s="1"/>
  <c r="D63" i="55"/>
  <c r="D89" i="55"/>
  <c r="S40" i="26"/>
  <c r="R15" i="26"/>
  <c r="R20" i="26" s="1"/>
  <c r="R90" i="26" s="1"/>
  <c r="R88" i="26"/>
  <c r="R85" i="26" s="1"/>
  <c r="R39" i="26"/>
  <c r="AB123" i="48"/>
  <c r="AA27" i="48"/>
  <c r="K22" i="35" s="1"/>
  <c r="K24" i="55" s="1"/>
  <c r="AB122" i="48"/>
  <c r="AB26" i="48" s="1"/>
  <c r="O77" i="59"/>
  <c r="N25" i="59"/>
  <c r="N79" i="59"/>
  <c r="N23" i="59" s="1"/>
  <c r="AA10" i="33"/>
  <c r="G83" i="59" s="1"/>
  <c r="G84" i="59" s="1"/>
  <c r="Z15" i="59"/>
  <c r="J12" i="35"/>
  <c r="J14" i="55" s="1"/>
  <c r="X9" i="48"/>
  <c r="H19" i="35" s="1"/>
  <c r="H21" i="55" s="1"/>
  <c r="G97" i="55"/>
  <c r="G71" i="55"/>
  <c r="I9" i="35"/>
  <c r="I11" i="55" s="1"/>
  <c r="Z20" i="25"/>
  <c r="Y11" i="25"/>
  <c r="Y19" i="25" s="1"/>
  <c r="I8" i="35" s="1"/>
  <c r="I10" i="55" s="1"/>
  <c r="H19" i="33"/>
  <c r="L99" i="55"/>
  <c r="L73" i="55"/>
  <c r="I64" i="55"/>
  <c r="I90" i="55"/>
  <c r="AW70" i="20"/>
  <c r="AW71" i="20"/>
  <c r="AW72" i="20"/>
  <c r="P14" i="20"/>
  <c r="P36" i="20"/>
  <c r="H87" i="55"/>
  <c r="H61" i="55"/>
  <c r="Q85" i="26"/>
  <c r="Z11" i="48"/>
  <c r="Y10" i="48"/>
  <c r="Y9" i="48" s="1"/>
  <c r="I19" i="35" s="1"/>
  <c r="I21" i="55" s="1"/>
  <c r="I86" i="55" l="1"/>
  <c r="I60" i="55"/>
  <c r="Y14" i="59"/>
  <c r="I87" i="55"/>
  <c r="I61" i="55"/>
  <c r="K74" i="55"/>
  <c r="K100" i="55"/>
  <c r="F89" i="55"/>
  <c r="F63" i="55"/>
  <c r="Q57" i="20"/>
  <c r="Q58" i="20" s="1"/>
  <c r="J2" i="50"/>
  <c r="AC123" i="48"/>
  <c r="AC27" i="48" s="1"/>
  <c r="M22" i="35" s="1"/>
  <c r="M24" i="55" s="1"/>
  <c r="AB27" i="48"/>
  <c r="L22" i="35" s="1"/>
  <c r="L24" i="55" s="1"/>
  <c r="K4" i="35"/>
  <c r="K6" i="55" s="1"/>
  <c r="R57" i="20"/>
  <c r="R58" i="20" s="1"/>
  <c r="K2" i="50"/>
  <c r="K58" i="55"/>
  <c r="K84" i="55"/>
  <c r="AA63" i="59"/>
  <c r="Z20" i="59"/>
  <c r="E88" i="55"/>
  <c r="E62" i="55"/>
  <c r="I71" i="55"/>
  <c r="I97" i="55"/>
  <c r="H71" i="55"/>
  <c r="H97" i="55"/>
  <c r="Q36" i="38"/>
  <c r="Q46" i="38" s="1"/>
  <c r="Q47" i="38" s="1"/>
  <c r="O46" i="38"/>
  <c r="O47" i="38" s="1"/>
  <c r="I96" i="55"/>
  <c r="I70" i="55"/>
  <c r="AC12" i="25"/>
  <c r="AB14" i="25"/>
  <c r="AB13" i="25" s="1"/>
  <c r="AB13" i="20"/>
  <c r="AC12" i="20"/>
  <c r="AC13" i="20" s="1"/>
  <c r="AB15" i="30"/>
  <c r="AB13" i="30"/>
  <c r="AB11" i="30" s="1"/>
  <c r="AB46" i="30" s="1"/>
  <c r="L6" i="35" s="1"/>
  <c r="L8" i="55" s="1"/>
  <c r="AC17" i="30"/>
  <c r="AA32" i="59"/>
  <c r="J18" i="35"/>
  <c r="J20" i="55" s="1"/>
  <c r="AA121" i="48"/>
  <c r="AA25" i="48" s="1"/>
  <c r="W34" i="49"/>
  <c r="W35" i="49" s="1"/>
  <c r="W31" i="59"/>
  <c r="X32" i="49"/>
  <c r="G11" i="35"/>
  <c r="G13" i="55" s="1"/>
  <c r="AA11" i="48"/>
  <c r="Z10" i="48"/>
  <c r="V10" i="26"/>
  <c r="F10" i="35"/>
  <c r="F12" i="55" s="1"/>
  <c r="N28" i="59"/>
  <c r="G3" i="50" s="1"/>
  <c r="O25" i="59"/>
  <c r="O28" i="59" s="1"/>
  <c r="H3" i="50" s="1"/>
  <c r="P77" i="59"/>
  <c r="O79" i="59"/>
  <c r="O23" i="59" s="1"/>
  <c r="J64" i="55"/>
  <c r="J90" i="55"/>
  <c r="T40" i="26"/>
  <c r="S15" i="26"/>
  <c r="S20" i="26" s="1"/>
  <c r="S88" i="26"/>
  <c r="S39" i="26"/>
  <c r="J9" i="35"/>
  <c r="J11" i="55" s="1"/>
  <c r="AA20" i="25"/>
  <c r="AB10" i="33"/>
  <c r="AA15" i="59"/>
  <c r="K12" i="35"/>
  <c r="K14" i="55" s="1"/>
  <c r="G86" i="59"/>
  <c r="AC122" i="48"/>
  <c r="AC26" i="48" s="1"/>
  <c r="AA16" i="48"/>
  <c r="Z15" i="48"/>
  <c r="J56" i="55"/>
  <c r="J82" i="55"/>
  <c r="Z11" i="25"/>
  <c r="Z19" i="25" s="1"/>
  <c r="J8" i="35" s="1"/>
  <c r="J10" i="55" s="1"/>
  <c r="J86" i="55" l="1"/>
  <c r="J60" i="55"/>
  <c r="Z14" i="59"/>
  <c r="G89" i="55"/>
  <c r="G63" i="55"/>
  <c r="AY71" i="20"/>
  <c r="AY72" i="20"/>
  <c r="AY70" i="20"/>
  <c r="R14" i="20"/>
  <c r="R36" i="20"/>
  <c r="AB16" i="48"/>
  <c r="AA15" i="48"/>
  <c r="X34" i="49"/>
  <c r="X35" i="49" s="1"/>
  <c r="Y32" i="49"/>
  <c r="X31" i="59"/>
  <c r="H11" i="35"/>
  <c r="H13" i="55" s="1"/>
  <c r="AC15" i="30"/>
  <c r="AC13" i="30"/>
  <c r="AC11" i="30" s="1"/>
  <c r="AC46" i="30" s="1"/>
  <c r="M6" i="35" s="1"/>
  <c r="M8" i="55" s="1"/>
  <c r="K82" i="55"/>
  <c r="K56" i="55"/>
  <c r="AC10" i="33"/>
  <c r="AB15" i="59"/>
  <c r="I19" i="33"/>
  <c r="L12" i="35"/>
  <c r="L14" i="55" s="1"/>
  <c r="AC14" i="25"/>
  <c r="AC13" i="25" s="1"/>
  <c r="J61" i="55"/>
  <c r="J87" i="55"/>
  <c r="Q77" i="59"/>
  <c r="P25" i="59"/>
  <c r="P79" i="59"/>
  <c r="P23" i="59" s="1"/>
  <c r="L58" i="55"/>
  <c r="L84" i="55"/>
  <c r="L100" i="55"/>
  <c r="L74" i="55"/>
  <c r="AA10" i="48"/>
  <c r="AA9" i="48" s="1"/>
  <c r="K19" i="35" s="1"/>
  <c r="K21" i="55" s="1"/>
  <c r="AB11" i="48"/>
  <c r="AB32" i="59"/>
  <c r="K18" i="35"/>
  <c r="K20" i="55" s="1"/>
  <c r="G10" i="35"/>
  <c r="G12" i="55" s="1"/>
  <c r="W10" i="26"/>
  <c r="M4" i="35"/>
  <c r="M6" i="55" s="1"/>
  <c r="AA20" i="59"/>
  <c r="AB63" i="59"/>
  <c r="M100" i="55"/>
  <c r="M74" i="55"/>
  <c r="F88" i="55"/>
  <c r="F62" i="55"/>
  <c r="K9" i="35"/>
  <c r="K11" i="55" s="1"/>
  <c r="AB20" i="25"/>
  <c r="AB11" i="25" s="1"/>
  <c r="AB19" i="25" s="1"/>
  <c r="L8" i="35" s="1"/>
  <c r="L10" i="55" s="1"/>
  <c r="AA11" i="25"/>
  <c r="AA19" i="25" s="1"/>
  <c r="K8" i="35" s="1"/>
  <c r="K10" i="55" s="1"/>
  <c r="S85" i="26"/>
  <c r="K90" i="55"/>
  <c r="K64" i="55"/>
  <c r="S90" i="26"/>
  <c r="D87" i="59"/>
  <c r="AB121" i="48"/>
  <c r="AB25" i="48" s="1"/>
  <c r="L4" i="35"/>
  <c r="L6" i="55" s="1"/>
  <c r="J96" i="55"/>
  <c r="J70" i="55"/>
  <c r="T88" i="26"/>
  <c r="T39" i="26"/>
  <c r="U40" i="26"/>
  <c r="Z9" i="48"/>
  <c r="J19" i="35" s="1"/>
  <c r="J21" i="55" s="1"/>
  <c r="AX71" i="20"/>
  <c r="AX72" i="20"/>
  <c r="AX70" i="20"/>
  <c r="Q14" i="20"/>
  <c r="Q36" i="20"/>
  <c r="K86" i="55" l="1"/>
  <c r="K60" i="55"/>
  <c r="L86" i="55"/>
  <c r="L60" i="55"/>
  <c r="AA14" i="59"/>
  <c r="J71" i="55"/>
  <c r="J97" i="55"/>
  <c r="AC16" i="48"/>
  <c r="AC15" i="48" s="1"/>
  <c r="AB15" i="48"/>
  <c r="G62" i="55"/>
  <c r="G88" i="55"/>
  <c r="L90" i="55"/>
  <c r="L64" i="55"/>
  <c r="H89" i="55"/>
  <c r="H63" i="55"/>
  <c r="L2" i="50"/>
  <c r="S57" i="20"/>
  <c r="S58" i="20" s="1"/>
  <c r="C2" i="35"/>
  <c r="AC32" i="59"/>
  <c r="M18" i="35" s="1"/>
  <c r="M20" i="55" s="1"/>
  <c r="L18" i="35"/>
  <c r="L20" i="55" s="1"/>
  <c r="T90" i="26"/>
  <c r="T85" i="26" s="1"/>
  <c r="U20" i="26"/>
  <c r="AC63" i="59"/>
  <c r="AC20" i="59" s="1"/>
  <c r="AB20" i="59"/>
  <c r="AB10" i="48"/>
  <c r="AB9" i="48" s="1"/>
  <c r="L19" i="35" s="1"/>
  <c r="L21" i="55" s="1"/>
  <c r="AC11" i="48"/>
  <c r="AC10" i="48" s="1"/>
  <c r="R77" i="59"/>
  <c r="Q25" i="59"/>
  <c r="Q79" i="59"/>
  <c r="Q23" i="59" s="1"/>
  <c r="AC15" i="59"/>
  <c r="M12" i="35"/>
  <c r="M14" i="55" s="1"/>
  <c r="Z32" i="49"/>
  <c r="Y31" i="59"/>
  <c r="Y34" i="49"/>
  <c r="Y35" i="49" s="1"/>
  <c r="I11" i="35"/>
  <c r="I13" i="55" s="1"/>
  <c r="U39" i="26"/>
  <c r="U88" i="26"/>
  <c r="V40" i="26"/>
  <c r="U15" i="26"/>
  <c r="P28" i="59"/>
  <c r="I3" i="50" s="1"/>
  <c r="AB14" i="59"/>
  <c r="AC20" i="25"/>
  <c r="L9" i="35"/>
  <c r="L11" i="55" s="1"/>
  <c r="K97" i="55"/>
  <c r="K71" i="55"/>
  <c r="H10" i="35"/>
  <c r="H12" i="55" s="1"/>
  <c r="X10" i="26"/>
  <c r="AC121" i="48"/>
  <c r="AC25" i="48" s="1"/>
  <c r="K96" i="55"/>
  <c r="K70" i="55"/>
  <c r="K61" i="55"/>
  <c r="K87" i="55"/>
  <c r="M82" i="55"/>
  <c r="M56" i="55"/>
  <c r="L82" i="55"/>
  <c r="L56" i="55"/>
  <c r="M84" i="55"/>
  <c r="M58" i="55"/>
  <c r="U11" i="26" l="1"/>
  <c r="U9" i="26" s="1"/>
  <c r="D2" i="35"/>
  <c r="D4" i="55" s="1"/>
  <c r="T57" i="20"/>
  <c r="T58" i="20" s="1"/>
  <c r="AZ72" i="20"/>
  <c r="AZ70" i="20"/>
  <c r="AZ71" i="20"/>
  <c r="S14" i="20"/>
  <c r="S36" i="20"/>
  <c r="V39" i="26"/>
  <c r="W40" i="26"/>
  <c r="V15" i="26"/>
  <c r="V88" i="26"/>
  <c r="M90" i="55"/>
  <c r="M64" i="55"/>
  <c r="H62" i="55"/>
  <c r="H88" i="55"/>
  <c r="Z31" i="59"/>
  <c r="AA32" i="49"/>
  <c r="Z34" i="49"/>
  <c r="Z35" i="49" s="1"/>
  <c r="J11" i="35"/>
  <c r="J13" i="55" s="1"/>
  <c r="U90" i="26"/>
  <c r="U85" i="26" s="1"/>
  <c r="V20" i="26"/>
  <c r="L71" i="55"/>
  <c r="L97" i="55"/>
  <c r="M9" i="35"/>
  <c r="M11" i="55" s="1"/>
  <c r="AC11" i="25"/>
  <c r="AC19" i="25" s="1"/>
  <c r="M8" i="35" s="1"/>
  <c r="M10" i="55" s="1"/>
  <c r="I89" i="55"/>
  <c r="I63" i="55"/>
  <c r="Q28" i="59"/>
  <c r="J3" i="50" s="1"/>
  <c r="L87" i="55"/>
  <c r="L61" i="55"/>
  <c r="Y10" i="26"/>
  <c r="I10" i="35"/>
  <c r="I12" i="55" s="1"/>
  <c r="S77" i="59"/>
  <c r="R25" i="59"/>
  <c r="R79" i="59"/>
  <c r="R23" i="59" s="1"/>
  <c r="L96" i="55"/>
  <c r="L70" i="55"/>
  <c r="AC9" i="48"/>
  <c r="M19" i="35" s="1"/>
  <c r="M21" i="55" s="1"/>
  <c r="M96" i="55"/>
  <c r="M70" i="55"/>
  <c r="M60" i="55" l="1"/>
  <c r="M86" i="55"/>
  <c r="AC14" i="59"/>
  <c r="U57" i="20"/>
  <c r="U58" i="20" s="1"/>
  <c r="E2" i="35"/>
  <c r="E4" i="55" s="1"/>
  <c r="J89" i="55"/>
  <c r="J63" i="55"/>
  <c r="AA34" i="49"/>
  <c r="AA31" i="59"/>
  <c r="K11" i="35"/>
  <c r="K13" i="55" s="1"/>
  <c r="AB32" i="49"/>
  <c r="M87" i="55"/>
  <c r="M61" i="55"/>
  <c r="R28" i="59"/>
  <c r="K3" i="50" s="1"/>
  <c r="E87" i="59"/>
  <c r="Z10" i="26"/>
  <c r="J10" i="35"/>
  <c r="J12" i="55" s="1"/>
  <c r="T77" i="59"/>
  <c r="S25" i="59"/>
  <c r="S79" i="59"/>
  <c r="V11" i="26"/>
  <c r="V9" i="26" s="1"/>
  <c r="BA72" i="20"/>
  <c r="BA70" i="20"/>
  <c r="BA71" i="20"/>
  <c r="T14" i="20"/>
  <c r="M71" i="55"/>
  <c r="M97" i="55"/>
  <c r="I88" i="55"/>
  <c r="I62" i="55"/>
  <c r="W20" i="26"/>
  <c r="V90" i="26"/>
  <c r="V85" i="26" s="1"/>
  <c r="W88" i="26"/>
  <c r="X40" i="26"/>
  <c r="W15" i="26"/>
  <c r="W39" i="26"/>
  <c r="D80" i="55"/>
  <c r="D54" i="55"/>
  <c r="X20" i="26" l="1"/>
  <c r="W90" i="26"/>
  <c r="W85" i="26" s="1"/>
  <c r="AA10" i="26"/>
  <c r="K10" i="35"/>
  <c r="K12" i="55" s="1"/>
  <c r="K89" i="55"/>
  <c r="K63" i="55"/>
  <c r="S23" i="59"/>
  <c r="S28" i="59"/>
  <c r="V57" i="20"/>
  <c r="V58" i="20" s="1"/>
  <c r="F2" i="35"/>
  <c r="F4" i="55" s="1"/>
  <c r="X15" i="26"/>
  <c r="X39" i="26"/>
  <c r="AD39" i="26" s="1"/>
  <c r="X88" i="26"/>
  <c r="AD40" i="26"/>
  <c r="AE15" i="26" s="1"/>
  <c r="U77" i="59"/>
  <c r="T25" i="59"/>
  <c r="W11" i="26"/>
  <c r="W9" i="26" s="1"/>
  <c r="AB34" i="49"/>
  <c r="AC32" i="49"/>
  <c r="AB31" i="59"/>
  <c r="L11" i="35"/>
  <c r="L13" i="55" s="1"/>
  <c r="E80" i="55"/>
  <c r="E54" i="55"/>
  <c r="J88" i="55"/>
  <c r="J62" i="55"/>
  <c r="AA35" i="49"/>
  <c r="BB70" i="20"/>
  <c r="BB71" i="20"/>
  <c r="BB72" i="20"/>
  <c r="U14" i="20"/>
  <c r="W57" i="20" l="1"/>
  <c r="W58" i="20" s="1"/>
  <c r="G2" i="35"/>
  <c r="G4" i="55" s="1"/>
  <c r="C17" i="35"/>
  <c r="L3" i="50"/>
  <c r="AB10" i="26"/>
  <c r="L10" i="35"/>
  <c r="L12" i="55" s="1"/>
  <c r="Y20" i="26"/>
  <c r="X90" i="26"/>
  <c r="X85" i="26" s="1"/>
  <c r="L63" i="55"/>
  <c r="L89" i="55"/>
  <c r="F80" i="55"/>
  <c r="F54" i="55"/>
  <c r="V14" i="20"/>
  <c r="T28" i="59"/>
  <c r="D17" i="35" s="1"/>
  <c r="D19" i="55" s="1"/>
  <c r="V77" i="59"/>
  <c r="U25" i="59"/>
  <c r="U79" i="59"/>
  <c r="T23" i="59"/>
  <c r="AB35" i="49"/>
  <c r="AC31" i="59"/>
  <c r="AC34" i="49"/>
  <c r="AC35" i="49" s="1"/>
  <c r="M11" i="35"/>
  <c r="M13" i="55" s="1"/>
  <c r="X11" i="26"/>
  <c r="X9" i="26" s="1"/>
  <c r="AD15" i="26"/>
  <c r="K88" i="55"/>
  <c r="K62" i="55"/>
  <c r="L88" i="55" l="1"/>
  <c r="L62" i="55"/>
  <c r="X57" i="20"/>
  <c r="X58" i="20" s="1"/>
  <c r="H2" i="35"/>
  <c r="H4" i="55" s="1"/>
  <c r="D95" i="55"/>
  <c r="D69" i="55"/>
  <c r="V79" i="59"/>
  <c r="U23" i="59"/>
  <c r="U12" i="59" s="1"/>
  <c r="Z20" i="26"/>
  <c r="Y90" i="26"/>
  <c r="Y85" i="26" s="1"/>
  <c r="Y11" i="26"/>
  <c r="Y9" i="26" s="1"/>
  <c r="M63" i="55"/>
  <c r="M89" i="55"/>
  <c r="W77" i="59"/>
  <c r="V25" i="59"/>
  <c r="G54" i="55"/>
  <c r="G80" i="55"/>
  <c r="AC10" i="26"/>
  <c r="M10" i="35"/>
  <c r="M12" i="55" s="1"/>
  <c r="W14" i="20"/>
  <c r="U28" i="59" l="1"/>
  <c r="E17" i="35" s="1"/>
  <c r="E19" i="55" s="1"/>
  <c r="E95" i="55" s="1"/>
  <c r="W79" i="59"/>
  <c r="V23" i="59"/>
  <c r="V12" i="59" s="1"/>
  <c r="Y57" i="20"/>
  <c r="Y58" i="20" s="1"/>
  <c r="I2" i="35"/>
  <c r="I4" i="55" s="1"/>
  <c r="M88" i="55"/>
  <c r="M62" i="55"/>
  <c r="AA20" i="26"/>
  <c r="Z90" i="26"/>
  <c r="Z85" i="26" s="1"/>
  <c r="Z11" i="26"/>
  <c r="Z9" i="26" s="1"/>
  <c r="H54" i="55"/>
  <c r="H80" i="55"/>
  <c r="V28" i="59"/>
  <c r="F17" i="35" s="1"/>
  <c r="F19" i="55" s="1"/>
  <c r="X14" i="20"/>
  <c r="X77" i="59"/>
  <c r="W25" i="59"/>
  <c r="E69" i="55" l="1"/>
  <c r="F87" i="59"/>
  <c r="I80" i="55"/>
  <c r="I54" i="55"/>
  <c r="X79" i="59"/>
  <c r="W23" i="59"/>
  <c r="W12" i="59" s="1"/>
  <c r="Z57" i="20"/>
  <c r="Z58" i="20" s="1"/>
  <c r="J2" i="35"/>
  <c r="J4" i="55" s="1"/>
  <c r="Y77" i="59"/>
  <c r="X25" i="59"/>
  <c r="AA90" i="26"/>
  <c r="AA85" i="26" s="1"/>
  <c r="AB20" i="26"/>
  <c r="AA11" i="26"/>
  <c r="AA9" i="26" s="1"/>
  <c r="Y14" i="20"/>
  <c r="F95" i="55"/>
  <c r="F69" i="55"/>
  <c r="X23" i="59" l="1"/>
  <c r="X12" i="59" s="1"/>
  <c r="Y79" i="59"/>
  <c r="AA57" i="20"/>
  <c r="AA58" i="20" s="1"/>
  <c r="K2" i="35"/>
  <c r="K4" i="55" s="1"/>
  <c r="AB90" i="26"/>
  <c r="AB85" i="26" s="1"/>
  <c r="AC20" i="26"/>
  <c r="AB11" i="26"/>
  <c r="AB9" i="26" s="1"/>
  <c r="X28" i="59"/>
  <c r="H17" i="35" s="1"/>
  <c r="H19" i="55" s="1"/>
  <c r="Z77" i="59"/>
  <c r="Y25" i="59"/>
  <c r="W28" i="59"/>
  <c r="G17" i="35" s="1"/>
  <c r="G19" i="55" s="1"/>
  <c r="Z14" i="20"/>
  <c r="J80" i="55"/>
  <c r="J54" i="55"/>
  <c r="AC90" i="26" l="1"/>
  <c r="AC85" i="26" s="1"/>
  <c r="AC11" i="26"/>
  <c r="AC9" i="26" s="1"/>
  <c r="G95" i="55"/>
  <c r="G69" i="55"/>
  <c r="K80" i="55"/>
  <c r="K54" i="55"/>
  <c r="AA14" i="20"/>
  <c r="L2" i="35"/>
  <c r="L4" i="55" s="1"/>
  <c r="AB57" i="20"/>
  <c r="AB58" i="20" s="1"/>
  <c r="AA77" i="59"/>
  <c r="Z25" i="59"/>
  <c r="Y23" i="59"/>
  <c r="Y12" i="59" s="1"/>
  <c r="Z79" i="59"/>
  <c r="H95" i="55"/>
  <c r="H69" i="55"/>
  <c r="AB77" i="59" l="1"/>
  <c r="AA25" i="59"/>
  <c r="G87" i="59" s="1"/>
  <c r="Y28" i="59"/>
  <c r="I17" i="35" s="1"/>
  <c r="I19" i="55" s="1"/>
  <c r="AB14" i="20"/>
  <c r="AA79" i="59"/>
  <c r="Z23" i="59"/>
  <c r="Z12" i="59" s="1"/>
  <c r="L80" i="55"/>
  <c r="L54" i="55"/>
  <c r="AC57" i="20"/>
  <c r="AC58" i="20" s="1"/>
  <c r="M2" i="35"/>
  <c r="M4" i="55" s="1"/>
  <c r="I95" i="55" l="1"/>
  <c r="I69" i="55"/>
  <c r="AA23" i="59"/>
  <c r="AA12" i="59" s="1"/>
  <c r="G85" i="59" s="1"/>
  <c r="G89" i="59" s="1"/>
  <c r="AB79" i="59"/>
  <c r="M80" i="55"/>
  <c r="M54" i="55"/>
  <c r="AB25" i="59"/>
  <c r="AC77" i="59"/>
  <c r="AC25" i="59" s="1"/>
  <c r="AC36" i="20"/>
  <c r="AC14" i="20"/>
  <c r="Z28" i="59"/>
  <c r="J17" i="35" s="1"/>
  <c r="J19" i="55" s="1"/>
  <c r="AC79" i="59" l="1"/>
  <c r="AC23" i="59" s="1"/>
  <c r="AC12" i="59" s="1"/>
  <c r="AB23" i="59"/>
  <c r="AB12" i="59" s="1"/>
  <c r="J69" i="55"/>
  <c r="J95" i="55"/>
  <c r="AA28" i="59"/>
  <c r="K17" i="35" s="1"/>
  <c r="K19" i="55" s="1"/>
  <c r="AB28" i="59"/>
  <c r="L17" i="35" s="1"/>
  <c r="L19" i="55" s="1"/>
  <c r="AC28" i="59"/>
  <c r="M17" i="35" s="1"/>
  <c r="M19" i="55" s="1"/>
  <c r="K69" i="55" l="1"/>
  <c r="K95" i="55"/>
  <c r="M95" i="55"/>
  <c r="M69" i="55"/>
  <c r="L95" i="55"/>
  <c r="L69" i="55"/>
  <c r="N46" i="62" l="1"/>
  <c r="T19" i="59" l="1"/>
  <c r="T24" i="59" l="1"/>
  <c r="D16" i="35" s="1"/>
  <c r="D18" i="55" s="1"/>
  <c r="D94" i="55" l="1"/>
  <c r="D68" i="55"/>
  <c r="F85" i="59"/>
  <c r="F89" i="59" s="1"/>
  <c r="U35" i="20"/>
  <c r="U36" i="20" s="1"/>
  <c r="D5" i="35"/>
  <c r="D7" i="55" s="1"/>
  <c r="T34" i="20"/>
  <c r="BA64" i="20" s="1"/>
  <c r="T36" i="20"/>
  <c r="D57" i="55" l="1"/>
  <c r="D83" i="55"/>
  <c r="V35" i="20"/>
  <c r="E5" i="35"/>
  <c r="E7" i="55" s="1"/>
  <c r="E83" i="55" l="1"/>
  <c r="E57" i="55"/>
  <c r="F5" i="35"/>
  <c r="F7" i="55" s="1"/>
  <c r="V36" i="20"/>
  <c r="W35" i="20"/>
  <c r="G5" i="35" l="1"/>
  <c r="G7" i="55" s="1"/>
  <c r="X35" i="20"/>
  <c r="W36" i="20"/>
  <c r="F57" i="55"/>
  <c r="F83" i="55"/>
  <c r="X36" i="20" l="1"/>
  <c r="Y35" i="20"/>
  <c r="H5" i="35"/>
  <c r="H7" i="55" s="1"/>
  <c r="G57" i="55"/>
  <c r="G83" i="55"/>
  <c r="Y36" i="20" l="1"/>
  <c r="Z35" i="20"/>
  <c r="I5" i="35"/>
  <c r="I7" i="55" s="1"/>
  <c r="H83" i="55"/>
  <c r="H57" i="55"/>
  <c r="J5" i="35" l="1"/>
  <c r="J7" i="55" s="1"/>
  <c r="Z36" i="20"/>
  <c r="AA35" i="20"/>
  <c r="I83" i="55"/>
  <c r="I57" i="55"/>
  <c r="K5" i="35" l="1"/>
  <c r="K7" i="55" s="1"/>
  <c r="AB35" i="20"/>
  <c r="AA36" i="20"/>
  <c r="J83" i="55"/>
  <c r="J57" i="55"/>
  <c r="L5" i="35" l="1"/>
  <c r="L7" i="55" s="1"/>
  <c r="AB36" i="20"/>
  <c r="K83" i="55"/>
  <c r="K57" i="55"/>
  <c r="L57" i="55" l="1"/>
  <c r="L83" i="55"/>
  <c r="T22" i="48"/>
  <c r="D20" i="35" s="1"/>
  <c r="D22" i="55" s="1"/>
  <c r="N49" i="62"/>
  <c r="T120" i="48"/>
  <c r="U120" i="48" s="1"/>
  <c r="V120" i="48" l="1"/>
  <c r="U24" i="48"/>
  <c r="U22" i="48" s="1"/>
  <c r="E20" i="35" s="1"/>
  <c r="E22" i="55" s="1"/>
  <c r="D98" i="55"/>
  <c r="D72" i="55"/>
  <c r="E98" i="55" l="1"/>
  <c r="E72" i="55"/>
  <c r="W120" i="48"/>
  <c r="V24" i="48"/>
  <c r="V22" i="48" s="1"/>
  <c r="F20" i="35" s="1"/>
  <c r="F22" i="55" s="1"/>
  <c r="F72" i="55" l="1"/>
  <c r="F98" i="55"/>
  <c r="X120" i="48"/>
  <c r="W24" i="48"/>
  <c r="W22" i="48" s="1"/>
  <c r="G20" i="35" s="1"/>
  <c r="G22" i="55" s="1"/>
  <c r="X24" i="48" l="1"/>
  <c r="X22" i="48" s="1"/>
  <c r="H20" i="35" s="1"/>
  <c r="H22" i="55" s="1"/>
  <c r="Y120" i="48"/>
  <c r="G98" i="55"/>
  <c r="G72" i="55"/>
  <c r="Y24" i="48" l="1"/>
  <c r="Y22" i="48" s="1"/>
  <c r="I20" i="35" s="1"/>
  <c r="I22" i="55" s="1"/>
  <c r="Z120" i="48"/>
  <c r="H98" i="55"/>
  <c r="H72" i="55"/>
  <c r="AA120" i="48" l="1"/>
  <c r="Z24" i="48"/>
  <c r="Z22" i="48" s="1"/>
  <c r="J20" i="35" s="1"/>
  <c r="J22" i="55" s="1"/>
  <c r="I72" i="55"/>
  <c r="I98" i="55"/>
  <c r="J98" i="55" l="1"/>
  <c r="J72" i="55"/>
  <c r="AA24" i="48"/>
  <c r="AA22" i="48" s="1"/>
  <c r="K20" i="35" s="1"/>
  <c r="K22" i="55" s="1"/>
  <c r="AB120" i="48"/>
  <c r="K98" i="55" l="1"/>
  <c r="K72" i="55"/>
  <c r="AC120" i="48"/>
  <c r="AC24" i="48" s="1"/>
  <c r="AC22" i="48" s="1"/>
  <c r="M20" i="35" s="1"/>
  <c r="M22" i="55" s="1"/>
  <c r="AB24" i="48"/>
  <c r="AB22" i="48" s="1"/>
  <c r="L20" i="35" s="1"/>
  <c r="L22" i="55" s="1"/>
  <c r="L72" i="55" l="1"/>
  <c r="L98" i="55"/>
  <c r="M98" i="55"/>
  <c r="M7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<sst xmlns="http://schemas.openxmlformats.org/spreadsheetml/2006/main" count="4446" uniqueCount="2215">
  <si>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</si>
  <si>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</si>
  <si>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</si>
  <si>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</si>
  <si>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</si>
  <si>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</si>
  <si>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</si>
  <si>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</si>
  <si>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</si>
  <si>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</si>
  <si>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</si>
  <si>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</si>
  <si>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</si>
  <si>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</si>
  <si>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</si>
  <si>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</si>
  <si>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</si>
  <si>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</si>
  <si>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</si>
  <si>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</si>
  <si>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</si>
  <si>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</si>
  <si>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</si>
  <si>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</si>
  <si>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</si>
  <si>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</si>
  <si>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</si>
  <si>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</si>
  <si>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</si>
  <si>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</si>
  <si>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</si>
  <si>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</si>
  <si>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</si>
  <si>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</si>
  <si>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</si>
  <si>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</si>
  <si>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</si>
  <si>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</si>
  <si>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</si>
  <si>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</si>
  <si>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</si>
  <si>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</si>
  <si>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</si>
  <si>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</si>
  <si>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</si>
  <si>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</si>
  <si>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</si>
  <si>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</si>
  <si>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</si>
  <si>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</si>
  <si>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</si>
  <si>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</si>
  <si>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</si>
  <si>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</si>
  <si>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</si>
  <si>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</si>
  <si>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</si>
  <si>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</si>
  <si>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</si>
  <si>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</si>
  <si>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</si>
  <si>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</si>
  <si>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</si>
  <si>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</si>
  <si>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</si>
  <si>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</si>
  <si>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</si>
  <si>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</si>
  <si>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</si>
  <si>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</si>
  <si>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</si>
  <si>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</si>
  <si>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</si>
  <si>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</si>
  <si>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</si>
  <si>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</si>
  <si>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</si>
  <si>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</si>
  <si>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</si>
  <si>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</si>
  <si>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</si>
  <si>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</si>
  <si>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</si>
  <si>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</si>
  <si>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</si>
  <si>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</si>
  <si>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</si>
  <si>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</si>
  <si>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</si>
  <si>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</si>
  <si>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</si>
  <si>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</si>
  <si>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</si>
  <si>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</si>
  <si>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</si>
  <si>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</si>
  <si>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</si>
  <si>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</si>
  <si>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</si>
  <si>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</si>
  <si>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</si>
  <si>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</si>
  <si>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</si>
  <si>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</si>
  <si>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</si>
  <si>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</si>
  <si>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</si>
  <si>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</si>
  <si>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</si>
  <si>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</si>
  <si>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</si>
  <si>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</si>
  <si>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</si>
  <si>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</si>
  <si>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</si>
  <si>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</si>
  <si>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</si>
  <si>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</si>
  <si>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</si>
  <si>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</si>
  <si>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</si>
  <si>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</si>
  <si>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</si>
  <si>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</si>
  <si>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</si>
  <si>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</si>
  <si>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</si>
  <si>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</si>
  <si>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</si>
  <si>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</si>
  <si>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</si>
  <si>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</si>
  <si>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</si>
  <si>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</si>
  <si>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</si>
  <si>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</si>
  <si>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</si>
  <si>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</si>
  <si>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</si>
  <si>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</si>
  <si>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</si>
  <si>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</si>
  <si>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</si>
  <si>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</si>
  <si>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</si>
  <si>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</si>
  <si>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</si>
  <si>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</si>
  <si>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</si>
  <si>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</si>
  <si>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</si>
  <si>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</si>
  <si>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</si>
  <si>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</si>
  <si>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</si>
  <si>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</si>
  <si>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</si>
  <si>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</si>
  <si>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</si>
  <si>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</si>
  <si>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</si>
  <si>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</si>
  <si>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</si>
  <si>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</si>
  <si>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</si>
  <si>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</si>
  <si>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</si>
  <si>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</si>
  <si>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</si>
  <si>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</si>
  <si>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</si>
  <si>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</si>
  <si>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</si>
  <si>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</si>
  <si>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</si>
  <si>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</si>
  <si>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</si>
  <si>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</si>
  <si>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</si>
  <si>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</si>
  <si>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</si>
  <si>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</si>
  <si>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</si>
  <si>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</si>
  <si>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</si>
  <si>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</si>
  <si>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</si>
  <si>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</si>
  <si>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</si>
  <si>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</si>
  <si>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</si>
  <si>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</si>
  <si>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</si>
  <si>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</si>
  <si>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</si>
  <si>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</si>
  <si>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</si>
  <si>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</si>
  <si>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</si>
  <si>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</si>
  <si>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</si>
  <si>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</si>
  <si>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</si>
  <si>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</si>
  <si>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</si>
  <si>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</si>
  <si>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</si>
  <si>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</si>
  <si>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</si>
  <si>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</si>
  <si>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</si>
  <si>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</si>
  <si>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</si>
  <si>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</si>
  <si>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</si>
  <si>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</si>
  <si>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</si>
  <si>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</si>
  <si>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</si>
  <si>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</si>
  <si>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</si>
  <si>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</si>
  <si>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</si>
  <si>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</si>
  <si>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</si>
  <si>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</si>
  <si>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</si>
  <si>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</si>
  <si>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</si>
  <si>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</si>
  <si>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</si>
  <si>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</si>
  <si>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</si>
  <si>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</si>
  <si>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</si>
  <si>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</si>
  <si>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</si>
  <si>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</si>
  <si>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</si>
  <si>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</si>
  <si>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</si>
  <si>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</si>
  <si>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</si>
  <si>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</si>
  <si>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</si>
  <si>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</si>
  <si>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</si>
  <si>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</si>
  <si>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</si>
  <si>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</si>
  <si>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</si>
  <si>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</si>
  <si>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</si>
  <si>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</si>
  <si>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</si>
  <si>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</si>
  <si>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</si>
  <si>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</si>
  <si>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</si>
  <si>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</si>
  <si>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</si>
  <si>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</si>
  <si>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</si>
  <si>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</si>
  <si>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</si>
  <si>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</si>
  <si>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</si>
  <si>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</si>
  <si>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</si>
  <si>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</si>
  <si>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</si>
  <si>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</si>
  <si>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</si>
  <si>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</si>
  <si>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</si>
  <si>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</si>
  <si>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</si>
  <si>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</si>
  <si>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</si>
  <si>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</si>
  <si>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</si>
  <si>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</si>
  <si>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</si>
  <si>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</si>
  <si>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</si>
  <si>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</si>
  <si>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</si>
  <si>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</si>
  <si>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</si>
  <si>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</si>
  <si>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</si>
  <si>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</si>
  <si>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</si>
  <si>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</si>
  <si>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</si>
  <si>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</si>
  <si>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</si>
  <si>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</si>
  <si>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</si>
  <si>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</si>
  <si>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</si>
  <si>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</si>
  <si>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</si>
  <si>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</si>
  <si>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</si>
  <si>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</si>
  <si>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</si>
  <si>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</si>
  <si>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</si>
  <si>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</si>
  <si>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</si>
  <si>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</si>
  <si>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</si>
  <si>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</si>
  <si>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</si>
  <si>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</si>
  <si>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</si>
  <si>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</si>
  <si>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</si>
  <si>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</si>
  <si>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</si>
  <si>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</si>
  <si>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</si>
  <si>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</si>
  <si>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</si>
  <si>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</si>
  <si>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</si>
  <si>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</si>
  <si>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</si>
  <si>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</si>
  <si>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</si>
  <si>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</si>
  <si>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</si>
  <si>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</si>
  <si>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</si>
  <si>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</si>
  <si>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</si>
  <si>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</si>
  <si>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</si>
  <si>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</si>
  <si>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</si>
  <si>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</si>
  <si>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</si>
  <si>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</si>
  <si>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</si>
  <si>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</si>
  <si>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</si>
  <si>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</si>
  <si>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</si>
  <si>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</si>
  <si>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</si>
  <si>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</si>
  <si>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</si>
  <si>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</si>
  <si>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</si>
  <si>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</si>
  <si>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</si>
  <si>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</si>
  <si>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</si>
  <si>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</si>
  <si>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</si>
  <si>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</si>
  <si>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</si>
  <si>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</si>
  <si>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</si>
  <si>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</si>
  <si>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</si>
  <si>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</si>
  <si>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</si>
  <si>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</si>
  <si>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</si>
  <si>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</si>
  <si>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</si>
  <si>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</si>
  <si>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</si>
  <si>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</si>
  <si>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</si>
  <si>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</si>
  <si>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</si>
  <si>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</si>
  <si>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</si>
  <si>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</si>
  <si>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</si>
  <si>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</si>
  <si>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</si>
  <si>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</si>
  <si>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</si>
  <si>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</si>
  <si>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</si>
  <si>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</si>
  <si>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</si>
  <si>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</si>
  <si>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</si>
  <si>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</si>
  <si>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</si>
  <si>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</si>
  <si>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</si>
  <si>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</si>
  <si>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</si>
  <si>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</si>
  <si>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</si>
  <si>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</si>
  <si>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</si>
  <si>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</si>
  <si>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</si>
  <si>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</si>
  <si>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</si>
  <si>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</si>
  <si>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</si>
  <si>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</si>
  <si>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</si>
  <si>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</si>
  <si>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</si>
  <si>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</si>
  <si>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</si>
  <si>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</si>
  <si>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</si>
  <si>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</si>
  <si>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</si>
  <si>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</si>
  <si>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</si>
  <si>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</si>
  <si>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</si>
  <si>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</si>
  <si>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</si>
  <si>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</si>
  <si>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</si>
  <si>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</si>
  <si>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</si>
  <si>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</si>
  <si>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</si>
  <si>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</si>
  <si>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</si>
  <si>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</si>
  <si>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</si>
  <si>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</si>
  <si>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</si>
  <si>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</si>
  <si>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</si>
  <si>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</si>
  <si>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</si>
  <si>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</si>
  <si>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</si>
  <si>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</si>
  <si>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</si>
  <si>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</si>
  <si>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</si>
  <si>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</si>
  <si>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</si>
  <si>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</si>
  <si>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</si>
  <si>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</si>
  <si>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</si>
  <si>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</si>
  <si>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</si>
  <si>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</si>
  <si>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</si>
  <si>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</si>
  <si>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</si>
  <si>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</si>
  <si>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</si>
  <si>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</si>
  <si>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</si>
  <si>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</si>
  <si>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</si>
  <si>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</si>
  <si>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</si>
  <si>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</si>
  <si>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</si>
  <si>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</si>
  <si>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</si>
  <si>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</si>
  <si>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</si>
  <si>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</si>
  <si>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</si>
  <si>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</si>
  <si>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</si>
  <si>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</si>
  <si>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</si>
  <si>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</si>
  <si>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</si>
  <si>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</si>
  <si>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</si>
  <si>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</si>
  <si>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</si>
  <si>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</si>
  <si>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</si>
  <si>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</si>
  <si>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</si>
  <si>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</si>
  <si>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</si>
  <si>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</si>
  <si>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</si>
  <si>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</si>
  <si>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</si>
  <si>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</si>
  <si>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</si>
  <si>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</si>
  <si>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</si>
  <si>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</si>
  <si>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</si>
  <si>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</si>
  <si>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</si>
  <si>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</si>
  <si>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</si>
  <si>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</si>
  <si>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</si>
  <si>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</si>
  <si>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</si>
  <si>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</si>
  <si>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</si>
  <si>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</si>
  <si>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</si>
  <si>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</si>
  <si>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</si>
  <si>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</si>
  <si>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</si>
  <si>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</si>
  <si>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</si>
  <si>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</si>
  <si>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</si>
  <si>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</si>
  <si>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</si>
  <si>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</si>
  <si>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</si>
  <si>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</si>
  <si>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</si>
  <si>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</si>
  <si>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</si>
  <si>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</si>
  <si>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</si>
  <si>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</si>
  <si>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</si>
  <si>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</si>
  <si>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</si>
  <si>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</si>
  <si>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</si>
  <si>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</si>
  <si>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</si>
  <si>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</si>
  <si>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</si>
  <si>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</si>
  <si>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</si>
  <si>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</si>
  <si>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</si>
  <si>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</si>
  <si>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</si>
  <si>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</si>
  <si>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</si>
  <si>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</si>
  <si>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</si>
  <si>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</si>
  <si>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</si>
  <si>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</si>
  <si>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</si>
  <si>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</si>
  <si>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</si>
  <si>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</si>
  <si>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</si>
  <si>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</si>
  <si>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</si>
  <si>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</si>
  <si>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</si>
  <si>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</si>
  <si>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</si>
  <si>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</si>
  <si>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</si>
  <si>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</si>
  <si>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</si>
  <si>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</si>
  <si>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</si>
  <si>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</si>
  <si>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</si>
  <si>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</si>
  <si>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</si>
  <si>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</si>
  <si>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</si>
  <si>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</si>
  <si>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</si>
  <si>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</si>
  <si>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</si>
  <si>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</si>
  <si>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</si>
  <si>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</si>
  <si>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</si>
  <si>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</si>
  <si>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</si>
  <si>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</si>
  <si>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</si>
  <si>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</si>
  <si>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</si>
  <si>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</si>
  <si>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</si>
  <si>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</si>
  <si>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</si>
  <si>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</si>
  <si>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</si>
  <si>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</si>
  <si>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</si>
  <si>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</si>
  <si>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</si>
  <si>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</si>
  <si>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</si>
  <si>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</si>
  <si>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</si>
  <si>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</si>
  <si>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</si>
  <si>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</si>
  <si>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</si>
  <si>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</si>
  <si>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</si>
  <si>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</si>
  <si>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</si>
  <si>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</si>
  <si>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</si>
  <si>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</si>
  <si>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</si>
  <si>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</si>
  <si>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</si>
  <si>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</si>
  <si>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</si>
  <si>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</si>
  <si>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</si>
  <si>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</si>
  <si>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</si>
  <si>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</si>
  <si>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</si>
  <si>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</si>
  <si>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</si>
  <si>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</si>
  <si>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</si>
  <si>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</si>
  <si>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</si>
  <si>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</si>
  <si>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</si>
  <si>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</si>
  <si>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</si>
  <si>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</si>
  <si>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</si>
  <si>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</si>
  <si>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</si>
  <si>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</si>
  <si>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</si>
  <si>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</si>
  <si>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</si>
  <si>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</si>
  <si>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</si>
  <si>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</si>
  <si>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</si>
  <si>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</si>
  <si>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</si>
  <si>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</si>
  <si>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</si>
  <si>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</si>
  <si>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</si>
  <si>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</si>
  <si>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</si>
  <si>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</si>
  <si>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</si>
  <si>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</si>
  <si>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</si>
  <si>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</si>
  <si>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</si>
  <si>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</si>
  <si>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</si>
  <si>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</si>
  <si>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</si>
  <si>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</si>
  <si>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</si>
  <si>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</si>
  <si>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</si>
  <si>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</si>
  <si>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</si>
  <si>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</si>
  <si>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</si>
  <si>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</si>
  <si>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</si>
  <si>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</si>
  <si>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</si>
  <si>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</si>
  <si>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</si>
  <si>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</si>
  <si>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</si>
  <si>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</si>
  <si>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</si>
  <si>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</si>
  <si>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</si>
  <si>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</si>
  <si>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</si>
  <si>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</si>
  <si>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</si>
  <si>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</si>
  <si>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</si>
  <si>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</si>
  <si>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</si>
  <si>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</si>
  <si>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</si>
  <si>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</si>
  <si>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</si>
  <si>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</si>
  <si>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</si>
  <si>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</si>
  <si>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</si>
  <si>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</si>
  <si>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</si>
  <si>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</si>
  <si>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</si>
  <si>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</si>
  <si>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</si>
  <si>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</si>
  <si>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</si>
  <si>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</si>
  <si>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</si>
  <si>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</si>
  <si>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</si>
  <si>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</si>
  <si>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</si>
  <si>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</si>
  <si>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</si>
  <si>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</si>
  <si>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</si>
  <si>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</si>
  <si>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</si>
  <si>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</si>
  <si>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</si>
  <si>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</si>
  <si>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</si>
  <si>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</si>
  <si>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</si>
  <si>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</si>
  <si>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</si>
  <si>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</si>
  <si>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</si>
  <si>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</si>
  <si>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</si>
  <si>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</si>
  <si>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</si>
  <si>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</si>
  <si>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</si>
  <si>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</si>
  <si>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</si>
  <si>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</si>
  <si>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</si>
  <si>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</si>
  <si>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</si>
  <si>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</si>
  <si>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</si>
  <si>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</si>
  <si>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</si>
  <si>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</si>
  <si>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</si>
  <si>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</si>
  <si>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</si>
  <si>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</si>
  <si>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</si>
  <si>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</si>
  <si>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</si>
  <si>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</si>
  <si>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</si>
  <si>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</si>
  <si>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</si>
  <si>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</si>
  <si>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</si>
  <si>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</si>
  <si>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</si>
  <si>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</si>
  <si>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</si>
  <si>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</si>
  <si>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</si>
  <si>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</si>
  <si>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</si>
  <si>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</si>
  <si>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</si>
  <si>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</si>
  <si>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</si>
  <si>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</si>
  <si>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</si>
  <si>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</si>
  <si>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</si>
  <si>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</si>
  <si>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</si>
  <si>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</si>
  <si>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</si>
  <si>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</si>
  <si>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</si>
  <si>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</si>
  <si>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</si>
  <si>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</si>
  <si>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</si>
  <si>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</si>
  <si>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</si>
  <si>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</si>
  <si>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</si>
  <si>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</si>
  <si>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</si>
  <si>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</si>
  <si>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</si>
  <si>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</si>
  <si>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</si>
  <si>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</si>
  <si>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</si>
  <si>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</si>
  <si>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</si>
  <si>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</si>
  <si>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</si>
  <si>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</si>
  <si>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</si>
  <si>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</si>
  <si>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</si>
  <si>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</si>
  <si>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</si>
  <si>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</si>
  <si>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</si>
  <si>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</si>
  <si>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</si>
  <si>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</si>
  <si>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</si>
  <si>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</si>
  <si>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</si>
  <si>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</si>
  <si>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</si>
  <si>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</si>
  <si>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</si>
  <si>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</si>
  <si>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</si>
  <si>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</si>
  <si>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</si>
  <si>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</si>
  <si>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</si>
  <si>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</si>
  <si>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</si>
  <si>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</si>
  <si>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</si>
  <si>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</si>
  <si>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</si>
  <si>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</si>
  <si>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</si>
  <si>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</si>
  <si>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</si>
  <si>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</si>
  <si>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</si>
  <si>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</si>
  <si>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</si>
  <si>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</si>
  <si>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</si>
  <si>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</si>
  <si>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</si>
  <si>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</si>
  <si>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</si>
  <si>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</si>
  <si>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</si>
  <si>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</si>
  <si>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</si>
  <si>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</si>
  <si>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</si>
  <si>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</si>
  <si>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</si>
  <si>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</si>
  <si>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</si>
  <si>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</si>
  <si>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</si>
  <si>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</si>
  <si>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</si>
  <si>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</si>
  <si>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</si>
  <si>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</si>
  <si>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</si>
  <si>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</si>
  <si>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</si>
  <si>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</si>
  <si>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</si>
  <si>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</si>
  <si>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</si>
  <si>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</si>
  <si>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</si>
  <si>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</si>
  <si>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</si>
  <si>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</si>
  <si>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</si>
  <si>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</si>
  <si>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</si>
  <si>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</si>
  <si>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</si>
  <si>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</si>
  <si>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</si>
  <si>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</si>
  <si>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</si>
  <si>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</si>
  <si>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</si>
  <si>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</si>
  <si>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</si>
  <si>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</si>
  <si>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</si>
  <si>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</si>
  <si>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</si>
  <si>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</si>
  <si>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</si>
  <si>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</si>
  <si>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</si>
  <si>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</si>
  <si>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</si>
  <si>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</si>
  <si>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</si>
  <si>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</si>
  <si>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</si>
  <si>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</si>
  <si>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</si>
  <si>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</si>
  <si>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</si>
  <si>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</si>
  <si>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</si>
  <si>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</si>
  <si>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</si>
  <si>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</si>
  <si>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</si>
  <si>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</si>
  <si>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</si>
  <si>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</si>
  <si>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</si>
  <si>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</si>
  <si>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</si>
  <si>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</si>
  <si>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</si>
  <si>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</si>
  <si>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</si>
  <si>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</si>
  <si>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</si>
  <si>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</si>
  <si>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</si>
  <si>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</si>
  <si>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</si>
  <si>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</si>
  <si>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</si>
  <si>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</si>
  <si>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</si>
  <si>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</si>
  <si>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</si>
  <si>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</si>
  <si>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</si>
  <si>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</si>
  <si>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</si>
  <si>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</si>
  <si>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</si>
  <si>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</si>
  <si>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</si>
  <si>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</si>
  <si>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</si>
  <si>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</si>
  <si>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</si>
  <si>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</si>
  <si>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</si>
  <si>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</si>
  <si>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</si>
  <si>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</si>
  <si>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</si>
  <si>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</si>
  <si>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</si>
  <si>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</si>
  <si>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</si>
  <si>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</si>
  <si>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</si>
  <si>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</si>
  <si>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</si>
  <si>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</si>
  <si>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</si>
  <si>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</si>
  <si>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</si>
  <si>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</si>
  <si>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</si>
  <si>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</si>
  <si>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</si>
  <si>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</si>
  <si>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</si>
  <si>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</si>
  <si>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</si>
  <si>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</si>
  <si>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</si>
  <si>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</si>
  <si>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</si>
  <si>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</si>
  <si>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</si>
  <si>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</si>
  <si>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</si>
  <si>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</si>
  <si>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</si>
  <si>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</si>
  <si>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</si>
  <si>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</si>
  <si>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</si>
  <si>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</si>
  <si>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</si>
  <si>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</si>
  <si>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</si>
  <si>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</si>
  <si>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</si>
  <si>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</si>
  <si>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</si>
  <si>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</si>
  <si>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</si>
  <si>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</si>
  <si>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</si>
  <si>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</si>
  <si>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</si>
  <si>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</si>
  <si>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</si>
  <si>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</si>
  <si>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</si>
  <si>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</si>
  <si>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</si>
  <si>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</si>
  <si>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</si>
  <si>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</si>
  <si>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</si>
  <si>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</si>
  <si>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</si>
  <si>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</si>
  <si>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</si>
  <si>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</si>
  <si>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</si>
  <si>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</si>
  <si>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</si>
  <si>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</si>
  <si>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</si>
  <si>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</si>
  <si>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</si>
  <si>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</si>
  <si>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</si>
  <si>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</si>
  <si>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</si>
  <si>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</si>
  <si>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</si>
  <si>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</si>
  <si>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</si>
  <si>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</si>
  <si>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</si>
  <si>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</si>
  <si>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</si>
  <si>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</si>
  <si>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</si>
  <si>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</si>
  <si>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</si>
  <si>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</si>
  <si>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</si>
  <si>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</si>
  <si>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</si>
  <si>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</si>
  <si>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</si>
  <si>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</si>
  <si>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</si>
  <si>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</si>
  <si>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</si>
  <si>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</si>
  <si>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</si>
  <si>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</si>
  <si>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</si>
  <si>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</si>
  <si>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</si>
  <si>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</si>
  <si>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</si>
  <si>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</si>
  <si>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</si>
  <si>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</si>
  <si>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</si>
  <si>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</si>
  <si>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</si>
  <si>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</si>
  <si>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</si>
  <si>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</si>
  <si>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</si>
  <si>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</si>
  <si>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</si>
  <si>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</si>
  <si>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</si>
  <si>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</si>
  <si>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</si>
  <si>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</si>
  <si>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</si>
  <si>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</si>
  <si>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</si>
  <si>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</si>
  <si>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</si>
  <si>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</si>
  <si>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</si>
  <si>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</si>
  <si>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</si>
  <si>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</si>
  <si>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</si>
  <si>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</si>
  <si>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</si>
  <si>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</si>
  <si>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</si>
  <si>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</si>
  <si>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</si>
  <si>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</si>
  <si>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</si>
  <si>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</si>
  <si>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</si>
  <si>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</si>
  <si>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</si>
  <si>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</si>
  <si>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</si>
  <si>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</si>
  <si>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</si>
  <si>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</si>
  <si>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</si>
  <si>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</si>
  <si>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</si>
  <si>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</si>
  <si>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</si>
  <si>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</si>
  <si>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</si>
  <si>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</si>
  <si>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</si>
  <si>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</si>
  <si>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</si>
  <si>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</si>
  <si>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</si>
  <si>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</si>
  <si>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</si>
  <si>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</si>
  <si>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</si>
  <si>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</si>
  <si>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</si>
  <si>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</si>
  <si>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</si>
  <si>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</si>
  <si>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</si>
  <si>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</si>
  <si>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</si>
  <si>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</si>
  <si>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</si>
  <si>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</si>
  <si>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</si>
  <si>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</si>
  <si>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</si>
  <si>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</si>
  <si>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</si>
  <si>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</si>
  <si>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</si>
  <si>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</si>
  <si>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</si>
  <si>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</si>
  <si>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</si>
  <si>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</si>
  <si>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</si>
  <si>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</si>
  <si>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</si>
  <si>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</si>
  <si>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</si>
  <si>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</si>
  <si>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</si>
  <si>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</si>
  <si>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</si>
  <si>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</si>
  <si>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</si>
  <si>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</si>
  <si>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</si>
  <si>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</si>
  <si>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</si>
  <si>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</si>
  <si>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</si>
  <si>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</si>
  <si>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</si>
  <si>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</si>
  <si>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</si>
  <si>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</si>
  <si>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</si>
  <si>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</si>
  <si>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</si>
  <si>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</si>
  <si>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</si>
  <si>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</si>
  <si>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</si>
  <si>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</si>
  <si>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</si>
  <si>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</si>
  <si>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</si>
  <si>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</si>
  <si>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</si>
  <si>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</si>
  <si>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</si>
  <si>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</si>
  <si>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</si>
  <si>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</si>
  <si>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</si>
  <si>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</si>
  <si>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</si>
  <si>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</si>
  <si>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</si>
  <si>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</si>
  <si>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</si>
  <si>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</si>
  <si>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</si>
  <si>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</si>
  <si>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</si>
  <si>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</si>
  <si>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</si>
  <si>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</si>
  <si>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</si>
  <si>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</si>
  <si>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</si>
  <si>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</si>
  <si>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</si>
  <si>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</si>
  <si>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</si>
  <si>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</si>
  <si>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</si>
  <si>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</si>
  <si>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</si>
  <si>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</si>
  <si>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</si>
  <si>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</si>
  <si>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</si>
  <si>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</si>
  <si>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</si>
  <si>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</si>
  <si>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</si>
  <si>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</si>
  <si>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</si>
  <si>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</si>
  <si>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</si>
  <si>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</si>
  <si>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</si>
  <si>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</si>
  <si>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</si>
  <si>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</si>
  <si>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</si>
  <si>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</si>
  <si>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</si>
  <si>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</si>
  <si>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</si>
  <si>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</si>
  <si>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</si>
  <si>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</si>
  <si>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</si>
  <si>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</si>
  <si>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</si>
  <si>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</si>
  <si>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</si>
  <si>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</si>
  <si>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</si>
  <si>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</si>
  <si>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</si>
  <si>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</si>
  <si>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</si>
  <si>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</si>
  <si>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</si>
  <si>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</si>
  <si>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</si>
  <si>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</si>
  <si>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</si>
  <si>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</si>
  <si>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</si>
  <si>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</si>
  <si>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</si>
  <si>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</si>
  <si>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</si>
  <si>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</si>
  <si>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</si>
  <si>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</si>
  <si>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</si>
  <si>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</si>
  <si>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</si>
  <si>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</si>
  <si>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</si>
  <si>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</si>
  <si>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</si>
  <si>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</si>
  <si>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</si>
  <si>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</si>
  <si>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</si>
  <si>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</si>
  <si>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</si>
  <si>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</si>
  <si>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</si>
  <si>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</si>
  <si>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</si>
  <si>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</si>
  <si>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</si>
  <si>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</si>
  <si>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</si>
  <si>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</si>
  <si>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</si>
  <si>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</si>
  <si>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</si>
  <si>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</si>
  <si>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</si>
  <si>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</si>
  <si>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</si>
  <si>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</si>
  <si>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</si>
  <si>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</si>
  <si>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</si>
  <si>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</si>
  <si>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</si>
  <si>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</si>
  <si>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</si>
  <si>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</si>
  <si>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</si>
  <si>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</si>
  <si>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</si>
  <si>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</si>
  <si>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</si>
  <si>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</si>
  <si>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</si>
  <si>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</si>
  <si>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</si>
  <si>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</si>
  <si>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</si>
  <si>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</si>
  <si>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</si>
  <si>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</si>
  <si>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</si>
  <si>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</si>
  <si>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</si>
  <si>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</si>
  <si>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</si>
  <si>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</si>
  <si>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</si>
  <si>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</si>
  <si>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</si>
  <si>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</si>
  <si>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</si>
  <si>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</si>
  <si>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</si>
  <si>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</si>
  <si>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</si>
  <si>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</si>
  <si>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</si>
  <si>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</si>
  <si>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</si>
  <si>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</si>
  <si>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</si>
  <si>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</si>
  <si>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</si>
  <si>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</si>
  <si>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</si>
  <si>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</si>
  <si>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</si>
  <si>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</si>
  <si>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</si>
  <si>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</si>
  <si>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</si>
  <si>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</si>
  <si>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</si>
  <si>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</si>
  <si>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</si>
  <si>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</si>
  <si>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</si>
  <si>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</si>
  <si>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</si>
  <si>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</si>
  <si>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</si>
  <si>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</si>
  <si>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</si>
  <si>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</si>
  <si>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</si>
  <si>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</si>
  <si>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</si>
  <si>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</si>
  <si>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</si>
  <si>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</si>
  <si>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</si>
  <si>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</si>
  <si>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</si>
  <si>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</si>
  <si>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</si>
  <si>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</si>
  <si>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</si>
  <si>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</si>
  <si>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</si>
  <si>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</si>
  <si>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</si>
  <si>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</si>
  <si>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</si>
  <si>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</si>
  <si>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</si>
  <si>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</si>
  <si>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</si>
  <si>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</si>
  <si>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</si>
  <si>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</si>
  <si>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</si>
  <si>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</si>
  <si>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</si>
  <si>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</si>
  <si>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</si>
  <si>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</si>
  <si>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</si>
  <si>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</si>
  <si>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</si>
  <si>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</si>
  <si>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</si>
  <si>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</si>
  <si>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</si>
  <si>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</si>
  <si>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</si>
  <si>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</si>
  <si>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</si>
  <si>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</si>
  <si>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</si>
  <si>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</si>
  <si>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</si>
  <si>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</si>
  <si>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</si>
  <si>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</si>
  <si>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</si>
  <si>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</si>
  <si>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</si>
  <si>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</si>
  <si>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</si>
  <si>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</si>
  <si>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</si>
  <si>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</si>
  <si>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</si>
  <si>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</si>
  <si>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</si>
  <si>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</si>
  <si>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</si>
  <si>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</si>
  <si>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</si>
  <si>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</si>
  <si>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</si>
  <si>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</si>
  <si>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</si>
  <si>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</si>
  <si>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</si>
  <si>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</si>
  <si>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</si>
  <si>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</si>
  <si>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</si>
  <si>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</si>
  <si>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</si>
  <si>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</si>
  <si>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</si>
  <si>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</si>
  <si>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</si>
  <si>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</si>
  <si>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</si>
  <si>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</si>
  <si>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</si>
  <si>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</si>
  <si>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</si>
  <si>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</si>
  <si>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</si>
  <si>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</si>
  <si>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</si>
  <si>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</si>
  <si>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</si>
  <si>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</si>
  <si>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</si>
  <si>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</si>
  <si>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</si>
  <si>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</si>
  <si>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</si>
  <si>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</si>
  <si>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</si>
  <si>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</si>
  <si>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</si>
  <si>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</si>
  <si>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</si>
  <si>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</si>
  <si>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</si>
  <si>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</si>
  <si>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</si>
  <si>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</si>
  <si>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</si>
  <si>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</si>
  <si>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</si>
  <si>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</si>
  <si>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</si>
  <si>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</si>
  <si>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</si>
  <si>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</si>
  <si>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</si>
  <si>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</si>
  <si>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</si>
  <si>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</si>
  <si>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</si>
  <si>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</si>
  <si>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</si>
  <si>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</si>
  <si>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</si>
  <si>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</si>
  <si>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</si>
  <si>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</si>
  <si>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</si>
  <si>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</si>
  <si>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</si>
  <si>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</si>
  <si>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</si>
  <si>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</si>
  <si>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</si>
  <si>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</si>
  <si>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</si>
  <si>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</si>
  <si>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</si>
  <si>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</si>
  <si>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</si>
  <si>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</si>
  <si>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</si>
  <si>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</si>
  <si>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</si>
  <si>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</si>
  <si>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</si>
  <si>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</si>
  <si>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</si>
  <si>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</si>
  <si>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</si>
  <si>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</si>
  <si>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</si>
  <si>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</si>
  <si>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</si>
  <si>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</si>
  <si>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</si>
  <si>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</si>
  <si>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</si>
  <si>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</si>
  <si>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</si>
  <si>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</si>
  <si>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</si>
  <si>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</si>
  <si>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</si>
  <si>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</si>
  <si>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</si>
  <si>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</si>
  <si>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</si>
  <si>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</si>
  <si>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</si>
  <si>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</si>
  <si>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</si>
  <si>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</si>
  <si>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</si>
  <si>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</si>
  <si>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</si>
  <si>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</si>
  <si>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</si>
  <si>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</si>
  <si>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</si>
  <si>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</si>
  <si>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</si>
  <si>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</si>
  <si>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</si>
  <si>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</si>
  <si>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</si>
  <si>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</si>
  <si>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</si>
  <si>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</si>
  <si>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</si>
  <si>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</si>
  <si>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</si>
  <si>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</si>
  <si>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</si>
  <si>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</si>
  <si>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</si>
  <si>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</si>
  <si>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</si>
  <si>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</si>
  <si>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</si>
  <si>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</si>
  <si>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</si>
  <si>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</si>
  <si>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</si>
  <si>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</si>
  <si>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</si>
  <si>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</si>
  <si>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</si>
  <si>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</si>
  <si>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</si>
  <si>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</si>
  <si>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</si>
  <si>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</si>
  <si>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</si>
  <si>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</si>
  <si>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</si>
  <si>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</si>
  <si>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</si>
  <si>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</si>
  <si>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</si>
  <si>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</si>
  <si>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</si>
  <si>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</si>
  <si>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</si>
  <si>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</si>
  <si>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</si>
  <si>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</si>
  <si>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</si>
  <si>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</si>
  <si>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</si>
  <si>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</si>
  <si>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</si>
  <si>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</si>
  <si>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</si>
  <si>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</si>
  <si>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</si>
  <si>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</si>
  <si>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</si>
  <si>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</si>
  <si>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</si>
  <si>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</si>
  <si>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</si>
  <si>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</si>
  <si>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</si>
  <si>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</si>
  <si>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</si>
  <si>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</si>
  <si>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</si>
  <si>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</si>
  <si>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</si>
  <si>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</si>
  <si>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</si>
  <si>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</si>
  <si>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</si>
  <si>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</si>
  <si>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</si>
  <si>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</si>
  <si>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</si>
  <si>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</si>
  <si>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</si>
  <si>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</si>
  <si>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</si>
  <si>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</si>
  <si>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</si>
  <si>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</si>
  <si>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</si>
  <si>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</si>
  <si>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</si>
  <si>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</si>
  <si>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</si>
  <si>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</si>
  <si>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</si>
  <si>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</si>
  <si>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</si>
  <si>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</si>
  <si>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</si>
  <si>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</si>
  <si>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</si>
  <si>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</si>
  <si>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</si>
  <si>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</si>
  <si>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</si>
  <si>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</si>
  <si>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</si>
  <si>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</si>
  <si>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</si>
  <si>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</si>
  <si>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</si>
  <si>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</si>
  <si>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</si>
  <si>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</si>
  <si>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</si>
  <si>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</si>
  <si>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</si>
  <si>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</si>
  <si>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</si>
  <si>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</si>
  <si>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</si>
  <si>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</si>
  <si>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</si>
  <si>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</si>
  <si>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</si>
  <si>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</si>
  <si>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</si>
  <si>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</si>
  <si>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</si>
  <si>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</si>
  <si>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</si>
  <si>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</si>
  <si>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</si>
  <si>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</si>
  <si>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</si>
  <si>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</si>
  <si>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</si>
  <si>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</si>
  <si>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</si>
  <si>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</si>
  <si>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</si>
  <si>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</si>
  <si>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</si>
  <si>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</si>
  <si>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</si>
  <si>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</si>
  <si>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</si>
  <si>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</si>
  <si>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</si>
  <si>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</si>
  <si>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</si>
  <si>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</si>
  <si>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</si>
  <si>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</si>
  <si>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</si>
  <si>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</si>
  <si>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</si>
  <si>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</si>
  <si>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</si>
  <si>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</si>
  <si>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</si>
  <si>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</si>
  <si>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</si>
  <si>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</si>
  <si>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</si>
  <si>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</si>
  <si>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</si>
  <si>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</si>
  <si>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</si>
  <si>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</si>
  <si>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</si>
  <si>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</si>
  <si>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</si>
  <si>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</si>
  <si>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</si>
  <si>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</si>
  <si>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</si>
  <si>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</si>
  <si>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</si>
  <si>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</si>
  <si>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</si>
  <si>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</si>
  <si>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</si>
  <si>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</si>
  <si>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</si>
  <si>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</si>
  <si>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</si>
  <si>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</si>
  <si>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</si>
  <si>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</si>
  <si>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</si>
  <si>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</si>
  <si>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</si>
  <si>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</si>
  <si>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</si>
  <si>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</si>
  <si>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</si>
  <si>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</si>
  <si>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</si>
  <si>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</si>
  <si>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</si>
  <si>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</si>
  <si>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</si>
  <si>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</si>
  <si>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</si>
  <si>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</si>
  <si>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</si>
  <si>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</si>
  <si>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</si>
  <si>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</si>
  <si>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</si>
  <si>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</si>
  <si>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</si>
  <si>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</si>
  <si>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</si>
  <si>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</si>
  <si>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</si>
  <si>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</si>
  <si>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</si>
  <si>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</si>
  <si>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</si>
  <si>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</si>
  <si>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</si>
  <si>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</si>
  <si>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</si>
  <si>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</si>
  <si>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</si>
  <si>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</si>
  <si>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</si>
  <si>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</si>
  <si>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</si>
  <si>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</si>
  <si>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</si>
  <si>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</si>
  <si>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</si>
  <si>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</si>
  <si>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</si>
  <si>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</si>
  <si>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</si>
  <si>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</si>
  <si>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</si>
  <si>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</si>
  <si>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</si>
  <si>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</si>
  <si>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</si>
  <si>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</si>
  <si>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</si>
  <si>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</si>
  <si>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</si>
  <si>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</si>
  <si>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</si>
  <si>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</si>
  <si>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</si>
  <si>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</si>
  <si>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</si>
  <si>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</si>
  <si>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</si>
  <si>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</si>
  <si>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</si>
  <si>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</si>
  <si>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</si>
  <si>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</si>
  <si>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</si>
  <si>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</si>
  <si>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</si>
  <si>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</si>
  <si>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</si>
  <si>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</si>
  <si>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</si>
  <si>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</si>
  <si>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</si>
  <si>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</si>
  <si>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</si>
  <si>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</si>
  <si>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</si>
  <si>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</si>
  <si>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</si>
  <si>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</si>
  <si>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</si>
  <si>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</si>
  <si>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</si>
  <si>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</si>
  <si>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</si>
  <si>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</si>
  <si>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</si>
  <si>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</si>
  <si>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</si>
  <si>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</si>
  <si>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</si>
  <si>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</si>
  <si>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</si>
  <si>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</si>
  <si>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</si>
  <si>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</si>
  <si>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</si>
  <si>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</si>
  <si>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</si>
  <si>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</si>
  <si>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</si>
  <si>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</si>
  <si>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</si>
  <si>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</si>
  <si>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</si>
  <si>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</si>
  <si>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</si>
  <si>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</si>
  <si>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</si>
  <si>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</si>
  <si>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</si>
  <si>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</si>
  <si>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</si>
  <si>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</si>
  <si>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</si>
  <si>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</si>
  <si>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</si>
  <si>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</si>
  <si>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</si>
  <si>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</si>
  <si>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</si>
  <si>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</si>
  <si>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</si>
  <si>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</si>
  <si>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</si>
  <si>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</si>
  <si>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</si>
  <si>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</si>
  <si>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</si>
  <si>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</si>
  <si>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</si>
  <si>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</si>
  <si>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</si>
  <si>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</si>
  <si>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</si>
  <si>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</si>
  <si>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</si>
  <si>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</si>
  <si>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</si>
  <si>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</si>
  <si>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</si>
  <si>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</si>
  <si>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</si>
  <si>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</si>
  <si>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</si>
  <si>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</si>
  <si>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</si>
  <si>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</si>
  <si>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</si>
  <si>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</si>
  <si>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</si>
  <si>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</si>
  <si>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</si>
  <si>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</si>
  <si>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</si>
  <si>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</si>
  <si>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</si>
  <si>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</si>
  <si>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</si>
  <si>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</si>
  <si>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</si>
  <si>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</si>
  <si>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</si>
  <si>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</si>
  <si>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</si>
  <si>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</si>
  <si>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</si>
  <si>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</si>
  <si>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</si>
  <si>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</si>
  <si>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</si>
  <si>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</si>
  <si>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</si>
  <si>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</si>
  <si>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</si>
  <si>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</si>
  <si>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</si>
  <si>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</si>
  <si>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</si>
  <si>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</si>
  <si>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</si>
  <si>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</si>
  <si>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</si>
  <si>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</si>
  <si>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</si>
  <si>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</si>
  <si>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</si>
  <si>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</si>
  <si>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</si>
  <si>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</si>
  <si>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</si>
  <si>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</si>
  <si>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</si>
  <si>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</si>
  <si>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</si>
  <si>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</si>
  <si>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</si>
  <si>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</si>
  <si>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</si>
  <si>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</si>
  <si>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</si>
  <si>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</si>
  <si>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</si>
  <si>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</si>
  <si>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</si>
  <si>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</si>
  <si>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</si>
  <si>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</si>
  <si>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</si>
  <si>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</si>
  <si>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</si>
  <si>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</si>
  <si>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</si>
  <si>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</si>
  <si>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</si>
  <si>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</si>
  <si>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</si>
  <si>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</si>
  <si>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</si>
  <si>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</si>
  <si>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</si>
  <si>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</si>
  <si>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</si>
  <si>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</si>
  <si>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</si>
  <si>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</si>
  <si>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</si>
  <si>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</si>
  <si>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</si>
  <si>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</si>
  <si>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</si>
  <si>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</si>
  <si>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</si>
  <si>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</si>
  <si>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</si>
  <si>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</si>
  <si>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</si>
  <si>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</si>
  <si>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</si>
  <si>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</si>
  <si>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</si>
  <si>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</si>
  <si>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</si>
  <si>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</si>
  <si>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</si>
  <si>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</si>
  <si>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</si>
  <si>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</si>
  <si>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</si>
  <si>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</si>
  <si>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</si>
  <si>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</si>
  <si>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</si>
  <si>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</si>
  <si>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</si>
  <si>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</si>
  <si>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</si>
  <si>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</si>
  <si>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</si>
  <si>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</si>
  <si>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</si>
  <si>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</si>
  <si>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</si>
  <si>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</si>
  <si>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</si>
  <si>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</si>
  <si>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</si>
  <si>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</si>
  <si>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</si>
  <si>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</si>
  <si>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</si>
  <si>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</si>
  <si>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</si>
  <si>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</si>
  <si>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</si>
  <si>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</si>
  <si>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</si>
  <si>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</si>
  <si>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</si>
  <si>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</si>
  <si>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</si>
  <si>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</si>
  <si>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</si>
  <si>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</si>
  <si>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</si>
  <si>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</si>
  <si>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</si>
  <si>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</si>
  <si>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</si>
  <si>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</si>
  <si>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</si>
  <si>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</si>
  <si>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</si>
  <si>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</si>
  <si>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</si>
  <si>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</si>
  <si>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</si>
  <si>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</si>
  <si>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</si>
  <si>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</si>
  <si>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</si>
  <si>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</si>
  <si>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</si>
  <si>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</si>
  <si>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</si>
  <si>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</si>
  <si>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</si>
  <si>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</si>
  <si>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</si>
  <si>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</si>
  <si>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</si>
  <si>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</si>
  <si>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</si>
  <si>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</si>
  <si>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</si>
  <si>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</si>
  <si>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</si>
  <si>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</si>
  <si>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</si>
  <si>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</si>
  <si>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</si>
  <si>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</si>
  <si>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</si>
  <si>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</si>
  <si>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</si>
  <si>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</si>
  <si>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</si>
  <si>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</si>
  <si>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</si>
  <si>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</si>
  <si>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</si>
  <si>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</si>
  <si>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</si>
  <si>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</si>
  <si>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</si>
  <si>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</si>
  <si>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</si>
  <si>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</si>
  <si>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</si>
  <si>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</si>
  <si>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</si>
  <si>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</si>
  <si>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</si>
  <si>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</si>
  <si>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</si>
  <si>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</si>
  <si>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</si>
  <si>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</si>
  <si>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</si>
  <si>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</si>
  <si>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</si>
  <si>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</si>
  <si>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</si>
  <si>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</si>
  <si>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</si>
  <si>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</si>
  <si>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</si>
  <si>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</si>
  <si>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</si>
  <si>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</si>
  <si>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</si>
  <si>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</si>
  <si>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</si>
  <si>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</si>
  <si>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</si>
  <si>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</si>
  <si>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</si>
  <si>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</si>
  <si>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</si>
  <si>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</si>
  <si>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</si>
  <si>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</si>
  <si>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</si>
  <si>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</si>
  <si>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</si>
  <si>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</si>
  <si>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</si>
  <si>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</si>
  <si>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</si>
  <si>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</si>
  <si>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</si>
  <si>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</si>
  <si>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</si>
  <si>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</si>
  <si>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</si>
  <si>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</si>
  <si>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</si>
  <si>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</si>
  <si>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</si>
  <si>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</si>
  <si>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</si>
  <si>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</si>
  <si>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</si>
  <si>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</si>
  <si>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</si>
  <si>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</si>
  <si>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</si>
  <si>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</si>
  <si>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</si>
  <si>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</si>
  <si>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</si>
  <si>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</si>
  <si>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</si>
  <si>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</si>
  <si>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</si>
  <si>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</si>
  <si>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</si>
  <si>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</si>
  <si>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</si>
  <si>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</si>
  <si>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</si>
  <si>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</si>
  <si>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</si>
  <si>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</si>
  <si>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</si>
  <si>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</si>
  <si>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</si>
  <si>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</si>
  <si>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</si>
  <si>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</si>
  <si>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</si>
  <si>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</si>
  <si>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</si>
  <si>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</si>
  <si>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Nov.</t>
  </si>
  <si>
    <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</si>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</sst>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3"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b/>
      <sz val="14"/>
      <name val="Calibri"/>
    </font>
    <font>
      <sz val="13"/>
      <name val="Calibri"/>
    </font>
    <font>
      <b/>
      <sz val="11"/>
      <color indexed="9"/>
      <name val="Calibri"/>
    </font>
    <font>
      <b/>
      <sz val="11"/>
      <name val="Calibri"/>
    </font>
    <font>
      <b/>
      <i/>
      <sz val="15"/>
      <name val="Calibri"/>
    </font>
    <font>
      <i/>
      <sz val="11"/>
      <name val="Calibri"/>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darkGray">
        <bgColor theme="8" tint="0.59999389629810485"/>
      </patternFill>
    </fill>
    <fill>
      <patternFill patternType="solid">
        <fgColor theme="5" tint="0.39997558519241921"/>
        <bgColor indexed="64"/>
      </patternFill>
    </fill>
  </fills>
  <borders count="74">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75" fillId="0" borderId="0"/>
    <xf numFmtId="9" fontId="75" fillId="0" borderId="0" applyFont="0" applyFill="0" applyBorder="0" applyAlignment="0" applyProtection="0"/>
  </cellStyleXfs>
  <cellXfs count="1497">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0" borderId="34" xfId="0" applyNumberFormat="1" applyFont="1" applyBorder="1" applyAlignment="1">
      <alignment horizontal="right"/>
    </xf>
    <xf numFmtId="165" fontId="3" fillId="11" borderId="34" xfId="0" applyNumberFormat="1" applyFont="1" applyFill="1" applyBorder="1" applyAlignment="1">
      <alignment horizontal="right"/>
    </xf>
    <xf numFmtId="165" fontId="3" fillId="0" borderId="37"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4"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0" fontId="2" fillId="12" borderId="3" xfId="0" applyFont="1" applyFill="1" applyBorder="1" applyAlignment="1">
      <alignment horizontal="center" wrapText="1"/>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8" fontId="2" fillId="0" borderId="7" xfId="0" applyNumberFormat="1" applyFont="1" applyBorder="1" applyAlignment="1">
      <alignment horizontal="center"/>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165" fontId="18" fillId="8" borderId="0" xfId="0" applyNumberFormat="1" applyFont="1" applyFill="1" applyAlignment="1">
      <alignment horizontal="center"/>
    </xf>
    <xf numFmtId="0" fontId="1" fillId="0" borderId="6" xfId="0" applyFont="1" applyBorder="1"/>
    <xf numFmtId="0" fontId="18"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0" xfId="0" applyNumberFormat="1" applyFont="1" applyAlignment="1">
      <alignment horizontal="center"/>
    </xf>
    <xf numFmtId="1" fontId="2" fillId="0" borderId="0" xfId="0" applyNumberFormat="1" applyFont="1"/>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8" fillId="0" borderId="6" xfId="0" applyFont="1" applyBorder="1"/>
    <xf numFmtId="0" fontId="18" fillId="0" borderId="7" xfId="0" applyFont="1" applyBorder="1"/>
    <xf numFmtId="0" fontId="1" fillId="8" borderId="0" xfId="0" applyFont="1" applyFill="1"/>
    <xf numFmtId="1" fontId="2"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8" borderId="0" xfId="0" applyNumberFormat="1" applyFont="1" applyFill="1" applyAlignment="1">
      <alignment horizontal="center"/>
    </xf>
    <xf numFmtId="169" fontId="2" fillId="12" borderId="8"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6" borderId="0" xfId="0" applyNumberFormat="1" applyFont="1" applyFill="1" applyAlignment="1">
      <alignment horizontal="center" wrapText="1"/>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0" borderId="0" xfId="0" applyFont="1" applyAlignment="1">
      <alignment horizontal="center"/>
    </xf>
    <xf numFmtId="0" fontId="18" fillId="8" borderId="0" xfId="0" applyFont="1" applyFill="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2"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0" xfId="0" applyFont="1" applyFill="1"/>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67" fontId="2" fillId="12" borderId="7" xfId="0" applyNumberFormat="1" applyFont="1" applyFill="1" applyBorder="1" applyAlignment="1">
      <alignment horizontal="center"/>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68" fontId="18" fillId="0" borderId="7"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3" fillId="0" borderId="0" xfId="0" applyFont="1" applyAlignment="1">
      <alignment horizontal="center"/>
    </xf>
    <xf numFmtId="0" fontId="1" fillId="0" borderId="0" xfId="0" applyFont="1" applyAlignment="1">
      <alignment horizontal="center"/>
    </xf>
    <xf numFmtId="165" fontId="64" fillId="11" borderId="33" xfId="0" applyNumberFormat="1" applyFont="1" applyFill="1" applyBorder="1" applyAlignment="1">
      <alignment horizontal="right"/>
    </xf>
    <xf numFmtId="165" fontId="64" fillId="11" borderId="35" xfId="0" applyNumberFormat="1" applyFont="1" applyFill="1" applyBorder="1" applyAlignment="1">
      <alignment horizontal="right"/>
    </xf>
    <xf numFmtId="165" fontId="64" fillId="0" borderId="34" xfId="0" applyNumberFormat="1" applyFont="1" applyBorder="1" applyAlignment="1">
      <alignment horizontal="right"/>
    </xf>
    <xf numFmtId="165" fontId="64" fillId="0" borderId="36" xfId="0" applyNumberFormat="1" applyFont="1" applyBorder="1" applyAlignment="1">
      <alignment horizontal="right"/>
    </xf>
    <xf numFmtId="165" fontId="0" fillId="11" borderId="34" xfId="0" applyNumberFormat="1" applyFill="1" applyBorder="1" applyAlignment="1">
      <alignment horizontal="right"/>
    </xf>
    <xf numFmtId="165" fontId="0" fillId="11" borderId="36" xfId="0" applyNumberFormat="1" applyFill="1" applyBorder="1" applyAlignment="1">
      <alignment horizontal="right"/>
    </xf>
    <xf numFmtId="165" fontId="0" fillId="0" borderId="34" xfId="0" applyNumberFormat="1" applyBorder="1" applyAlignment="1">
      <alignment horizontal="right"/>
    </xf>
    <xf numFmtId="165" fontId="0" fillId="0" borderId="36" xfId="0" applyNumberFormat="1" applyBorder="1" applyAlignment="1">
      <alignment horizontal="right"/>
    </xf>
    <xf numFmtId="165" fontId="64" fillId="11" borderId="34" xfId="0" applyNumberFormat="1" applyFont="1" applyFill="1" applyBorder="1" applyAlignment="1">
      <alignment horizontal="right"/>
    </xf>
    <xf numFmtId="165" fontId="64" fillId="11" borderId="36" xfId="0" applyNumberFormat="1" applyFont="1" applyFill="1" applyBorder="1" applyAlignment="1">
      <alignment horizontal="right"/>
    </xf>
    <xf numFmtId="165" fontId="64" fillId="0" borderId="37" xfId="0" applyNumberFormat="1" applyFont="1" applyBorder="1" applyAlignment="1">
      <alignment horizontal="right"/>
    </xf>
    <xf numFmtId="165" fontId="64" fillId="0" borderId="38" xfId="0" applyNumberFormat="1" applyFont="1" applyBorder="1" applyAlignment="1">
      <alignment horizontal="right"/>
    </xf>
    <xf numFmtId="3" fontId="18" fillId="12" borderId="0" xfId="0" applyNumberFormat="1" applyFont="1" applyFill="1" applyBorder="1" applyAlignment="1">
      <alignment horizontal="center"/>
    </xf>
    <xf numFmtId="3" fontId="18" fillId="8" borderId="0" xfId="0" applyNumberFormat="1" applyFont="1" applyFill="1" applyBorder="1" applyAlignment="1">
      <alignment horizontal="center"/>
    </xf>
    <xf numFmtId="3" fontId="2" fillId="0" borderId="0" xfId="0" applyNumberFormat="1" applyFont="1" applyBorder="1" applyAlignment="1">
      <alignment horizontal="center" vertical="top" wrapText="1"/>
    </xf>
    <xf numFmtId="1" fontId="2" fillId="8" borderId="0" xfId="0" applyNumberFormat="1" applyFont="1" applyFill="1" applyBorder="1" applyAlignment="1">
      <alignment horizontal="center" vertical="top" wrapText="1"/>
    </xf>
    <xf numFmtId="0" fontId="2" fillId="12" borderId="1" xfId="0" applyFont="1" applyFill="1" applyBorder="1" applyAlignment="1">
      <alignment horizontal="center"/>
    </xf>
    <xf numFmtId="0" fontId="0" fillId="0" borderId="0" xfId="0"/>
    <xf numFmtId="0" fontId="78" fillId="37" borderId="62" xfId="0" applyFont="1" applyFill="1" applyBorder="1" applyAlignment="1">
      <alignment horizontal="center" vertical="center"/>
    </xf>
    <xf numFmtId="0" fontId="78" fillId="37" borderId="63" xfId="0" applyFont="1" applyFill="1" applyBorder="1" applyAlignment="1">
      <alignment horizontal="center" vertical="center"/>
    </xf>
    <xf numFmtId="0" fontId="79" fillId="0" borderId="0" xfId="0" applyFont="1"/>
    <xf numFmtId="0" fontId="78" fillId="37" borderId="64" xfId="0" applyFont="1" applyFill="1" applyBorder="1" applyAlignment="1">
      <alignment horizontal="center" vertical="center"/>
    </xf>
    <xf numFmtId="0" fontId="81" fillId="0" borderId="0" xfId="0" applyFont="1" applyAlignment="1">
      <alignment wrapText="1"/>
    </xf>
    <xf numFmtId="10" fontId="0" fillId="0" borderId="0" xfId="2" applyNumberFormat="1" applyFont="1"/>
    <xf numFmtId="10" fontId="0" fillId="0" borderId="0" xfId="0" applyNumberFormat="1"/>
    <xf numFmtId="0" fontId="78" fillId="38" borderId="62" xfId="0" applyFont="1" applyFill="1" applyBorder="1" applyAlignment="1">
      <alignment horizontal="center" vertical="center"/>
    </xf>
    <xf numFmtId="0" fontId="82" fillId="0" borderId="0" xfId="0" applyFont="1"/>
    <xf numFmtId="0" fontId="78" fillId="37" borderId="69" xfId="0" applyFont="1" applyFill="1" applyBorder="1" applyAlignment="1">
      <alignment horizontal="center" vertical="center"/>
    </xf>
    <xf numFmtId="0" fontId="78" fillId="37" borderId="70" xfId="0" applyFont="1" applyFill="1" applyBorder="1" applyAlignment="1">
      <alignment horizontal="center" vertical="center"/>
    </xf>
    <xf numFmtId="0" fontId="0" fillId="0" borderId="1" xfId="0" applyBorder="1"/>
    <xf numFmtId="0" fontId="0" fillId="0" borderId="0"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0" xfId="0" applyFill="1"/>
    <xf numFmtId="0" fontId="78" fillId="0" borderId="63" xfId="0" applyFont="1" applyFill="1" applyBorder="1" applyAlignment="1">
      <alignment horizontal="center" vertical="center"/>
    </xf>
    <xf numFmtId="164" fontId="0" fillId="0" borderId="0" xfId="2" applyNumberFormat="1" applyFont="1" applyFill="1"/>
    <xf numFmtId="0" fontId="0" fillId="16" borderId="0" xfId="0" applyFill="1"/>
    <xf numFmtId="0" fontId="0" fillId="0" borderId="0" xfId="0" applyFill="1" applyBorder="1" applyAlignment="1"/>
    <xf numFmtId="0" fontId="0" fillId="0" borderId="0" xfId="0" applyFill="1" applyBorder="1" applyAlignment="1">
      <alignment horizontal="center"/>
    </xf>
    <xf numFmtId="0" fontId="0" fillId="0" borderId="0" xfId="0" applyFill="1" applyAlignment="1"/>
    <xf numFmtId="0" fontId="82" fillId="0" borderId="0" xfId="0" applyFont="1" applyFill="1" applyAlignment="1"/>
    <xf numFmtId="0" fontId="0" fillId="0" borderId="0" xfId="0" applyFill="1" applyBorder="1" applyAlignment="1">
      <alignment horizontal="left" wrapText="1"/>
    </xf>
    <xf numFmtId="0" fontId="0" fillId="0" borderId="0" xfId="0" applyAlignment="1">
      <alignment wrapText="1"/>
    </xf>
    <xf numFmtId="0" fontId="0" fillId="0" borderId="0" xfId="0" applyFill="1" applyAlignment="1">
      <alignment wrapText="1"/>
    </xf>
    <xf numFmtId="10" fontId="0" fillId="0" borderId="0" xfId="0" applyNumberFormat="1" applyFill="1" applyAlignment="1">
      <alignment wrapText="1"/>
    </xf>
    <xf numFmtId="9" fontId="0" fillId="10" borderId="68" xfId="2" applyFont="1" applyFill="1" applyBorder="1"/>
    <xf numFmtId="0" fontId="64" fillId="0" borderId="0" xfId="0" applyFont="1" applyFill="1"/>
    <xf numFmtId="0" fontId="2" fillId="12" borderId="0" xfId="0" applyFont="1" applyFill="1" applyBorder="1" applyAlignment="1">
      <alignment horizontal="center"/>
    </xf>
    <xf numFmtId="0" fontId="2" fillId="12" borderId="72" xfId="0" applyFont="1" applyFill="1" applyBorder="1"/>
    <xf numFmtId="0" fontId="2" fillId="8" borderId="73" xfId="0" applyFont="1" applyFill="1" applyBorder="1"/>
    <xf numFmtId="0" fontId="0" fillId="0" borderId="6" xfId="0" applyFill="1" applyBorder="1"/>
    <xf numFmtId="0" fontId="0" fillId="0" borderId="7" xfId="0" applyFill="1" applyBorder="1"/>
    <xf numFmtId="0" fontId="0" fillId="0" borderId="8" xfId="0" applyFill="1" applyBorder="1"/>
    <xf numFmtId="0" fontId="0" fillId="0" borderId="6" xfId="0" applyFill="1" applyBorder="1" applyAlignment="1">
      <alignment wrapText="1"/>
    </xf>
    <xf numFmtId="167" fontId="0" fillId="0" borderId="7" xfId="2" applyNumberFormat="1" applyFont="1" applyFill="1" applyBorder="1" applyAlignment="1">
      <alignment wrapText="1"/>
    </xf>
    <xf numFmtId="167" fontId="0" fillId="0" borderId="8" xfId="2" applyNumberFormat="1" applyFont="1" applyFill="1" applyBorder="1" applyAlignment="1">
      <alignment wrapText="1"/>
    </xf>
    <xf numFmtId="0" fontId="39" fillId="8" borderId="73" xfId="0" applyFont="1" applyFill="1" applyBorder="1" applyAlignment="1">
      <alignment wrapText="1"/>
    </xf>
    <xf numFmtId="0" fontId="0" fillId="0" borderId="0" xfId="0"/>
    <xf numFmtId="0" fontId="2" fillId="12" borderId="72" xfId="0" applyFont="1" applyFill="1" applyBorder="1" applyAlignment="1">
      <alignment horizontal="center"/>
    </xf>
    <xf numFmtId="0" fontId="2" fillId="12" borderId="1" xfId="0" applyFont="1" applyFill="1" applyBorder="1" applyAlignment="1">
      <alignment horizontal="center"/>
    </xf>
    <xf numFmtId="0" fontId="2" fillId="12" borderId="3" xfId="0" applyFont="1" applyFill="1" applyBorder="1" applyAlignment="1">
      <alignment horizontal="center"/>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7" xfId="0"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12" borderId="0" xfId="0" applyFill="1" applyAlignment="1">
      <alignment horizontal="center"/>
    </xf>
    <xf numFmtId="0" fontId="2" fillId="12" borderId="71" xfId="0" applyFont="1" applyFill="1" applyBorder="1" applyAlignment="1">
      <alignment horizontal="center"/>
    </xf>
    <xf numFmtId="0" fontId="2" fillId="12" borderId="72" xfId="0" applyFont="1" applyFill="1" applyBorder="1" applyAlignment="1">
      <alignment horizontal="center"/>
    </xf>
    <xf numFmtId="0" fontId="2" fillId="12" borderId="72" xfId="0" applyFont="1" applyFill="1" applyBorder="1" applyAlignment="1">
      <alignment horizontal="right"/>
    </xf>
    <xf numFmtId="0" fontId="76" fillId="0" borderId="0" xfId="0" applyFont="1"/>
    <xf numFmtId="0" fontId="0" fillId="0" borderId="0" xfId="0"/>
    <xf numFmtId="0" fontId="77" fillId="0" borderId="0" xfId="0" applyFont="1"/>
    <xf numFmtId="0" fontId="78" fillId="37" borderId="62" xfId="0" applyFont="1" applyFill="1" applyBorder="1" applyAlignment="1">
      <alignment horizontal="center" vertical="center"/>
    </xf>
    <xf numFmtId="0" fontId="78" fillId="37" borderId="64" xfId="0" applyFont="1" applyFill="1" applyBorder="1" applyAlignment="1">
      <alignment horizontal="center" vertical="center"/>
    </xf>
    <xf numFmtId="0" fontId="80" fillId="0" borderId="0" xfId="0" applyFont="1" applyAlignment="1">
      <alignment wrapText="1"/>
    </xf>
    <xf numFmtId="0" fontId="81" fillId="0" borderId="0" xfId="0" applyFont="1" applyAlignment="1">
      <alignment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35" fillId="12" borderId="43" xfId="0" applyFont="1" applyFill="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5" fillId="8" borderId="44"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xf numFmtId="0" fontId="1" fillId="12" borderId="71" xfId="0" applyFont="1" applyFill="1" applyBorder="1" applyAlignment="1">
      <alignment horizontal="center"/>
    </xf>
    <xf numFmtId="0" fontId="1" fillId="12" borderId="72" xfId="0" applyFont="1" applyFill="1" applyBorder="1" applyAlignment="1">
      <alignment horizontal="center"/>
    </xf>
    <xf numFmtId="0" fontId="1" fillId="12" borderId="73" xfId="0" applyFont="1" applyFill="1" applyBorder="1" applyAlignment="1">
      <alignment horizontal="center"/>
    </xf>
    <xf numFmtId="165" fontId="1" fillId="0" borderId="72" xfId="0" applyNumberFormat="1" applyFont="1" applyBorder="1" applyAlignment="1">
      <alignment horizontal="center"/>
    </xf>
    <xf numFmtId="165" fontId="1" fillId="12" borderId="73" xfId="0" applyNumberFormat="1" applyFont="1" applyFill="1" applyBorder="1" applyAlignment="1">
      <alignment horizontal="center"/>
    </xf>
    <xf numFmtId="165" fontId="1" fillId="0" borderId="0" xfId="0" applyNumberFormat="1" applyFont="1" applyBorder="1" applyAlignment="1">
      <alignment horizontal="center"/>
    </xf>
    <xf numFmtId="0" fontId="1" fillId="0" borderId="0" xfId="0" applyFont="1" applyBorder="1" applyAlignment="1">
      <alignment horizontal="center"/>
    </xf>
    <xf numFmtId="0" fontId="1" fillId="3" borderId="67" xfId="0" applyFont="1" applyFill="1" applyBorder="1" applyAlignment="1">
      <alignment wrapText="1"/>
    </xf>
    <xf numFmtId="0" fontId="1" fillId="10" borderId="8" xfId="0" applyFont="1" applyFill="1" applyBorder="1" applyAlignment="1">
      <alignment horizontal="center"/>
    </xf>
    <xf numFmtId="165" fontId="1" fillId="12" borderId="0" xfId="0" applyNumberFormat="1" applyFont="1" applyFill="1" applyBorder="1" applyAlignment="1">
      <alignment horizontal="center"/>
    </xf>
    <xf numFmtId="0" fontId="1" fillId="12" borderId="0" xfId="0" applyFont="1" applyFill="1" applyBorder="1" applyAlignment="1">
      <alignment horizontal="center"/>
    </xf>
    <xf numFmtId="165" fontId="1" fillId="12" borderId="72" xfId="0" applyNumberFormat="1" applyFont="1" applyFill="1" applyBorder="1" applyAlignment="1">
      <alignment horizontal="center"/>
    </xf>
    <xf numFmtId="0" fontId="2" fillId="8" borderId="72" xfId="0" applyFont="1" applyFill="1" applyBorder="1" applyAlignment="1">
      <alignment horizontal="center"/>
    </xf>
    <xf numFmtId="3" fontId="2" fillId="8" borderId="72" xfId="0" applyNumberFormat="1" applyFont="1" applyFill="1" applyBorder="1" applyAlignment="1">
      <alignment horizontal="center"/>
    </xf>
    <xf numFmtId="0" fontId="12" fillId="12" borderId="72" xfId="0" applyFont="1" applyFill="1" applyBorder="1" applyAlignment="1">
      <alignment horizontal="center"/>
    </xf>
    <xf numFmtId="0" fontId="12" fillId="12" borderId="73" xfId="0" applyFont="1" applyFill="1" applyBorder="1" applyAlignment="1">
      <alignment horizontal="center"/>
    </xf>
    <xf numFmtId="0" fontId="2" fillId="12" borderId="0" xfId="0" applyFont="1" applyFill="1" applyBorder="1"/>
    <xf numFmtId="0" fontId="2" fillId="8" borderId="0" xfId="0" applyFont="1" applyFill="1" applyBorder="1" applyAlignment="1">
      <alignment horizontal="center"/>
    </xf>
    <xf numFmtId="0" fontId="2" fillId="0" borderId="0" xfId="0" applyFont="1" applyBorder="1" applyAlignment="1">
      <alignment horizontal="center"/>
    </xf>
    <xf numFmtId="3" fontId="2" fillId="0" borderId="0" xfId="0" applyNumberFormat="1" applyFont="1" applyBorder="1" applyAlignment="1">
      <alignment horizontal="center"/>
    </xf>
    <xf numFmtId="0" fontId="2" fillId="0" borderId="0" xfId="0" applyFont="1" applyBorder="1" applyAlignment="1">
      <alignment horizontal="center" wrapText="1"/>
    </xf>
    <xf numFmtId="0" fontId="2" fillId="12" borderId="0" xfId="0" applyFont="1" applyFill="1" applyBorder="1" applyAlignment="1">
      <alignment horizontal="center" wrapText="1"/>
    </xf>
    <xf numFmtId="3" fontId="18" fillId="0" borderId="0" xfId="0" applyNumberFormat="1" applyFont="1" applyBorder="1" applyAlignment="1">
      <alignment horizontal="center"/>
    </xf>
    <xf numFmtId="165" fontId="2" fillId="0" borderId="0" xfId="0" applyNumberFormat="1" applyFont="1" applyBorder="1" applyAlignment="1">
      <alignment horizontal="center"/>
    </xf>
    <xf numFmtId="168" fontId="2" fillId="0" borderId="0" xfId="0" applyNumberFormat="1" applyFont="1" applyBorder="1" applyAlignment="1">
      <alignment horizontal="center"/>
    </xf>
    <xf numFmtId="0" fontId="2" fillId="12" borderId="71" xfId="0" applyFont="1" applyFill="1" applyBorder="1" applyAlignment="1">
      <alignment horizontal="right"/>
    </xf>
    <xf numFmtId="4" fontId="2" fillId="8" borderId="3" xfId="0" applyNumberFormat="1" applyFont="1" applyFill="1" applyBorder="1" applyAlignment="1">
      <alignment horizontal="center"/>
    </xf>
    <xf numFmtId="0" fontId="12" fillId="12" borderId="65" xfId="0" applyFont="1" applyFill="1" applyBorder="1" applyAlignment="1">
      <alignment horizontal="center"/>
    </xf>
    <xf numFmtId="0" fontId="12" fillId="12" borderId="66" xfId="0" applyFont="1" applyFill="1" applyBorder="1" applyAlignment="1">
      <alignment horizontal="center"/>
    </xf>
    <xf numFmtId="0" fontId="12" fillId="12" borderId="67" xfId="0" applyFont="1" applyFill="1" applyBorder="1" applyAlignment="1">
      <alignment horizontal="center"/>
    </xf>
    <xf numFmtId="0" fontId="12" fillId="8" borderId="65" xfId="0" applyFont="1" applyFill="1" applyBorder="1" applyAlignment="1">
      <alignment horizontal="center"/>
    </xf>
    <xf numFmtId="0" fontId="12" fillId="8" borderId="66" xfId="0" applyFont="1" applyFill="1" applyBorder="1" applyAlignment="1">
      <alignment horizontal="center"/>
    </xf>
    <xf numFmtId="0" fontId="12" fillId="8" borderId="67" xfId="0" applyFont="1" applyFill="1" applyBorder="1" applyAlignment="1">
      <alignment horizontal="center"/>
    </xf>
    <xf numFmtId="0" fontId="2" fillId="12" borderId="73" xfId="0" applyFont="1" applyFill="1" applyBorder="1"/>
    <xf numFmtId="3" fontId="2" fillId="12" borderId="0" xfId="0" applyNumberFormat="1" applyFont="1" applyFill="1" applyBorder="1" applyAlignment="1">
      <alignment horizontal="center"/>
    </xf>
    <xf numFmtId="168" fontId="2" fillId="39" borderId="7" xfId="0" applyNumberFormat="1" applyFont="1" applyFill="1" applyBorder="1" applyAlignment="1">
      <alignment horizontal="center"/>
    </xf>
    <xf numFmtId="4" fontId="2" fillId="39" borderId="8" xfId="0" applyNumberFormat="1" applyFont="1" applyFill="1" applyBorder="1" applyAlignment="1">
      <alignment horizontal="center"/>
    </xf>
    <xf numFmtId="1" fontId="2" fillId="0" borderId="0" xfId="0" applyNumberFormat="1" applyFont="1" applyBorder="1" applyAlignment="1">
      <alignment horizontal="center"/>
    </xf>
    <xf numFmtId="1" fontId="2" fillId="12" borderId="0" xfId="0" applyNumberFormat="1" applyFont="1" applyFill="1" applyBorder="1" applyAlignment="1">
      <alignment horizontal="center"/>
    </xf>
    <xf numFmtId="1" fontId="2" fillId="0" borderId="0" xfId="0" applyNumberFormat="1" applyFont="1" applyBorder="1" applyAlignment="1">
      <alignment horizontal="center" wrapText="1"/>
    </xf>
    <xf numFmtId="1" fontId="2" fillId="12" borderId="0" xfId="0" applyNumberFormat="1" applyFont="1" applyFill="1" applyBorder="1" applyAlignment="1">
      <alignment horizontal="center" wrapText="1"/>
    </xf>
    <xf numFmtId="3" fontId="2" fillId="0" borderId="0" xfId="0" applyNumberFormat="1" applyFont="1" applyBorder="1" applyAlignment="1">
      <alignment horizontal="center" wrapText="1"/>
    </xf>
    <xf numFmtId="3" fontId="2" fillId="12" borderId="7" xfId="0" applyNumberFormat="1" applyFont="1" applyFill="1" applyBorder="1" applyAlignment="1">
      <alignment horizontal="center" vertical="top" wrapText="1"/>
    </xf>
    <xf numFmtId="0" fontId="2" fillId="12" borderId="73" xfId="0" applyFont="1" applyFill="1" applyBorder="1" applyAlignment="1">
      <alignment horizontal="center"/>
    </xf>
    <xf numFmtId="3" fontId="2" fillId="0" borderId="3" xfId="0" applyNumberFormat="1" applyFont="1" applyFill="1" applyBorder="1" applyAlignment="1">
      <alignment horizontal="center" wrapText="1"/>
    </xf>
    <xf numFmtId="3" fontId="2" fillId="0" borderId="0" xfId="0" applyNumberFormat="1" applyFont="1" applyFill="1" applyBorder="1" applyAlignment="1">
      <alignment horizontal="center" wrapText="1"/>
    </xf>
    <xf numFmtId="1" fontId="2" fillId="0" borderId="71" xfId="0" applyNumberFormat="1" applyFont="1" applyBorder="1" applyAlignment="1">
      <alignment horizontal="center"/>
    </xf>
    <xf numFmtId="1" fontId="2" fillId="0" borderId="72" xfId="0" applyNumberFormat="1" applyFont="1" applyBorder="1" applyAlignment="1">
      <alignment horizontal="center"/>
    </xf>
    <xf numFmtId="1" fontId="2" fillId="12" borderId="72" xfId="0" applyNumberFormat="1" applyFont="1" applyFill="1" applyBorder="1" applyAlignment="1">
      <alignment horizontal="center"/>
    </xf>
    <xf numFmtId="1" fontId="2" fillId="12" borderId="73" xfId="0" applyNumberFormat="1" applyFont="1" applyFill="1" applyBorder="1" applyAlignment="1">
      <alignment horizontal="center"/>
    </xf>
    <xf numFmtId="165" fontId="18" fillId="8" borderId="72" xfId="0" applyNumberFormat="1" applyFont="1" applyFill="1" applyBorder="1" applyAlignment="1">
      <alignment horizontal="center" wrapText="1"/>
    </xf>
    <xf numFmtId="165" fontId="18" fillId="0" borderId="0" xfId="0" applyNumberFormat="1" applyFont="1" applyBorder="1" applyAlignment="1">
      <alignment horizontal="center" wrapText="1"/>
    </xf>
    <xf numFmtId="165" fontId="2" fillId="0" borderId="0" xfId="0" applyNumberFormat="1" applyFont="1" applyBorder="1" applyAlignment="1">
      <alignment horizontal="center" wrapText="1"/>
    </xf>
    <xf numFmtId="165" fontId="2"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2" fillId="12" borderId="0" xfId="0" applyNumberFormat="1" applyFont="1" applyFill="1" applyBorder="1" applyAlignment="1">
      <alignment horizontal="center" wrapText="1"/>
    </xf>
    <xf numFmtId="165" fontId="18" fillId="0" borderId="3" xfId="0" applyNumberFormat="1" applyFont="1" applyFill="1" applyBorder="1" applyAlignment="1">
      <alignment horizontal="center" wrapText="1"/>
    </xf>
    <xf numFmtId="165" fontId="2" fillId="0" borderId="3" xfId="0" applyNumberFormat="1" applyFont="1" applyFill="1" applyBorder="1" applyAlignment="1">
      <alignment horizontal="center" wrapText="1"/>
    </xf>
    <xf numFmtId="165" fontId="2" fillId="0" borderId="3" xfId="0" applyNumberFormat="1" applyFont="1" applyFill="1" applyBorder="1" applyAlignment="1">
      <alignment horizontal="center" vertical="top" wrapText="1"/>
    </xf>
    <xf numFmtId="165" fontId="12" fillId="0" borderId="3" xfId="0" applyNumberFormat="1" applyFont="1" applyFill="1" applyBorder="1" applyAlignment="1">
      <alignment horizontal="center" vertical="top" wrapText="1"/>
    </xf>
    <xf numFmtId="165" fontId="18" fillId="0" borderId="72" xfId="0" applyNumberFormat="1" applyFont="1" applyBorder="1" applyAlignment="1">
      <alignment horizontal="center" wrapText="1"/>
    </xf>
    <xf numFmtId="165" fontId="18" fillId="0" borderId="73" xfId="0" applyNumberFormat="1" applyFont="1" applyFill="1" applyBorder="1" applyAlignment="1">
      <alignment horizontal="center" wrapText="1"/>
    </xf>
    <xf numFmtId="165" fontId="18" fillId="0" borderId="0" xfId="0" applyNumberFormat="1" applyFont="1" applyBorder="1" applyAlignment="1">
      <alignment horizontal="center"/>
    </xf>
    <xf numFmtId="0" fontId="1" fillId="0" borderId="0" xfId="0" applyFont="1" applyBorder="1"/>
    <xf numFmtId="0" fontId="2" fillId="12" borderId="73" xfId="0" applyFont="1" applyFill="1" applyBorder="1" applyAlignment="1">
      <alignment horizontal="center"/>
    </xf>
    <xf numFmtId="0" fontId="18" fillId="0" borderId="0" xfId="0" applyFont="1" applyBorder="1" applyAlignment="1">
      <alignment horizontal="left"/>
    </xf>
    <xf numFmtId="0" fontId="18" fillId="0" borderId="71" xfId="0" applyFont="1" applyBorder="1" applyAlignment="1">
      <alignment horizontal="left"/>
    </xf>
    <xf numFmtId="0" fontId="18" fillId="0" borderId="72" xfId="0" applyFont="1" applyBorder="1" applyAlignment="1">
      <alignment horizontal="left"/>
    </xf>
    <xf numFmtId="165" fontId="18" fillId="0" borderId="72" xfId="0" applyNumberFormat="1" applyFont="1" applyBorder="1" applyAlignment="1">
      <alignment horizontal="center"/>
    </xf>
    <xf numFmtId="165" fontId="18" fillId="0" borderId="73" xfId="0" applyNumberFormat="1" applyFont="1" applyFill="1" applyBorder="1" applyAlignment="1">
      <alignment horizontal="center"/>
    </xf>
    <xf numFmtId="2" fontId="2" fillId="0" borderId="8" xfId="0" applyNumberFormat="1" applyFont="1" applyFill="1" applyBorder="1"/>
    <xf numFmtId="0" fontId="2" fillId="0" borderId="71" xfId="0" applyFont="1" applyBorder="1" applyAlignment="1">
      <alignment horizontal="center"/>
    </xf>
    <xf numFmtId="0" fontId="2" fillId="0" borderId="72" xfId="0" applyFont="1" applyBorder="1" applyAlignment="1">
      <alignment horizontal="center"/>
    </xf>
    <xf numFmtId="0" fontId="18" fillId="0" borderId="0" xfId="0" applyFont="1" applyBorder="1" applyAlignment="1">
      <alignment horizontal="center" wrapText="1"/>
    </xf>
    <xf numFmtId="0" fontId="2" fillId="0" borderId="0" xfId="0" applyFont="1" applyBorder="1"/>
    <xf numFmtId="0" fontId="18" fillId="0" borderId="71" xfId="0" applyFont="1" applyBorder="1" applyAlignment="1">
      <alignment horizontal="center" wrapText="1"/>
    </xf>
    <xf numFmtId="0" fontId="18" fillId="0" borderId="72" xfId="0" applyFont="1" applyBorder="1" applyAlignment="1">
      <alignment horizontal="center" wrapText="1"/>
    </xf>
    <xf numFmtId="0" fontId="1" fillId="0" borderId="0" xfId="0" applyFont="1" applyBorder="1" applyAlignment="1">
      <alignment horizontal="left" wrapText="1" indent="2"/>
    </xf>
    <xf numFmtId="0" fontId="1" fillId="0" borderId="0" xfId="0" applyFont="1" applyBorder="1" applyAlignment="1">
      <alignment horizontal="left"/>
    </xf>
    <xf numFmtId="0" fontId="1" fillId="0" borderId="0" xfId="0" applyFont="1" applyBorder="1" applyAlignment="1">
      <alignment horizontal="left" indent="2"/>
    </xf>
    <xf numFmtId="0" fontId="1" fillId="0" borderId="71" xfId="0" applyFont="1" applyBorder="1" applyAlignment="1">
      <alignment horizontal="left" wrapText="1" indent="2"/>
    </xf>
    <xf numFmtId="0" fontId="1" fillId="0" borderId="72" xfId="0" applyFont="1" applyBorder="1" applyAlignment="1">
      <alignment horizontal="left" wrapText="1" indent="2"/>
    </xf>
    <xf numFmtId="0" fontId="2" fillId="0" borderId="0" xfId="0" applyFont="1" applyBorder="1" applyAlignment="1">
      <alignment horizontal="left" wrapText="1"/>
    </xf>
    <xf numFmtId="168" fontId="2" fillId="12" borderId="0" xfId="0" applyNumberFormat="1" applyFont="1" applyFill="1" applyBorder="1" applyAlignment="1">
      <alignment horizontal="center"/>
    </xf>
    <xf numFmtId="0" fontId="18" fillId="0" borderId="0" xfId="0" applyFont="1" applyBorder="1" applyAlignment="1">
      <alignment horizontal="left" wrapText="1"/>
    </xf>
    <xf numFmtId="3" fontId="2" fillId="0" borderId="71" xfId="0" applyNumberFormat="1" applyFont="1" applyBorder="1" applyAlignment="1">
      <alignment horizontal="center"/>
    </xf>
    <xf numFmtId="3" fontId="2" fillId="0" borderId="72" xfId="0" applyNumberFormat="1" applyFont="1" applyBorder="1" applyAlignment="1">
      <alignment horizontal="center"/>
    </xf>
    <xf numFmtId="1" fontId="2" fillId="8" borderId="73" xfId="0" applyNumberFormat="1" applyFont="1" applyFill="1" applyBorder="1" applyAlignment="1">
      <alignment horizontal="center"/>
    </xf>
    <xf numFmtId="0" fontId="2" fillId="0" borderId="0" xfId="0" applyFont="1" applyBorder="1" applyAlignment="1">
      <alignment horizontal="left"/>
    </xf>
    <xf numFmtId="1" fontId="2" fillId="0" borderId="0" xfId="0" applyNumberFormat="1" applyFont="1" applyBorder="1"/>
    <xf numFmtId="1" fontId="2" fillId="2" borderId="0" xfId="0" applyNumberFormat="1" applyFont="1" applyFill="1" applyBorder="1"/>
    <xf numFmtId="2" fontId="2" fillId="0" borderId="0" xfId="0" applyNumberFormat="1" applyFont="1" applyBorder="1" applyAlignment="1">
      <alignment horizontal="center"/>
    </xf>
    <xf numFmtId="2" fontId="2" fillId="12" borderId="0" xfId="0" applyNumberFormat="1" applyFont="1" applyFill="1" applyBorder="1" applyAlignment="1">
      <alignment horizontal="center"/>
    </xf>
    <xf numFmtId="0" fontId="2" fillId="0" borderId="71" xfId="0" applyFont="1" applyBorder="1" applyAlignment="1">
      <alignment horizontal="left"/>
    </xf>
    <xf numFmtId="0" fontId="2" fillId="0" borderId="72" xfId="0" applyFont="1" applyBorder="1" applyAlignment="1">
      <alignment horizontal="left"/>
    </xf>
    <xf numFmtId="3" fontId="2" fillId="12" borderId="72" xfId="0" applyNumberFormat="1" applyFont="1" applyFill="1" applyBorder="1" applyAlignment="1">
      <alignment horizontal="center"/>
    </xf>
    <xf numFmtId="3" fontId="2" fillId="12" borderId="73" xfId="0" applyNumberFormat="1" applyFont="1" applyFill="1" applyBorder="1" applyAlignment="1">
      <alignment horizontal="center"/>
    </xf>
    <xf numFmtId="1" fontId="2" fillId="0" borderId="3" xfId="0" applyNumberFormat="1" applyFont="1" applyFill="1" applyBorder="1"/>
    <xf numFmtId="3" fontId="2" fillId="0" borderId="8" xfId="0" applyNumberFormat="1" applyFont="1" applyFill="1" applyBorder="1" applyAlignment="1">
      <alignment horizontal="center"/>
    </xf>
    <xf numFmtId="165" fontId="2" fillId="0" borderId="72" xfId="0" applyNumberFormat="1" applyFont="1" applyBorder="1" applyAlignment="1">
      <alignment horizontal="center"/>
    </xf>
    <xf numFmtId="165" fontId="2" fillId="10" borderId="72" xfId="0" applyNumberFormat="1" applyFont="1" applyFill="1" applyBorder="1" applyAlignment="1">
      <alignment horizontal="center"/>
    </xf>
    <xf numFmtId="165" fontId="2" fillId="2" borderId="72" xfId="0" applyNumberFormat="1" applyFont="1" applyFill="1" applyBorder="1" applyAlignment="1">
      <alignment horizontal="center"/>
    </xf>
    <xf numFmtId="165" fontId="2" fillId="0" borderId="73" xfId="0" applyNumberFormat="1" applyFont="1" applyFill="1" applyBorder="1" applyAlignment="1">
      <alignment horizontal="center"/>
    </xf>
    <xf numFmtId="165" fontId="2" fillId="0" borderId="3" xfId="0" applyNumberFormat="1" applyFont="1" applyFill="1" applyBorder="1" applyAlignment="1">
      <alignment horizontal="center"/>
    </xf>
    <xf numFmtId="165" fontId="2" fillId="0" borderId="8" xfId="0" applyNumberFormat="1" applyFont="1" applyFill="1" applyBorder="1" applyAlignment="1">
      <alignment horizontal="center"/>
    </xf>
    <xf numFmtId="0" fontId="12" fillId="0" borderId="0" xfId="0" applyFont="1" applyBorder="1" applyAlignment="1">
      <alignment horizontal="center" vertical="top" wrapText="1"/>
    </xf>
    <xf numFmtId="170" fontId="2" fillId="0" borderId="0" xfId="0" applyNumberFormat="1" applyFont="1" applyBorder="1" applyAlignment="1">
      <alignment horizontal="center" wrapText="1"/>
    </xf>
    <xf numFmtId="0" fontId="18" fillId="0" borderId="0" xfId="0" applyFont="1" applyBorder="1" applyAlignment="1">
      <alignment wrapText="1"/>
    </xf>
    <xf numFmtId="3" fontId="18" fillId="0" borderId="0" xfId="0" applyNumberFormat="1" applyFont="1" applyBorder="1" applyAlignment="1">
      <alignment horizontal="center" wrapText="1"/>
    </xf>
    <xf numFmtId="170" fontId="18" fillId="0" borderId="0" xfId="0" applyNumberFormat="1" applyFont="1" applyBorder="1" applyAlignment="1">
      <alignment wrapText="1"/>
    </xf>
    <xf numFmtId="0" fontId="18" fillId="0" borderId="0" xfId="0" applyFont="1" applyBorder="1"/>
    <xf numFmtId="0" fontId="12" fillId="0" borderId="71" xfId="0" applyFont="1" applyBorder="1" applyAlignment="1">
      <alignment horizontal="center" vertical="top" wrapText="1"/>
    </xf>
    <xf numFmtId="0" fontId="12" fillId="0" borderId="72" xfId="0" applyFont="1" applyBorder="1" applyAlignment="1">
      <alignment horizontal="center" vertical="top" wrapText="1"/>
    </xf>
    <xf numFmtId="3" fontId="18" fillId="0" borderId="3" xfId="0" applyNumberFormat="1" applyFont="1" applyFill="1" applyBorder="1" applyAlignment="1">
      <alignment horizontal="center" wrapText="1"/>
    </xf>
    <xf numFmtId="1" fontId="18" fillId="0" borderId="8" xfId="0" applyNumberFormat="1" applyFont="1" applyFill="1" applyBorder="1" applyAlignment="1">
      <alignment horizontal="center"/>
    </xf>
    <xf numFmtId="0" fontId="2" fillId="0" borderId="0" xfId="0" applyFont="1" applyBorder="1" applyAlignment="1">
      <alignment wrapText="1"/>
    </xf>
    <xf numFmtId="0" fontId="2" fillId="0" borderId="7" xfId="0" applyFont="1" applyBorder="1" applyAlignment="1">
      <alignment horizontal="center" wrapText="1"/>
    </xf>
    <xf numFmtId="170" fontId="2" fillId="0" borderId="7" xfId="0" applyNumberFormat="1" applyFont="1" applyBorder="1" applyAlignment="1">
      <alignment horizontal="center" wrapText="1"/>
    </xf>
    <xf numFmtId="3" fontId="2" fillId="0" borderId="8" xfId="0" applyNumberFormat="1" applyFont="1" applyFill="1" applyBorder="1" applyAlignment="1">
      <alignment horizontal="center" wrapText="1"/>
    </xf>
    <xf numFmtId="0" fontId="12" fillId="0" borderId="0" xfId="0" applyFont="1" applyBorder="1" applyAlignment="1">
      <alignment horizontal="center" wrapText="1"/>
    </xf>
    <xf numFmtId="3" fontId="2" fillId="0" borderId="0" xfId="0" applyNumberFormat="1" applyFont="1" applyBorder="1" applyAlignment="1">
      <alignment vertical="top"/>
    </xf>
    <xf numFmtId="168" fontId="2" fillId="0" borderId="0" xfId="0" applyNumberFormat="1" applyFont="1" applyBorder="1" applyAlignment="1">
      <alignment horizontal="center" wrapText="1"/>
    </xf>
    <xf numFmtId="168" fontId="2" fillId="0" borderId="3" xfId="0" applyNumberFormat="1" applyFont="1" applyFill="1" applyBorder="1" applyAlignment="1">
      <alignment horizontal="center" wrapText="1"/>
    </xf>
    <xf numFmtId="1" fontId="12" fillId="0" borderId="0" xfId="0" applyNumberFormat="1" applyFont="1" applyBorder="1" applyAlignment="1">
      <alignment horizontal="center" wrapText="1"/>
    </xf>
    <xf numFmtId="0" fontId="23" fillId="0" borderId="0" xfId="0" applyFont="1" applyBorder="1"/>
    <xf numFmtId="3" fontId="12" fillId="0" borderId="0" xfId="0" applyNumberFormat="1" applyFont="1" applyBorder="1" applyAlignment="1">
      <alignment horizontal="center" wrapText="1"/>
    </xf>
    <xf numFmtId="1" fontId="2" fillId="0" borderId="72" xfId="0" applyNumberFormat="1" applyFont="1" applyBorder="1" applyAlignment="1">
      <alignment horizontal="center" wrapText="1"/>
    </xf>
    <xf numFmtId="1" fontId="2" fillId="12" borderId="72" xfId="0" applyNumberFormat="1" applyFont="1" applyFill="1" applyBorder="1" applyAlignment="1">
      <alignment horizontal="center" wrapText="1"/>
    </xf>
    <xf numFmtId="1" fontId="2" fillId="12" borderId="73" xfId="0" applyNumberFormat="1" applyFont="1" applyFill="1" applyBorder="1" applyAlignment="1">
      <alignment horizontal="center" wrapText="1"/>
    </xf>
    <xf numFmtId="1" fontId="2" fillId="0" borderId="3" xfId="0" applyNumberFormat="1" applyFont="1" applyFill="1" applyBorder="1" applyAlignment="1">
      <alignment horizontal="center" wrapText="1"/>
    </xf>
    <xf numFmtId="3" fontId="12" fillId="0" borderId="3" xfId="0" applyNumberFormat="1" applyFont="1" applyFill="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Fill="1" applyBorder="1" applyAlignment="1">
      <alignment horizontal="center" wrapText="1"/>
    </xf>
    <xf numFmtId="169" fontId="2" fillId="0" borderId="0" xfId="0" applyNumberFormat="1" applyFont="1" applyBorder="1" applyAlignment="1">
      <alignment horizontal="center"/>
    </xf>
    <xf numFmtId="168" fontId="2" fillId="0" borderId="71" xfId="0" applyNumberFormat="1" applyFont="1" applyBorder="1" applyAlignment="1">
      <alignment horizontal="center"/>
    </xf>
    <xf numFmtId="168" fontId="2" fillId="0" borderId="72" xfId="0" applyNumberFormat="1" applyFont="1" applyBorder="1" applyAlignment="1">
      <alignment horizontal="center"/>
    </xf>
    <xf numFmtId="168" fontId="2" fillId="12" borderId="72" xfId="0" applyNumberFormat="1" applyFont="1" applyFill="1" applyBorder="1" applyAlignment="1">
      <alignment horizontal="center"/>
    </xf>
    <xf numFmtId="168" fontId="2" fillId="12" borderId="73" xfId="0" applyNumberFormat="1" applyFont="1" applyFill="1" applyBorder="1" applyAlignment="1">
      <alignment horizontal="center"/>
    </xf>
    <xf numFmtId="169" fontId="2" fillId="12" borderId="7" xfId="0" applyNumberFormat="1" applyFont="1" applyFill="1" applyBorder="1" applyAlignment="1">
      <alignment horizontal="center"/>
    </xf>
    <xf numFmtId="168" fontId="18" fillId="0" borderId="0" xfId="0" applyNumberFormat="1" applyFont="1" applyBorder="1" applyAlignment="1">
      <alignment horizontal="center"/>
    </xf>
    <xf numFmtId="168" fontId="18" fillId="12" borderId="0" xfId="0" applyNumberFormat="1" applyFont="1" applyFill="1" applyBorder="1" applyAlignment="1">
      <alignment horizontal="center"/>
    </xf>
    <xf numFmtId="168" fontId="18" fillId="0" borderId="71" xfId="0" applyNumberFormat="1" applyFont="1" applyBorder="1" applyAlignment="1">
      <alignment horizontal="center"/>
    </xf>
    <xf numFmtId="168" fontId="18" fillId="0" borderId="72" xfId="0" applyNumberFormat="1" applyFont="1" applyBorder="1" applyAlignment="1">
      <alignment horizontal="center"/>
    </xf>
    <xf numFmtId="168" fontId="18" fillId="12" borderId="72" xfId="0" applyNumberFormat="1" applyFont="1" applyFill="1" applyBorder="1" applyAlignment="1">
      <alignment horizontal="center"/>
    </xf>
    <xf numFmtId="168" fontId="18" fillId="12" borderId="73" xfId="0" applyNumberFormat="1" applyFont="1" applyFill="1" applyBorder="1" applyAlignment="1">
      <alignment horizontal="center"/>
    </xf>
    <xf numFmtId="168" fontId="18" fillId="0" borderId="3" xfId="0" applyNumberFormat="1" applyFont="1" applyFill="1" applyBorder="1" applyAlignment="1">
      <alignment horizontal="center"/>
    </xf>
    <xf numFmtId="168" fontId="2" fillId="0" borderId="8" xfId="0" applyNumberFormat="1" applyFont="1" applyFill="1" applyBorder="1" applyAlignment="1">
      <alignment horizontal="center"/>
    </xf>
    <xf numFmtId="168" fontId="2" fillId="15" borderId="0" xfId="0" applyNumberFormat="1" applyFont="1" applyFill="1" applyBorder="1" applyAlignment="1">
      <alignment horizontal="center"/>
    </xf>
    <xf numFmtId="168" fontId="2" fillId="15" borderId="0" xfId="0" applyNumberFormat="1" applyFont="1" applyFill="1" applyBorder="1" applyAlignment="1">
      <alignment horizontal="center" wrapText="1"/>
    </xf>
    <xf numFmtId="168" fontId="2" fillId="12" borderId="0" xfId="0" applyNumberFormat="1" applyFont="1" applyFill="1" applyBorder="1" applyAlignment="1">
      <alignment horizontal="center" wrapText="1"/>
    </xf>
    <xf numFmtId="169" fontId="2" fillId="39" borderId="8" xfId="0" applyNumberFormat="1" applyFont="1" applyFill="1" applyBorder="1" applyAlignment="1">
      <alignment horizontal="center"/>
    </xf>
    <xf numFmtId="169" fontId="2" fillId="39" borderId="7" xfId="0" applyNumberFormat="1" applyFont="1" applyFill="1" applyBorder="1" applyAlignment="1">
      <alignment horizontal="center"/>
    </xf>
    <xf numFmtId="0" fontId="18" fillId="0" borderId="0" xfId="0" applyFont="1" applyBorder="1" applyAlignment="1">
      <alignment horizontal="center"/>
    </xf>
    <xf numFmtId="0" fontId="18" fillId="12" borderId="0" xfId="0" applyFont="1" applyFill="1" applyBorder="1" applyAlignment="1">
      <alignment horizontal="center"/>
    </xf>
    <xf numFmtId="0" fontId="2" fillId="0" borderId="71" xfId="0" applyFont="1" applyBorder="1"/>
    <xf numFmtId="0" fontId="2" fillId="0" borderId="72" xfId="0" applyFont="1" applyBorder="1"/>
    <xf numFmtId="0" fontId="18" fillId="12" borderId="3" xfId="0" applyFont="1" applyFill="1" applyBorder="1" applyAlignment="1">
      <alignment horizontal="center"/>
    </xf>
    <xf numFmtId="0" fontId="18" fillId="0" borderId="8" xfId="0" applyFont="1" applyFill="1" applyBorder="1" applyAlignment="1">
      <alignment horizontal="center"/>
    </xf>
    <xf numFmtId="165" fontId="2" fillId="12" borderId="0" xfId="0" applyNumberFormat="1" applyFont="1" applyFill="1" applyBorder="1" applyAlignment="1">
      <alignment horizontal="center"/>
    </xf>
    <xf numFmtId="168" fontId="12" fillId="0" borderId="0" xfId="0" applyNumberFormat="1" applyFont="1" applyBorder="1" applyAlignment="1">
      <alignment horizontal="center"/>
    </xf>
    <xf numFmtId="0" fontId="12" fillId="0" borderId="71" xfId="0" applyFont="1" applyBorder="1" applyAlignment="1">
      <alignment horizontal="center"/>
    </xf>
    <xf numFmtId="0" fontId="12" fillId="0" borderId="72" xfId="0" applyFont="1" applyBorder="1" applyAlignment="1">
      <alignment horizontal="center"/>
    </xf>
    <xf numFmtId="0" fontId="2" fillId="0" borderId="73" xfId="0" applyFont="1" applyFill="1" applyBorder="1" applyAlignment="1">
      <alignment horizontal="center"/>
    </xf>
    <xf numFmtId="0" fontId="2" fillId="0" borderId="3" xfId="0" applyFont="1" applyFill="1" applyBorder="1" applyAlignment="1">
      <alignment horizontal="center"/>
    </xf>
    <xf numFmtId="168" fontId="2" fillId="0" borderId="3" xfId="0" applyNumberFormat="1" applyFont="1" applyFill="1" applyBorder="1" applyAlignment="1">
      <alignment horizontal="center"/>
    </xf>
    <xf numFmtId="0" fontId="2" fillId="0" borderId="3" xfId="0" applyFont="1" applyFill="1" applyBorder="1" applyAlignment="1">
      <alignment horizontal="center" wrapText="1"/>
    </xf>
    <xf numFmtId="165" fontId="2" fillId="12" borderId="3" xfId="0" applyNumberFormat="1" applyFont="1" applyFill="1" applyBorder="1" applyAlignment="1">
      <alignment horizontal="center"/>
    </xf>
    <xf numFmtId="0" fontId="18" fillId="0" borderId="3" xfId="0" applyFont="1" applyFill="1" applyBorder="1" applyAlignment="1">
      <alignment horizontal="center"/>
    </xf>
    <xf numFmtId="168" fontId="12" fillId="0" borderId="3" xfId="0" applyNumberFormat="1" applyFont="1" applyFill="1" applyBorder="1" applyAlignment="1">
      <alignment horizontal="center"/>
    </xf>
    <xf numFmtId="168" fontId="18" fillId="0" borderId="73" xfId="0" applyNumberFormat="1" applyFont="1" applyFill="1" applyBorder="1" applyAlignment="1">
      <alignment horizontal="center"/>
    </xf>
    <xf numFmtId="0" fontId="2" fillId="0" borderId="3" xfId="0" applyFont="1" applyFill="1" applyBorder="1"/>
    <xf numFmtId="168" fontId="2" fillId="0" borderId="0" xfId="0" applyNumberFormat="1" applyFont="1" applyBorder="1"/>
    <xf numFmtId="168" fontId="2" fillId="12" borderId="0" xfId="0" applyNumberFormat="1" applyFont="1" applyFill="1" applyBorder="1"/>
    <xf numFmtId="168" fontId="2" fillId="3" borderId="0" xfId="0" applyNumberFormat="1" applyFont="1" applyFill="1" applyBorder="1"/>
    <xf numFmtId="168" fontId="2" fillId="18" borderId="0" xfId="0" applyNumberFormat="1" applyFont="1" applyFill="1" applyBorder="1"/>
    <xf numFmtId="168" fontId="2" fillId="12" borderId="7" xfId="0" applyNumberFormat="1" applyFont="1" applyFill="1" applyBorder="1"/>
    <xf numFmtId="0" fontId="12" fillId="12" borderId="65" xfId="0" applyFont="1" applyFill="1" applyBorder="1" applyAlignment="1">
      <alignment horizontal="center" wrapText="1"/>
    </xf>
    <xf numFmtId="0" fontId="12" fillId="12" borderId="66" xfId="0" applyFont="1" applyFill="1" applyBorder="1" applyAlignment="1">
      <alignment horizontal="center" wrapText="1"/>
    </xf>
    <xf numFmtId="0" fontId="2" fillId="8" borderId="0" xfId="0" applyFont="1" applyFill="1" applyBorder="1" applyAlignment="1">
      <alignment horizontal="center"/>
    </xf>
    <xf numFmtId="0" fontId="12" fillId="12" borderId="72" xfId="0" applyFont="1" applyFill="1" applyBorder="1" applyAlignment="1">
      <alignment horizontal="center" wrapText="1"/>
    </xf>
    <xf numFmtId="0" fontId="12" fillId="12" borderId="73" xfId="0" applyFont="1" applyFill="1" applyBorder="1" applyAlignment="1">
      <alignment horizontal="center" wrapText="1"/>
    </xf>
    <xf numFmtId="168" fontId="2" fillId="0" borderId="0" xfId="0" applyNumberFormat="1" applyFont="1" applyBorder="1" applyAlignment="1">
      <alignment horizontal="right" vertical="top" wrapText="1"/>
    </xf>
    <xf numFmtId="1" fontId="18" fillId="0" borderId="0" xfId="0" applyNumberFormat="1" applyFont="1" applyBorder="1" applyAlignment="1">
      <alignment horizontal="center" vertical="top" wrapText="1"/>
    </xf>
    <xf numFmtId="168" fontId="2" fillId="0" borderId="0" xfId="0" applyNumberFormat="1" applyFont="1" applyBorder="1" applyAlignment="1">
      <alignment horizontal="center" vertical="top" wrapText="1"/>
    </xf>
    <xf numFmtId="168" fontId="2" fillId="12" borderId="0" xfId="0" applyNumberFormat="1" applyFont="1" applyFill="1" applyBorder="1" applyAlignment="1">
      <alignment horizontal="center" vertical="top" wrapText="1"/>
    </xf>
    <xf numFmtId="1" fontId="2" fillId="0" borderId="0" xfId="0" applyNumberFormat="1" applyFont="1" applyBorder="1" applyAlignment="1">
      <alignment horizontal="center" vertical="top" wrapText="1"/>
    </xf>
    <xf numFmtId="168" fontId="18" fillId="0" borderId="0" xfId="0" applyNumberFormat="1" applyFont="1" applyBorder="1" applyAlignment="1">
      <alignment horizontal="center" vertical="top" wrapText="1"/>
    </xf>
    <xf numFmtId="168" fontId="18" fillId="12" borderId="0" xfId="0" applyNumberFormat="1" applyFont="1" applyFill="1" applyBorder="1" applyAlignment="1">
      <alignment horizontal="center" vertical="top" wrapText="1"/>
    </xf>
    <xf numFmtId="9" fontId="2" fillId="0" borderId="0" xfId="0" applyNumberFormat="1" applyFont="1" applyBorder="1" applyAlignment="1">
      <alignment horizontal="right" vertical="top" wrapText="1"/>
    </xf>
    <xf numFmtId="168" fontId="2" fillId="0" borderId="71" xfId="0" applyNumberFormat="1" applyFont="1" applyBorder="1" applyAlignment="1">
      <alignment horizontal="right" vertical="top" wrapText="1"/>
    </xf>
    <xf numFmtId="168" fontId="2" fillId="0" borderId="72" xfId="0" applyNumberFormat="1" applyFont="1" applyBorder="1" applyAlignment="1">
      <alignment horizontal="right" vertical="top" wrapText="1"/>
    </xf>
    <xf numFmtId="168" fontId="32" fillId="8" borderId="8" xfId="0" applyNumberFormat="1" applyFont="1" applyFill="1" applyBorder="1" applyAlignment="1">
      <alignment horizontal="center"/>
    </xf>
    <xf numFmtId="1" fontId="2" fillId="0" borderId="73" xfId="0" applyNumberFormat="1" applyFont="1" applyFill="1" applyBorder="1" applyAlignment="1">
      <alignment horizontal="center"/>
    </xf>
    <xf numFmtId="1" fontId="2" fillId="0" borderId="3" xfId="0" applyNumberFormat="1" applyFont="1" applyFill="1" applyBorder="1" applyAlignment="1">
      <alignment horizontal="center"/>
    </xf>
    <xf numFmtId="1" fontId="2" fillId="0" borderId="8" xfId="0" applyNumberFormat="1" applyFont="1" applyFill="1" applyBorder="1" applyAlignment="1">
      <alignment horizontal="center"/>
    </xf>
    <xf numFmtId="167" fontId="2" fillId="0" borderId="0" xfId="0" applyNumberFormat="1" applyFont="1" applyBorder="1" applyAlignment="1">
      <alignment horizontal="center"/>
    </xf>
    <xf numFmtId="167" fontId="2" fillId="12" borderId="0" xfId="0" applyNumberFormat="1" applyFont="1" applyFill="1" applyBorder="1" applyAlignment="1">
      <alignment horizontal="center"/>
    </xf>
    <xf numFmtId="0" fontId="31" fillId="0" borderId="0" xfId="0" applyFont="1" applyBorder="1" applyAlignment="1">
      <alignment horizontal="center"/>
    </xf>
    <xf numFmtId="1" fontId="2" fillId="0" borderId="0" xfId="0" applyNumberFormat="1" applyFont="1" applyFill="1" applyAlignment="1">
      <alignment horizontal="center"/>
    </xf>
    <xf numFmtId="0" fontId="1" fillId="0" borderId="71" xfId="0" applyFont="1" applyBorder="1"/>
    <xf numFmtId="167" fontId="2" fillId="0" borderId="72" xfId="0" applyNumberFormat="1" applyFont="1" applyBorder="1" applyAlignment="1">
      <alignment horizontal="center"/>
    </xf>
    <xf numFmtId="0" fontId="2" fillId="0" borderId="5" xfId="0" applyFont="1" applyFill="1" applyBorder="1" applyAlignment="1">
      <alignment horizontal="center"/>
    </xf>
    <xf numFmtId="0" fontId="2" fillId="0" borderId="0" xfId="0" applyFont="1" applyFill="1" applyAlignment="1">
      <alignment horizontal="center"/>
    </xf>
    <xf numFmtId="0" fontId="2" fillId="0" borderId="7" xfId="0" applyFont="1" applyFill="1" applyBorder="1" applyAlignment="1">
      <alignment horizontal="center"/>
    </xf>
    <xf numFmtId="167" fontId="2" fillId="0" borderId="73" xfId="0" applyNumberFormat="1" applyFont="1" applyFill="1" applyBorder="1" applyAlignment="1">
      <alignment horizontal="center"/>
    </xf>
    <xf numFmtId="167" fontId="2" fillId="0" borderId="3" xfId="0" applyNumberFormat="1" applyFont="1" applyFill="1" applyBorder="1" applyAlignment="1">
      <alignment horizontal="center"/>
    </xf>
    <xf numFmtId="167" fontId="2" fillId="0" borderId="8" xfId="0" applyNumberFormat="1" applyFont="1" applyFill="1" applyBorder="1" applyAlignment="1">
      <alignment horizontal="center"/>
    </xf>
    <xf numFmtId="168" fontId="2" fillId="0" borderId="73" xfId="0" applyNumberFormat="1" applyFont="1" applyFill="1" applyBorder="1" applyAlignment="1">
      <alignment horizontal="right" vertical="top" wrapText="1"/>
    </xf>
    <xf numFmtId="1" fontId="18" fillId="0" borderId="3" xfId="0" applyNumberFormat="1" applyFont="1" applyFill="1" applyBorder="1" applyAlignment="1">
      <alignment horizontal="center" vertical="top" wrapText="1"/>
    </xf>
    <xf numFmtId="1" fontId="2" fillId="0" borderId="3" xfId="0" applyNumberFormat="1" applyFont="1" applyFill="1" applyBorder="1" applyAlignment="1">
      <alignment horizontal="center" vertical="top" wrapText="1"/>
    </xf>
    <xf numFmtId="168" fontId="18" fillId="0" borderId="3" xfId="0" applyNumberFormat="1" applyFont="1" applyFill="1" applyBorder="1" applyAlignment="1">
      <alignment horizontal="center" vertical="top" wrapText="1"/>
    </xf>
    <xf numFmtId="10" fontId="39" fillId="12" borderId="7" xfId="0" applyNumberFormat="1" applyFont="1" applyFill="1" applyBorder="1" applyAlignment="1">
      <alignment horizontal="center"/>
    </xf>
    <xf numFmtId="168" fontId="2" fillId="0" borderId="3" xfId="0" applyNumberFormat="1" applyFont="1" applyFill="1" applyBorder="1" applyAlignment="1">
      <alignment horizontal="right" vertical="top" wrapText="1"/>
    </xf>
    <xf numFmtId="0" fontId="35" fillId="12" borderId="65" xfId="0" applyFont="1" applyFill="1" applyBorder="1" applyAlignment="1">
      <alignment horizontal="center"/>
    </xf>
    <xf numFmtId="0" fontId="35" fillId="12" borderId="66" xfId="0" applyFont="1" applyFill="1" applyBorder="1" applyAlignment="1">
      <alignment horizontal="center"/>
    </xf>
    <xf numFmtId="0" fontId="35" fillId="12" borderId="72" xfId="0" applyFont="1" applyFill="1" applyBorder="1" applyAlignment="1">
      <alignment horizontal="center"/>
    </xf>
    <xf numFmtId="10" fontId="39" fillId="0" borderId="0" xfId="0" applyNumberFormat="1" applyFont="1" applyBorder="1" applyAlignment="1">
      <alignment horizontal="center"/>
    </xf>
    <xf numFmtId="10" fontId="39" fillId="12" borderId="0" xfId="0" applyNumberFormat="1" applyFont="1" applyFill="1" applyBorder="1" applyAlignment="1">
      <alignment horizontal="center"/>
    </xf>
    <xf numFmtId="10" fontId="39" fillId="0" borderId="71" xfId="0" applyNumberFormat="1" applyFont="1" applyBorder="1" applyAlignment="1">
      <alignment horizontal="center"/>
    </xf>
    <xf numFmtId="10" fontId="39" fillId="0" borderId="72" xfId="0" applyNumberFormat="1" applyFont="1" applyBorder="1" applyAlignment="1">
      <alignment horizontal="center"/>
    </xf>
    <xf numFmtId="10" fontId="39" fillId="12" borderId="72" xfId="0" applyNumberFormat="1" applyFont="1" applyFill="1" applyBorder="1" applyAlignment="1">
      <alignment horizontal="center"/>
    </xf>
    <xf numFmtId="10" fontId="39" fillId="12" borderId="73" xfId="0" applyNumberFormat="1" applyFont="1" applyFill="1" applyBorder="1" applyAlignment="1">
      <alignment horizontal="center"/>
    </xf>
    <xf numFmtId="10" fontId="39" fillId="12" borderId="3" xfId="0" applyNumberFormat="1" applyFont="1" applyFill="1" applyBorder="1" applyAlignment="1">
      <alignment horizontal="center"/>
    </xf>
    <xf numFmtId="10" fontId="39" fillId="12" borderId="8" xfId="0" applyNumberFormat="1" applyFont="1" applyFill="1" applyBorder="1" applyAlignment="1">
      <alignment horizontal="center"/>
    </xf>
    <xf numFmtId="0" fontId="41" fillId="0" borderId="0" xfId="0" applyFont="1" applyBorder="1" applyAlignment="1">
      <alignment wrapText="1"/>
    </xf>
    <xf numFmtId="0" fontId="41" fillId="0" borderId="7" xfId="0" applyFont="1" applyBorder="1" applyAlignment="1">
      <alignment wrapText="1"/>
    </xf>
    <xf numFmtId="1" fontId="1" fillId="0" borderId="0" xfId="0" applyNumberFormat="1" applyFont="1" applyBorder="1"/>
    <xf numFmtId="0" fontId="1" fillId="0" borderId="72" xfId="0" applyFont="1" applyBorder="1"/>
    <xf numFmtId="1" fontId="1" fillId="0" borderId="72" xfId="0" applyNumberFormat="1" applyFont="1" applyBorder="1"/>
    <xf numFmtId="2" fontId="39" fillId="0" borderId="73" xfId="0" applyNumberFormat="1" applyFont="1" applyBorder="1" applyAlignment="1">
      <alignment horizontal="center"/>
    </xf>
    <xf numFmtId="0" fontId="39" fillId="0" borderId="3" xfId="0" applyFont="1" applyBorder="1" applyAlignment="1">
      <alignment horizontal="center"/>
    </xf>
    <xf numFmtId="0" fontId="39" fillId="0" borderId="8" xfId="0" applyFont="1" applyBorder="1" applyAlignment="1">
      <alignment horizontal="center"/>
    </xf>
  </cellXfs>
  <cellStyles count="3">
    <cellStyle name="Normal" xfId="0" builtinId="0"/>
    <cellStyle name="Normal 14" xfId="1" xr:uid="{1516BAF3-00D0-47C1-8C5F-9E96FC279422}"/>
    <cellStyle name="Percent" xfId="2"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2463.4500720000001</c:v>
                </c:pt>
                <c:pt idx="13">
                  <c:v>2444.802088034884</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-182.54992800000002</c:v>
                </c:pt>
                <c:pt idx="13">
                  <c:v>-227.19791196511582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2508.050072</c:v>
                </c:pt>
                <c:pt idx="13">
                  <c:v>2486.6020880348842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2303.4500720000001</c:v>
                      </c:pt>
                      <c:pt idx="13">
                        <c:v>2285.802088034884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126267</xdr:rowOff>
    </xdr:from>
    <xdr:to>
      <xdr:col>20</xdr:col>
      <xdr:colOff>381000</xdr:colOff>
      <xdr:row>109</xdr:row>
      <xdr:rowOff>88729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123128</xdr:rowOff>
    </xdr:from>
    <xdr:to>
      <xdr:col>20</xdr:col>
      <xdr:colOff>381000</xdr:colOff>
      <xdr:row>109</xdr:row>
      <xdr:rowOff>12529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139814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11130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10702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062" t="s">
        <v>0</v>
      </c>
      <c r="C10" s="1063"/>
      <c r="D10" s="1063"/>
      <c r="E10" s="1063"/>
      <c r="F10" s="1063"/>
      <c r="G10" s="1063"/>
      <c r="H10" s="1063"/>
      <c r="I10" s="1063"/>
      <c r="J10" s="1063"/>
      <c r="K10" s="1063"/>
      <c r="L10" s="1063"/>
      <c r="M10" s="1063"/>
      <c r="N10" s="1063"/>
      <c r="O10" s="1063"/>
      <c r="P10" s="1063"/>
      <c r="Q10" s="1064"/>
    </row>
    <row r="11" spans="2:17" x14ac:dyDescent="0.35">
      <c r="B11" s="1065"/>
      <c r="C11" s="1066"/>
      <c r="D11" s="1066"/>
      <c r="E11" s="1066"/>
      <c r="F11" s="1066"/>
      <c r="G11" s="1066"/>
      <c r="H11" s="1066"/>
      <c r="I11" s="1066"/>
      <c r="J11" s="1066"/>
      <c r="K11" s="1066"/>
      <c r="L11" s="1066"/>
      <c r="M11" s="1066"/>
      <c r="N11" s="1066"/>
      <c r="O11" s="1066"/>
      <c r="P11" s="1066"/>
      <c r="Q11" s="1067"/>
    </row>
    <row r="12" spans="2:17" x14ac:dyDescent="0.35">
      <c r="B12" s="8" t="s">
        <v>1</v>
      </c>
      <c r="C12" s="5"/>
      <c r="D12" s="5"/>
      <c r="E12" s="5"/>
      <c r="F12" s="5"/>
      <c r="G12" s="5"/>
      <c r="H12" s="5"/>
      <c r="I12" s="5"/>
      <c r="J12" s="5"/>
      <c r="K12" s="5"/>
      <c r="L12" s="5"/>
      <c r="M12" s="5"/>
      <c r="N12" s="5"/>
      <c r="O12" s="5"/>
      <c r="P12" s="5"/>
      <c r="Q12" s="3"/>
    </row>
    <row r="13" spans="2:17" x14ac:dyDescent="0.35">
      <c r="B13" s="7" t="s">
        <v>2</v>
      </c>
      <c r="C13" s="1068" t="s">
        <v>3</v>
      </c>
      <c r="D13" s="1068"/>
      <c r="E13" s="1068"/>
      <c r="F13" s="1068"/>
      <c r="G13" s="1068"/>
      <c r="H13" s="1068"/>
      <c r="I13" s="1068"/>
      <c r="J13" s="1068"/>
      <c r="K13" s="1068"/>
      <c r="L13" s="1068"/>
      <c r="M13" s="1068"/>
      <c r="N13" s="1068"/>
      <c r="O13" s="1068"/>
      <c r="P13" s="1068"/>
      <c r="Q13" s="106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902</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903</v>
      </c>
      <c r="C18" s="4" t="s">
        <v>11</v>
      </c>
      <c r="D18" s="4"/>
      <c r="E18" s="4"/>
      <c r="F18" s="4"/>
      <c r="G18" s="4"/>
      <c r="H18" s="4"/>
      <c r="I18" s="4"/>
      <c r="J18" s="4"/>
      <c r="K18" s="4"/>
      <c r="L18" s="4"/>
      <c r="M18" s="4"/>
      <c r="N18" s="4"/>
      <c r="O18" s="4"/>
      <c r="P18" s="4"/>
      <c r="Q18" s="10"/>
    </row>
    <row r="19" spans="2:17" x14ac:dyDescent="0.35">
      <c r="B19" s="7" t="s">
        <v>12</v>
      </c>
      <c r="C19" s="4" t="s">
        <v>904</v>
      </c>
      <c r="D19" s="4"/>
      <c r="E19" s="4"/>
      <c r="F19" s="4"/>
      <c r="G19" s="4"/>
      <c r="H19" s="4"/>
      <c r="I19" s="4"/>
      <c r="J19" s="4"/>
      <c r="K19" s="4"/>
      <c r="L19" s="4"/>
      <c r="M19" s="4"/>
      <c r="N19" s="4"/>
      <c r="O19" s="4"/>
      <c r="P19" s="4"/>
      <c r="Q19" s="10"/>
    </row>
    <row r="20" spans="2:17" ht="30.75" customHeight="1" x14ac:dyDescent="0.35">
      <c r="B20" s="7" t="s">
        <v>13</v>
      </c>
      <c r="C20" s="1060" t="s">
        <v>14</v>
      </c>
      <c r="D20" s="1060"/>
      <c r="E20" s="1060"/>
      <c r="F20" s="1060"/>
      <c r="G20" s="1060"/>
      <c r="H20" s="1060"/>
      <c r="I20" s="1060"/>
      <c r="J20" s="1060"/>
      <c r="K20" s="1060"/>
      <c r="L20" s="1060"/>
      <c r="M20" s="1060"/>
      <c r="N20" s="1060"/>
      <c r="O20" s="1060"/>
      <c r="P20" s="1060"/>
      <c r="Q20" s="106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906</v>
      </c>
      <c r="C22" s="1060" t="s">
        <v>905</v>
      </c>
      <c r="D22" s="1060"/>
      <c r="E22" s="1060"/>
      <c r="F22" s="1060"/>
      <c r="G22" s="1060"/>
      <c r="H22" s="1060"/>
      <c r="I22" s="1060"/>
      <c r="J22" s="1060"/>
      <c r="K22" s="1060"/>
      <c r="L22" s="1060"/>
      <c r="M22" s="1060"/>
      <c r="N22" s="1060"/>
      <c r="O22" s="1060"/>
      <c r="P22" s="1060"/>
      <c r="Q22" s="1061"/>
    </row>
    <row r="23" spans="2:17" ht="31.25" customHeight="1" x14ac:dyDescent="0.35">
      <c r="B23" s="7" t="s">
        <v>17</v>
      </c>
      <c r="C23" s="1060" t="s">
        <v>907</v>
      </c>
      <c r="D23" s="1060"/>
      <c r="E23" s="1060"/>
      <c r="F23" s="1060"/>
      <c r="G23" s="1060"/>
      <c r="H23" s="1060"/>
      <c r="I23" s="1060"/>
      <c r="J23" s="1060"/>
      <c r="K23" s="1060"/>
      <c r="L23" s="1060"/>
      <c r="M23" s="1060"/>
      <c r="N23" s="1060"/>
      <c r="O23" s="1060"/>
      <c r="P23" s="1060"/>
      <c r="Q23" s="106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908</v>
      </c>
      <c r="D27" s="4"/>
      <c r="E27" s="4"/>
      <c r="F27" s="4"/>
      <c r="G27" s="4"/>
      <c r="H27" s="4"/>
      <c r="I27" s="4"/>
      <c r="J27" s="4"/>
      <c r="K27" s="4"/>
      <c r="L27" s="4"/>
      <c r="M27" s="4"/>
      <c r="N27" s="4"/>
      <c r="O27" s="4"/>
      <c r="P27" s="4"/>
      <c r="Q27" s="10"/>
    </row>
    <row r="28" spans="2:17" x14ac:dyDescent="0.35">
      <c r="B28" s="7" t="s">
        <v>25</v>
      </c>
      <c r="C28" s="4" t="s">
        <v>909</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059" t="s">
        <v>910</v>
      </c>
      <c r="C33" s="1060"/>
      <c r="D33" s="1060"/>
      <c r="E33" s="1060"/>
      <c r="F33" s="1060"/>
      <c r="G33" s="1060"/>
      <c r="H33" s="1060"/>
      <c r="I33" s="1060"/>
      <c r="J33" s="1060"/>
      <c r="K33" s="1060"/>
      <c r="L33" s="1060"/>
      <c r="M33" s="1060"/>
      <c r="N33" s="1060"/>
      <c r="O33" s="1060"/>
      <c r="P33" s="1060"/>
      <c r="Q33" s="106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6049-B710-4D20-B69A-5D05250D5AA4}">
  <dimension ref="A1:AS57"/>
  <sheetViews>
    <sheetView workbookViewId="0">
      <selection activeCell="A18" sqref="A18"/>
    </sheetView>
  </sheetViews>
  <sheetFormatPr defaultRowHeight="14.5" x14ac:dyDescent="0.35"/>
  <cols>
    <col min="1" max="1" width="6.1796875" customWidth="1" collapsed="1"/>
    <col min="2" max="2" width="42.54296875" bestFit="1" customWidth="1" collapsed="1"/>
    <col min="3" max="3" width="8" bestFit="1" customWidth="1" collapsed="1"/>
    <col min="4" max="5" width="8.81640625" bestFit="1" customWidth="1" collapsed="1"/>
    <col min="6" max="6" width="9.453125" bestFit="1" customWidth="1" collapsed="1"/>
    <col min="7" max="16" width="8.81640625" bestFit="1" customWidth="1" collapsed="1"/>
    <col min="17" max="17" width="9.81640625" bestFit="1" customWidth="1" collapsed="1"/>
    <col min="18" max="18" width="9.453125" bestFit="1" customWidth="1" collapsed="1"/>
    <col min="19" max="19" width="8.81640625" bestFit="1" customWidth="1" collapsed="1"/>
    <col min="20" max="20" width="9.81640625" bestFit="1" customWidth="1" collapsed="1"/>
    <col min="21" max="23" width="9.453125" bestFit="1" customWidth="1" collapsed="1"/>
    <col min="24" max="24" width="8.81640625" bestFit="1" customWidth="1" collapsed="1"/>
    <col min="25" max="25" width="9.453125" bestFit="1" customWidth="1" collapsed="1"/>
  </cols>
  <sheetData>
    <row r="1" spans="1:28" ht="18.5" x14ac:dyDescent="0.45">
      <c r="A1" s="1101" t="s">
        <v>2161</v>
      </c>
      <c r="B1" s="1102"/>
      <c r="C1" s="1102"/>
      <c r="D1" s="1102"/>
      <c r="E1" s="1102"/>
      <c r="F1" s="1102"/>
      <c r="G1" s="1102"/>
      <c r="H1" s="1102"/>
      <c r="I1" s="1102"/>
      <c r="J1" s="1102"/>
      <c r="K1" s="1102"/>
      <c r="L1" s="1102"/>
      <c r="M1" s="1102"/>
      <c r="N1" s="1102"/>
      <c r="O1" s="1102"/>
      <c r="P1" s="1102"/>
      <c r="Q1" s="1102"/>
      <c r="R1" s="1102"/>
      <c r="S1" s="1102"/>
      <c r="T1" s="1102"/>
      <c r="U1" s="1102"/>
      <c r="V1" s="1102"/>
      <c r="W1" s="1102"/>
      <c r="X1" s="1102"/>
      <c r="Y1" s="1102"/>
    </row>
    <row r="2" spans="1:28" ht="17" x14ac:dyDescent="0.4">
      <c r="A2" s="1103" t="s">
        <v>2162</v>
      </c>
      <c r="B2" s="1102"/>
      <c r="C2" s="1102"/>
      <c r="D2" s="1102"/>
      <c r="E2" s="1102"/>
      <c r="F2" s="1102"/>
      <c r="G2" s="1102"/>
      <c r="H2" s="1102"/>
      <c r="I2" s="1102"/>
      <c r="J2" s="1102"/>
      <c r="K2" s="1102"/>
      <c r="L2" s="1102"/>
      <c r="M2" s="1102"/>
      <c r="N2" s="1102"/>
      <c r="O2" s="1102"/>
      <c r="P2" s="1102"/>
      <c r="Q2" s="1102"/>
      <c r="R2" s="1102"/>
      <c r="S2" s="1102"/>
      <c r="T2" s="1102"/>
      <c r="U2" s="1102"/>
      <c r="V2" s="1102"/>
      <c r="W2" s="1102"/>
      <c r="X2" s="1102"/>
      <c r="Y2" s="1102"/>
    </row>
    <row r="3" spans="1:28" x14ac:dyDescent="0.35">
      <c r="A3" s="1102" t="s">
        <v>2163</v>
      </c>
      <c r="B3" s="1102"/>
      <c r="C3" s="1102"/>
      <c r="D3" s="1102"/>
      <c r="E3" s="1102"/>
      <c r="F3" s="1102"/>
      <c r="G3" s="1102"/>
      <c r="H3" s="1102"/>
      <c r="I3" s="1102"/>
      <c r="J3" s="1102"/>
      <c r="K3" s="1102"/>
      <c r="L3" s="1102"/>
      <c r="M3" s="1102"/>
      <c r="N3" s="1102"/>
      <c r="O3" s="1102"/>
      <c r="P3" s="1102"/>
      <c r="Q3" s="1102"/>
      <c r="R3" s="1102"/>
      <c r="S3" s="1102"/>
      <c r="T3" s="1102"/>
      <c r="U3" s="1102"/>
      <c r="V3" s="1102"/>
      <c r="W3" s="1102"/>
      <c r="X3" s="1102"/>
      <c r="Y3" s="1102"/>
    </row>
    <row r="4" spans="1:28" x14ac:dyDescent="0.35">
      <c r="A4" s="1102" t="s">
        <v>2164</v>
      </c>
      <c r="B4" s="1102"/>
      <c r="C4" s="1102"/>
      <c r="D4" s="1102"/>
      <c r="E4" s="1102"/>
      <c r="F4" s="1102"/>
      <c r="G4" s="1102"/>
      <c r="H4" s="1102"/>
      <c r="I4" s="1102"/>
      <c r="J4" s="1102"/>
      <c r="K4" s="1102"/>
      <c r="L4" s="1102"/>
      <c r="M4" s="1102"/>
      <c r="N4" s="1102"/>
      <c r="O4" s="1102"/>
      <c r="P4" s="1102"/>
      <c r="Q4" s="1102"/>
      <c r="R4" s="1102"/>
      <c r="S4" s="1102"/>
      <c r="T4" s="1102"/>
      <c r="U4" s="1102"/>
      <c r="V4" s="1102"/>
      <c r="W4" s="1102"/>
      <c r="X4" s="1102"/>
      <c r="Y4" s="1102"/>
    </row>
    <row r="6" spans="1:28" x14ac:dyDescent="0.35">
      <c r="A6" s="1104" t="s">
        <v>884</v>
      </c>
      <c r="B6" s="1104" t="s">
        <v>2159</v>
      </c>
      <c r="C6" s="1104" t="s">
        <v>2165</v>
      </c>
      <c r="D6" s="1104"/>
      <c r="E6" s="1104"/>
      <c r="F6" s="1104"/>
      <c r="G6" s="1104"/>
      <c r="H6" s="1104"/>
      <c r="I6" s="1104"/>
      <c r="J6" s="1104"/>
      <c r="K6" s="1104"/>
      <c r="L6" s="1104"/>
      <c r="M6" s="1104"/>
      <c r="N6" s="1104"/>
      <c r="O6" s="1104" t="s">
        <v>2166</v>
      </c>
      <c r="P6" s="1104"/>
      <c r="Q6" s="1104"/>
      <c r="R6" s="1104"/>
      <c r="S6" s="1104"/>
      <c r="T6" s="1104"/>
      <c r="U6" s="1104"/>
      <c r="V6" s="1104"/>
      <c r="W6" s="1104"/>
      <c r="X6" s="1104"/>
      <c r="Y6" s="1105"/>
      <c r="Z6" s="1108" t="s">
        <v>2207</v>
      </c>
      <c r="AA6" s="1109"/>
      <c r="AB6" s="1110"/>
    </row>
    <row r="7" spans="1:28" x14ac:dyDescent="0.35">
      <c r="A7" s="1104"/>
      <c r="B7" s="1104"/>
      <c r="C7" s="1008" t="s">
        <v>2167</v>
      </c>
      <c r="D7" s="1008" t="s">
        <v>2168</v>
      </c>
      <c r="E7" s="1008" t="s">
        <v>2169</v>
      </c>
      <c r="F7" s="1008" t="s">
        <v>2170</v>
      </c>
      <c r="G7" s="1008" t="s">
        <v>2171</v>
      </c>
      <c r="H7" s="1008" t="s">
        <v>2172</v>
      </c>
      <c r="I7" s="1008" t="s">
        <v>2173</v>
      </c>
      <c r="J7" s="1008" t="s">
        <v>2174</v>
      </c>
      <c r="K7" s="1008" t="s">
        <v>2175</v>
      </c>
      <c r="L7" s="1008" t="s">
        <v>2176</v>
      </c>
      <c r="M7" s="1008" t="s">
        <v>2177</v>
      </c>
      <c r="N7" s="1008" t="s">
        <v>2178</v>
      </c>
      <c r="O7" s="1008" t="s">
        <v>2167</v>
      </c>
      <c r="P7" s="1008" t="s">
        <v>2168</v>
      </c>
      <c r="Q7" s="1008" t="s">
        <v>2169</v>
      </c>
      <c r="R7" s="1008" t="s">
        <v>2170</v>
      </c>
      <c r="S7" s="1008" t="s">
        <v>2171</v>
      </c>
      <c r="T7" s="1008" t="s">
        <v>2172</v>
      </c>
      <c r="U7" s="1008" t="s">
        <v>2173</v>
      </c>
      <c r="V7" s="1008" t="s">
        <v>2174</v>
      </c>
      <c r="W7" s="1008" t="s">
        <v>2175</v>
      </c>
      <c r="X7" s="1008" t="s">
        <v>2176</v>
      </c>
      <c r="Y7" s="1011" t="s">
        <v>2177</v>
      </c>
      <c r="Z7" s="1017" t="s">
        <v>2178</v>
      </c>
      <c r="AA7" s="1009" t="s">
        <v>2167</v>
      </c>
      <c r="AB7" s="1018" t="s">
        <v>2168</v>
      </c>
    </row>
    <row r="8" spans="1:28" x14ac:dyDescent="0.35">
      <c r="A8" t="s">
        <v>2179</v>
      </c>
      <c r="B8" s="1010" t="s">
        <v>2180</v>
      </c>
      <c r="C8" s="1010">
        <v>112.583</v>
      </c>
      <c r="D8" s="1010">
        <v>112.961</v>
      </c>
      <c r="E8" s="1010">
        <v>113.63200000000001</v>
      </c>
      <c r="F8" s="1010">
        <v>114.238</v>
      </c>
      <c r="G8" s="1010">
        <v>114.819</v>
      </c>
      <c r="H8" s="1010">
        <v>115.458</v>
      </c>
      <c r="I8" s="1010">
        <v>115.986</v>
      </c>
      <c r="J8" s="1010">
        <v>116.444</v>
      </c>
      <c r="K8" s="1010">
        <v>116.80800000000001</v>
      </c>
      <c r="L8" s="1010">
        <v>117.479</v>
      </c>
      <c r="M8" s="1010">
        <v>118.2</v>
      </c>
      <c r="N8" s="1010">
        <v>118.84099999999999</v>
      </c>
      <c r="O8" s="1010">
        <v>119.46899999999999</v>
      </c>
      <c r="P8" s="1010">
        <v>120.178</v>
      </c>
      <c r="Q8" s="1010">
        <v>121.321</v>
      </c>
      <c r="R8" s="1010">
        <v>121.563</v>
      </c>
      <c r="S8" s="1010">
        <v>122.3</v>
      </c>
      <c r="T8" s="1010">
        <v>123.512</v>
      </c>
      <c r="U8" s="1010">
        <v>123.39700000000001</v>
      </c>
      <c r="V8" s="1010">
        <v>123.72799999999999</v>
      </c>
      <c r="W8" s="1010">
        <v>124.154</v>
      </c>
      <c r="X8" s="1010">
        <v>124.617</v>
      </c>
      <c r="Y8" s="1010">
        <v>124.747</v>
      </c>
      <c r="Z8" s="1019">
        <f>Y8*(1+Z30)^(1/12)</f>
        <v>124.95302981267064</v>
      </c>
      <c r="AA8" s="1020"/>
      <c r="AB8" s="1021"/>
    </row>
    <row r="9" spans="1:28" x14ac:dyDescent="0.35">
      <c r="A9" t="s">
        <v>2181</v>
      </c>
      <c r="B9" s="1010" t="s">
        <v>2182</v>
      </c>
      <c r="C9" s="1010">
        <v>95.314999999999998</v>
      </c>
      <c r="D9" s="1010">
        <v>95.686999999999998</v>
      </c>
      <c r="E9" s="1010">
        <v>96.406000000000006</v>
      </c>
      <c r="F9" s="1010">
        <v>97.102000000000004</v>
      </c>
      <c r="G9" s="1010">
        <v>97.861000000000004</v>
      </c>
      <c r="H9" s="1010">
        <v>98.683999999999997</v>
      </c>
      <c r="I9" s="1010">
        <v>99.159000000000006</v>
      </c>
      <c r="J9" s="1010">
        <v>99.754999999999995</v>
      </c>
      <c r="K9" s="1010">
        <v>100.149</v>
      </c>
      <c r="L9" s="1010">
        <v>101.224</v>
      </c>
      <c r="M9" s="1010">
        <v>101.938</v>
      </c>
      <c r="N9" s="1010">
        <v>102.608</v>
      </c>
      <c r="O9" s="1010">
        <v>103.54</v>
      </c>
      <c r="P9" s="1010">
        <v>104.79</v>
      </c>
      <c r="Q9" s="1010">
        <v>106.631</v>
      </c>
      <c r="R9" s="1010">
        <v>106.443</v>
      </c>
      <c r="S9" s="1010">
        <v>107.414</v>
      </c>
      <c r="T9" s="1010">
        <v>109.154</v>
      </c>
      <c r="U9" s="1010">
        <v>108.682</v>
      </c>
      <c r="V9" s="1010">
        <v>108.316</v>
      </c>
      <c r="W9" s="1010">
        <v>108.20699999999999</v>
      </c>
      <c r="X9" s="1010">
        <v>108.532</v>
      </c>
      <c r="Y9" s="1010">
        <v>108.116</v>
      </c>
      <c r="Z9" s="1019"/>
      <c r="AA9" s="1020"/>
      <c r="AB9" s="1021"/>
    </row>
    <row r="10" spans="1:28" x14ac:dyDescent="0.35">
      <c r="A10" t="s">
        <v>2183</v>
      </c>
      <c r="B10" t="s">
        <v>2184</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1019"/>
      <c r="AA10" s="1020"/>
      <c r="AB10" s="1021"/>
    </row>
    <row r="11" spans="1:28" x14ac:dyDescent="0.35">
      <c r="A11" t="s">
        <v>2185</v>
      </c>
      <c r="B11" t="s">
        <v>2186</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1019"/>
      <c r="AA11" s="1020"/>
      <c r="AB11" s="1021"/>
    </row>
    <row r="12" spans="1:28" x14ac:dyDescent="0.35">
      <c r="A12" t="s">
        <v>2187</v>
      </c>
      <c r="B12" s="1010" t="s">
        <v>2188</v>
      </c>
      <c r="C12" s="1010">
        <v>121.786</v>
      </c>
      <c r="D12" s="1010">
        <v>122.16500000000001</v>
      </c>
      <c r="E12" s="1010">
        <v>122.792</v>
      </c>
      <c r="F12" s="1010">
        <v>123.324</v>
      </c>
      <c r="G12" s="1010">
        <v>123.773</v>
      </c>
      <c r="H12" s="1010">
        <v>124.277</v>
      </c>
      <c r="I12" s="1010">
        <v>124.831</v>
      </c>
      <c r="J12" s="1010">
        <v>125.19199999999999</v>
      </c>
      <c r="K12" s="1010">
        <v>125.53100000000001</v>
      </c>
      <c r="L12" s="1010">
        <v>125.92700000000001</v>
      </c>
      <c r="M12" s="1010">
        <v>126.64100000000001</v>
      </c>
      <c r="N12" s="1010">
        <v>127.253</v>
      </c>
      <c r="O12" s="1010">
        <v>127.672</v>
      </c>
      <c r="P12" s="1010">
        <v>128.01499999999999</v>
      </c>
      <c r="Q12" s="1010">
        <v>128.69</v>
      </c>
      <c r="R12" s="1010">
        <v>129.20400000000001</v>
      </c>
      <c r="S12" s="1010">
        <v>129.78</v>
      </c>
      <c r="T12" s="1010">
        <v>130.63900000000001</v>
      </c>
      <c r="U12" s="1010">
        <v>130.75299999999999</v>
      </c>
      <c r="V12" s="1010">
        <v>131.51900000000001</v>
      </c>
      <c r="W12" s="1010">
        <v>132.27500000000001</v>
      </c>
      <c r="X12" s="1010">
        <v>132.81800000000001</v>
      </c>
      <c r="Y12" s="1010">
        <v>133.28899999999999</v>
      </c>
      <c r="Z12" s="1019"/>
      <c r="AA12" s="1020"/>
      <c r="AB12" s="1021"/>
    </row>
    <row r="13" spans="1:28" x14ac:dyDescent="0.35">
      <c r="A13" t="s">
        <v>2159</v>
      </c>
      <c r="B13" t="s">
        <v>2189</v>
      </c>
      <c r="C13" t="s">
        <v>2159</v>
      </c>
      <c r="D13" t="s">
        <v>2159</v>
      </c>
      <c r="E13" t="s">
        <v>2159</v>
      </c>
      <c r="F13" t="s">
        <v>2159</v>
      </c>
      <c r="G13" t="s">
        <v>2159</v>
      </c>
      <c r="H13" t="s">
        <v>2159</v>
      </c>
      <c r="I13" t="s">
        <v>2159</v>
      </c>
      <c r="J13" t="s">
        <v>2159</v>
      </c>
      <c r="K13" t="s">
        <v>2159</v>
      </c>
      <c r="L13" t="s">
        <v>2159</v>
      </c>
      <c r="M13" t="s">
        <v>2159</v>
      </c>
      <c r="N13" t="s">
        <v>2159</v>
      </c>
      <c r="O13" t="s">
        <v>2159</v>
      </c>
      <c r="P13" t="s">
        <v>2159</v>
      </c>
      <c r="Q13" t="s">
        <v>2159</v>
      </c>
      <c r="R13" t="s">
        <v>2159</v>
      </c>
      <c r="S13" t="s">
        <v>2159</v>
      </c>
      <c r="T13" t="s">
        <v>2159</v>
      </c>
      <c r="U13" t="s">
        <v>2159</v>
      </c>
      <c r="V13" t="s">
        <v>2159</v>
      </c>
      <c r="W13" t="s">
        <v>2159</v>
      </c>
      <c r="X13" t="s">
        <v>2159</v>
      </c>
      <c r="Y13" t="s">
        <v>2159</v>
      </c>
      <c r="Z13" s="1019"/>
      <c r="AA13" s="1020"/>
      <c r="AB13" s="1021"/>
    </row>
    <row r="14" spans="1:28" x14ac:dyDescent="0.35">
      <c r="A14" t="s">
        <v>2190</v>
      </c>
      <c r="B14" t="s">
        <v>2191</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1019"/>
      <c r="AA14" s="1020"/>
      <c r="AB14" s="1021"/>
    </row>
    <row r="15" spans="1:28" x14ac:dyDescent="0.35">
      <c r="A15" t="s">
        <v>2192</v>
      </c>
      <c r="B15" t="s">
        <v>2193</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1019"/>
      <c r="AA15" s="1020"/>
      <c r="AB15" s="1021"/>
    </row>
    <row r="16" spans="1:28" x14ac:dyDescent="0.35">
      <c r="A16" t="s">
        <v>2194</v>
      </c>
      <c r="B16" t="s">
        <v>2195</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1019"/>
      <c r="AA16" s="1020"/>
      <c r="AB16" s="1021"/>
    </row>
    <row r="17" spans="1:32" x14ac:dyDescent="0.35">
      <c r="A17" t="s">
        <v>2196</v>
      </c>
      <c r="B17" t="s">
        <v>2197</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1019"/>
      <c r="AA17" s="1020"/>
      <c r="AB17" s="1021"/>
    </row>
    <row r="18" spans="1:32" x14ac:dyDescent="0.35">
      <c r="A18" t="s">
        <v>2198</v>
      </c>
      <c r="B18" t="s">
        <v>2199</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022"/>
      <c r="AA18" s="1023"/>
      <c r="AB18" s="1024"/>
    </row>
    <row r="19" spans="1:32" ht="15.5" x14ac:dyDescent="0.45">
      <c r="A19" s="1106" t="s">
        <v>2200</v>
      </c>
      <c r="B19" s="1102"/>
      <c r="C19" s="1102"/>
      <c r="D19" s="1102"/>
      <c r="E19" s="1102"/>
      <c r="F19" s="1102"/>
      <c r="G19" s="1102"/>
      <c r="H19" s="1102"/>
      <c r="I19" s="1102"/>
      <c r="J19" s="1102"/>
      <c r="K19" s="1102"/>
      <c r="L19" s="1102"/>
      <c r="M19" s="1102"/>
      <c r="N19" s="1102"/>
      <c r="O19" s="1102"/>
      <c r="P19" s="1102"/>
      <c r="Q19" s="1102"/>
      <c r="R19" s="1102"/>
      <c r="S19" s="1102"/>
      <c r="T19" s="1102"/>
      <c r="U19" s="1102"/>
      <c r="V19" s="1102"/>
      <c r="W19" s="1102"/>
      <c r="X19" s="1102"/>
      <c r="Y19" s="1102"/>
      <c r="Z19" s="1102"/>
    </row>
    <row r="20" spans="1:32" x14ac:dyDescent="0.35">
      <c r="A20" s="1107" t="s">
        <v>2201</v>
      </c>
      <c r="B20" s="1102"/>
      <c r="C20" s="1102"/>
      <c r="D20" s="1102"/>
      <c r="E20" s="1102"/>
      <c r="F20" s="1102"/>
      <c r="G20" s="1102"/>
      <c r="H20" s="1102"/>
      <c r="I20" s="1102"/>
      <c r="J20" s="1102"/>
      <c r="K20" s="1102"/>
      <c r="L20" s="1102"/>
      <c r="M20" s="1102"/>
      <c r="N20" s="1102"/>
      <c r="O20" s="1102"/>
      <c r="P20" s="1102"/>
      <c r="Q20" s="1102"/>
      <c r="R20" s="1102"/>
      <c r="S20" s="1102"/>
      <c r="T20" s="1102"/>
      <c r="U20" s="1102"/>
      <c r="V20" s="1102"/>
      <c r="W20" s="1102"/>
      <c r="X20" s="1102"/>
      <c r="Y20" s="1102"/>
      <c r="Z20" s="1102"/>
    </row>
    <row r="21" spans="1:32" x14ac:dyDescent="0.35">
      <c r="A21" s="1107" t="s">
        <v>2202</v>
      </c>
      <c r="B21" s="1102"/>
      <c r="C21" s="1102"/>
      <c r="D21" s="1102"/>
      <c r="E21" s="1102"/>
      <c r="F21" s="1102"/>
      <c r="G21" s="1102"/>
      <c r="H21" s="1102"/>
      <c r="I21" s="1102"/>
      <c r="J21" s="1102"/>
      <c r="K21" s="1102"/>
      <c r="L21" s="1102"/>
      <c r="M21" s="1102"/>
      <c r="N21" s="1102"/>
      <c r="O21" s="1102"/>
      <c r="P21" s="1102"/>
      <c r="Q21" s="1102"/>
      <c r="R21" s="1102"/>
      <c r="S21" s="1102"/>
      <c r="T21" s="1102"/>
      <c r="U21" s="1102"/>
      <c r="V21" s="1102"/>
      <c r="W21" s="1102"/>
      <c r="X21" s="1102"/>
      <c r="Y21" s="1102"/>
      <c r="Z21" s="1102"/>
    </row>
    <row r="22" spans="1:32" x14ac:dyDescent="0.35">
      <c r="A22" s="1107" t="s">
        <v>2203</v>
      </c>
      <c r="B22" s="1102"/>
      <c r="C22" s="1102"/>
      <c r="D22" s="1102"/>
      <c r="E22" s="1102"/>
      <c r="F22" s="1102"/>
      <c r="G22" s="1102"/>
      <c r="H22" s="1102"/>
      <c r="I22" s="1102"/>
      <c r="J22" s="1102"/>
      <c r="K22" s="1102"/>
      <c r="L22" s="1102"/>
      <c r="M22" s="1102"/>
      <c r="N22" s="1102"/>
      <c r="O22" s="1102"/>
      <c r="P22" s="1102"/>
      <c r="Q22" s="1102"/>
      <c r="R22" s="1102"/>
      <c r="S22" s="1102"/>
      <c r="T22" s="1102"/>
      <c r="U22" s="1102"/>
      <c r="V22" s="1102"/>
      <c r="W22" s="1102"/>
      <c r="X22" s="1102"/>
      <c r="Y22" s="1102"/>
      <c r="Z22" s="1102"/>
    </row>
    <row r="23" spans="1:32" s="1007" customFormat="1" x14ac:dyDescent="0.35">
      <c r="A23" s="1012"/>
    </row>
    <row r="24" spans="1:32" s="1007" customFormat="1" x14ac:dyDescent="0.35">
      <c r="A24" s="1012"/>
    </row>
    <row r="25" spans="1:32" s="1007" customFormat="1" x14ac:dyDescent="0.35">
      <c r="A25" s="1012"/>
    </row>
    <row r="26" spans="1:32" s="1007" customFormat="1" x14ac:dyDescent="0.35">
      <c r="A26" s="1012"/>
    </row>
    <row r="27" spans="1:32" s="1007" customFormat="1" x14ac:dyDescent="0.35">
      <c r="A27" s="1012"/>
      <c r="B27" s="1016" t="s">
        <v>2204</v>
      </c>
      <c r="C27" s="1097" t="s">
        <v>325</v>
      </c>
      <c r="D27" s="1097"/>
      <c r="E27" s="1097"/>
      <c r="F27" s="1097"/>
      <c r="G27" s="1097"/>
      <c r="H27" s="1097"/>
      <c r="I27" s="1097"/>
      <c r="J27" s="1097"/>
      <c r="K27" s="1097"/>
      <c r="L27" s="1097"/>
      <c r="M27" s="1097"/>
      <c r="N27" s="1097"/>
      <c r="O27" s="1097"/>
      <c r="P27" s="1097"/>
      <c r="Q27" s="1097"/>
      <c r="R27" s="1097"/>
      <c r="S27" s="1097"/>
      <c r="T27" s="1097"/>
      <c r="U27" s="1097"/>
      <c r="V27" s="1097"/>
      <c r="W27" s="1097"/>
      <c r="X27" s="1097"/>
      <c r="Y27" s="1097"/>
      <c r="Z27" s="1028" t="s">
        <v>2208</v>
      </c>
    </row>
    <row r="28" spans="1:32" x14ac:dyDescent="0.35">
      <c r="A28" s="1012"/>
      <c r="C28" s="1097">
        <v>2021</v>
      </c>
      <c r="D28" s="1097"/>
      <c r="E28" s="1097"/>
      <c r="F28" s="1097"/>
      <c r="G28" s="1097"/>
      <c r="H28" s="1097"/>
      <c r="I28" s="1097"/>
      <c r="J28" s="1097"/>
      <c r="K28" s="1097"/>
      <c r="L28" s="1097"/>
      <c r="M28" s="1097"/>
      <c r="N28" s="1097"/>
      <c r="O28" s="1097">
        <v>2022</v>
      </c>
      <c r="P28" s="1097"/>
      <c r="Q28" s="1097"/>
      <c r="R28" s="1097"/>
      <c r="S28" s="1097"/>
      <c r="T28" s="1097"/>
      <c r="U28" s="1097"/>
      <c r="V28" s="1097"/>
      <c r="W28" s="1097"/>
      <c r="X28" s="1097"/>
      <c r="Y28" s="1097"/>
      <c r="Z28" s="1028"/>
      <c r="AA28" s="1025"/>
      <c r="AB28" s="1025"/>
      <c r="AC28" s="1025"/>
      <c r="AD28" s="1025"/>
    </row>
    <row r="29" spans="1:32" x14ac:dyDescent="0.35">
      <c r="A29" s="1012"/>
      <c r="C29" s="1015" t="s">
        <v>2167</v>
      </c>
      <c r="D29" s="1015" t="s">
        <v>2168</v>
      </c>
      <c r="E29" s="1015" t="s">
        <v>2169</v>
      </c>
      <c r="F29" s="1015" t="s">
        <v>2170</v>
      </c>
      <c r="G29" s="1015" t="s">
        <v>2171</v>
      </c>
      <c r="H29" s="1015" t="s">
        <v>2172</v>
      </c>
      <c r="I29" s="1015" t="s">
        <v>2173</v>
      </c>
      <c r="J29" s="1015" t="s">
        <v>2174</v>
      </c>
      <c r="K29" s="1015" t="s">
        <v>2175</v>
      </c>
      <c r="L29" s="1015" t="s">
        <v>2176</v>
      </c>
      <c r="M29" s="1015" t="s">
        <v>2177</v>
      </c>
      <c r="N29" s="1015" t="s">
        <v>2178</v>
      </c>
      <c r="O29" s="1015" t="s">
        <v>2167</v>
      </c>
      <c r="P29" s="1015" t="s">
        <v>2168</v>
      </c>
      <c r="Q29" s="1015" t="s">
        <v>2169</v>
      </c>
      <c r="R29" s="1015" t="s">
        <v>2170</v>
      </c>
      <c r="S29" s="1015" t="s">
        <v>2171</v>
      </c>
      <c r="T29" s="1015" t="s">
        <v>2172</v>
      </c>
      <c r="U29" s="1015" t="s">
        <v>2173</v>
      </c>
      <c r="V29" s="1015" t="s">
        <v>2174</v>
      </c>
      <c r="W29" s="1015" t="s">
        <v>2175</v>
      </c>
      <c r="X29" s="1015" t="s">
        <v>2176</v>
      </c>
      <c r="Y29" s="1015" t="s">
        <v>2177</v>
      </c>
      <c r="Z29" s="1017" t="s">
        <v>2178</v>
      </c>
      <c r="AA29" s="1026" t="s">
        <v>2167</v>
      </c>
      <c r="AB29" s="1026" t="s">
        <v>2168</v>
      </c>
      <c r="AC29" s="1025"/>
      <c r="AD29" s="1025"/>
      <c r="AE29" s="1038" t="s">
        <v>2210</v>
      </c>
      <c r="AF29" s="1025"/>
    </row>
    <row r="30" spans="1:32" x14ac:dyDescent="0.35">
      <c r="A30" s="1012"/>
      <c r="B30" s="1010" t="s">
        <v>2180</v>
      </c>
      <c r="D30" s="1013">
        <f>(D8/C8)^(12)-1</f>
        <v>4.1042680162006073E-2</v>
      </c>
      <c r="E30" s="1013">
        <f t="shared" ref="E30:Y30" si="0">(E8/D8)^(12)-1</f>
        <v>7.3656770386894443E-2</v>
      </c>
      <c r="F30" s="1013">
        <f t="shared" si="0"/>
        <v>6.5906931976990268E-2</v>
      </c>
      <c r="G30" s="1013">
        <f t="shared" si="0"/>
        <v>6.2766918615354106E-2</v>
      </c>
      <c r="H30" s="1013">
        <f t="shared" si="0"/>
        <v>6.8865947836563857E-2</v>
      </c>
      <c r="I30" s="1013">
        <f t="shared" si="0"/>
        <v>5.6278625527978576E-2</v>
      </c>
      <c r="J30" s="1013">
        <f t="shared" si="0"/>
        <v>4.8427810693439044E-2</v>
      </c>
      <c r="K30" s="1013">
        <f t="shared" si="0"/>
        <v>3.8163290994450927E-2</v>
      </c>
      <c r="L30" s="1013">
        <f t="shared" si="0"/>
        <v>7.1153811599884431E-2</v>
      </c>
      <c r="M30" s="1013">
        <f t="shared" si="0"/>
        <v>7.6184730021106928E-2</v>
      </c>
      <c r="N30" s="1013">
        <f t="shared" si="0"/>
        <v>6.7052658631531425E-2</v>
      </c>
      <c r="O30" s="1013">
        <f t="shared" si="0"/>
        <v>6.5288334451285346E-2</v>
      </c>
      <c r="P30" s="1013">
        <f t="shared" si="0"/>
        <v>7.3586210362064142E-2</v>
      </c>
      <c r="Q30" s="1013">
        <f t="shared" si="0"/>
        <v>0.12029425742902733</v>
      </c>
      <c r="R30" s="1013">
        <f t="shared" si="0"/>
        <v>2.420085779508252E-2</v>
      </c>
      <c r="S30" s="1013">
        <f t="shared" si="0"/>
        <v>7.5228018520828943E-2</v>
      </c>
      <c r="T30" s="1013">
        <f t="shared" si="0"/>
        <v>0.12562146420345077</v>
      </c>
      <c r="U30" s="1013">
        <f t="shared" si="0"/>
        <v>-1.1115964136614309E-2</v>
      </c>
      <c r="V30" s="1013">
        <f t="shared" si="0"/>
        <v>3.26679483742216E-2</v>
      </c>
      <c r="W30" s="1013">
        <f t="shared" si="0"/>
        <v>4.210788235244034E-2</v>
      </c>
      <c r="X30" s="1013">
        <f t="shared" si="0"/>
        <v>4.5680257165514826E-2</v>
      </c>
      <c r="Y30" s="1013">
        <f t="shared" si="0"/>
        <v>1.2590431659304846E-2</v>
      </c>
      <c r="Z30" s="1027">
        <f>AE30</f>
        <v>0.02</v>
      </c>
      <c r="AA30" s="1025"/>
      <c r="AB30" s="1025"/>
      <c r="AC30" s="1025"/>
      <c r="AD30" s="1025"/>
      <c r="AE30" s="1037">
        <v>0.02</v>
      </c>
      <c r="AF30" s="1025" t="s">
        <v>2211</v>
      </c>
    </row>
    <row r="31" spans="1:32" x14ac:dyDescent="0.35">
      <c r="A31" s="1012"/>
      <c r="B31" s="1010" t="s">
        <v>2182</v>
      </c>
      <c r="D31" s="1013">
        <f t="shared" ref="D31:Y31" si="1">(D9/C9)^(12)-1</f>
        <v>4.7852702682074089E-2</v>
      </c>
      <c r="E31" s="1013">
        <f t="shared" si="1"/>
        <v>9.3990376547193E-2</v>
      </c>
      <c r="F31" s="1013">
        <f t="shared" si="1"/>
        <v>9.0157721904044807E-2</v>
      </c>
      <c r="G31" s="1013">
        <f t="shared" si="1"/>
        <v>9.7937681358029272E-2</v>
      </c>
      <c r="H31" s="1013">
        <f t="shared" si="1"/>
        <v>0.10571994524004813</v>
      </c>
      <c r="I31" s="1013">
        <f t="shared" si="1"/>
        <v>5.9314030950316399E-2</v>
      </c>
      <c r="J31" s="1013">
        <f t="shared" si="1"/>
        <v>7.4559369880963899E-2</v>
      </c>
      <c r="K31" s="1013">
        <f t="shared" si="1"/>
        <v>4.8439393408400866E-2</v>
      </c>
      <c r="L31" s="1013">
        <f t="shared" si="1"/>
        <v>0.13669129570635752</v>
      </c>
      <c r="M31" s="1013">
        <f t="shared" si="1"/>
        <v>8.8006180889502517E-2</v>
      </c>
      <c r="N31" s="1013">
        <f t="shared" si="1"/>
        <v>8.1786027991030075E-2</v>
      </c>
      <c r="O31" s="1013">
        <f t="shared" si="1"/>
        <v>0.11461082577636561</v>
      </c>
      <c r="P31" s="1013">
        <f t="shared" si="1"/>
        <v>0.15488876520850492</v>
      </c>
      <c r="Q31" s="1013">
        <f t="shared" si="1"/>
        <v>0.23243408487920147</v>
      </c>
      <c r="R31" s="1013">
        <f t="shared" si="1"/>
        <v>-2.0953115354990115E-2</v>
      </c>
      <c r="S31" s="1013">
        <f t="shared" si="1"/>
        <v>0.11512974514483676</v>
      </c>
      <c r="T31" s="1013">
        <f t="shared" si="1"/>
        <v>0.21267713141662403</v>
      </c>
      <c r="U31" s="1013">
        <f t="shared" si="1"/>
        <v>-5.0673511435372243E-2</v>
      </c>
      <c r="V31" s="1013">
        <f t="shared" si="1"/>
        <v>-3.967131618295705E-2</v>
      </c>
      <c r="W31" s="1013">
        <f t="shared" si="1"/>
        <v>-1.2009165772774555E-2</v>
      </c>
      <c r="X31" s="1013">
        <f t="shared" si="1"/>
        <v>3.6643419676722022E-2</v>
      </c>
      <c r="Y31" s="1013">
        <f t="shared" si="1"/>
        <v>-4.5038283700226778E-2</v>
      </c>
      <c r="Z31" s="1025"/>
      <c r="AA31" s="1025"/>
      <c r="AB31" s="1025"/>
      <c r="AC31" s="1025"/>
      <c r="AD31" s="1025"/>
    </row>
    <row r="32" spans="1:32" x14ac:dyDescent="0.35">
      <c r="A32" s="1012"/>
      <c r="B32" t="s">
        <v>2184</v>
      </c>
      <c r="D32" s="1013">
        <f t="shared" ref="D32:Y32" si="2">(D10/C10)^(12)-1</f>
        <v>-7.5664718995666069E-3</v>
      </c>
      <c r="E32" s="1013">
        <f t="shared" si="2"/>
        <v>4.266850819250112E-2</v>
      </c>
      <c r="F32" s="1013">
        <f t="shared" si="2"/>
        <v>0.21660917290096582</v>
      </c>
      <c r="G32" s="1013">
        <f t="shared" si="2"/>
        <v>0.22430559919810955</v>
      </c>
      <c r="H32" s="1013">
        <f t="shared" si="2"/>
        <v>0.17511874187668353</v>
      </c>
      <c r="I32" s="1013">
        <f t="shared" si="2"/>
        <v>3.795797382041366E-2</v>
      </c>
      <c r="J32" s="1013">
        <f t="shared" si="2"/>
        <v>0.11183831318895598</v>
      </c>
      <c r="K32" s="1013">
        <f t="shared" si="2"/>
        <v>1.4506155653571495E-2</v>
      </c>
      <c r="L32" s="1013">
        <f t="shared" si="2"/>
        <v>0.12618431747599668</v>
      </c>
      <c r="M32" s="1013">
        <f t="shared" si="2"/>
        <v>5.2044800480764541E-2</v>
      </c>
      <c r="N32" s="1013">
        <f t="shared" si="2"/>
        <v>0.12175758567831618</v>
      </c>
      <c r="O32" s="1013">
        <f t="shared" si="2"/>
        <v>0.14983582216551206</v>
      </c>
      <c r="P32" s="1013">
        <f t="shared" si="2"/>
        <v>2.0721604560002937E-2</v>
      </c>
      <c r="Q32" s="1013">
        <f t="shared" si="2"/>
        <v>-2.0423555429524787E-2</v>
      </c>
      <c r="R32" s="1013">
        <f t="shared" si="2"/>
        <v>2.0721822738088314E-2</v>
      </c>
      <c r="S32" s="1013">
        <f t="shared" si="2"/>
        <v>4.6313416239633698E-2</v>
      </c>
      <c r="T32" s="1013">
        <f t="shared" si="2"/>
        <v>8.9626684643578036E-2</v>
      </c>
      <c r="U32" s="1013">
        <f t="shared" si="2"/>
        <v>-2.564874569369624E-2</v>
      </c>
      <c r="V32" s="1013">
        <f t="shared" si="2"/>
        <v>5.9403258043756235E-2</v>
      </c>
      <c r="W32" s="1013">
        <f t="shared" si="2"/>
        <v>5.49603210423244E-2</v>
      </c>
      <c r="X32" s="1013">
        <f t="shared" si="2"/>
        <v>-6.7176259341619304E-2</v>
      </c>
      <c r="Y32" s="1013">
        <f t="shared" si="2"/>
        <v>-9.4399214467093984E-2</v>
      </c>
      <c r="Z32" s="1025"/>
      <c r="AA32" s="1025"/>
      <c r="AB32" s="1025"/>
      <c r="AC32" s="1025"/>
      <c r="AD32" s="1025"/>
    </row>
    <row r="33" spans="1:45" x14ac:dyDescent="0.35">
      <c r="A33" s="1012"/>
      <c r="B33" t="s">
        <v>2186</v>
      </c>
      <c r="D33" s="1013">
        <f t="shared" ref="D33:Y33" si="3">(D11/C11)^(12)-1</f>
        <v>8.2695991789366596E-2</v>
      </c>
      <c r="E33" s="1013">
        <f t="shared" si="3"/>
        <v>0.12767152587874242</v>
      </c>
      <c r="F33" s="1013">
        <f t="shared" si="3"/>
        <v>1.8604492954842566E-2</v>
      </c>
      <c r="G33" s="1013">
        <f t="shared" si="3"/>
        <v>2.6650380476038515E-2</v>
      </c>
      <c r="H33" s="1013">
        <f t="shared" si="3"/>
        <v>6.6132646674121442E-2</v>
      </c>
      <c r="I33" s="1013">
        <f t="shared" si="3"/>
        <v>7.2623275591077174E-2</v>
      </c>
      <c r="J33" s="1013">
        <f t="shared" si="3"/>
        <v>5.3583270512252978E-2</v>
      </c>
      <c r="K33" s="1013">
        <f t="shared" si="3"/>
        <v>6.8776834563306188E-2</v>
      </c>
      <c r="L33" s="1013">
        <f t="shared" si="3"/>
        <v>0.14311748267808033</v>
      </c>
      <c r="M33" s="1013">
        <f t="shared" si="3"/>
        <v>0.10977507787605911</v>
      </c>
      <c r="N33" s="1013">
        <f t="shared" si="3"/>
        <v>5.8392835152005329E-2</v>
      </c>
      <c r="O33" s="1013">
        <f t="shared" si="3"/>
        <v>9.3125815044879046E-2</v>
      </c>
      <c r="P33" s="1013">
        <f t="shared" si="3"/>
        <v>0.24399595906104432</v>
      </c>
      <c r="Q33" s="1013">
        <f t="shared" si="3"/>
        <v>0.41060581771805249</v>
      </c>
      <c r="R33" s="1013">
        <f t="shared" si="3"/>
        <v>-4.4176592701257844E-2</v>
      </c>
      <c r="S33" s="1013">
        <f t="shared" si="3"/>
        <v>0.15773089650212335</v>
      </c>
      <c r="T33" s="1013">
        <f t="shared" si="3"/>
        <v>0.28927082760345146</v>
      </c>
      <c r="U33" s="1013">
        <f t="shared" si="3"/>
        <v>-6.4558713318927374E-2</v>
      </c>
      <c r="V33" s="1013">
        <f t="shared" si="3"/>
        <v>-9.2612769739008449E-2</v>
      </c>
      <c r="W33" s="1013">
        <f t="shared" si="3"/>
        <v>-4.8917116413696671E-2</v>
      </c>
      <c r="X33" s="1013">
        <f t="shared" si="3"/>
        <v>0.10205136518505253</v>
      </c>
      <c r="Y33" s="1013">
        <f t="shared" si="3"/>
        <v>-1.5152928626683826E-2</v>
      </c>
      <c r="Z33" s="1025"/>
      <c r="AA33" s="1025"/>
      <c r="AB33" s="1025"/>
      <c r="AC33" s="1025"/>
      <c r="AD33" s="1025"/>
    </row>
    <row r="34" spans="1:45" x14ac:dyDescent="0.35">
      <c r="A34" s="1012"/>
      <c r="B34" s="1010" t="s">
        <v>2188</v>
      </c>
      <c r="D34" s="1013">
        <f t="shared" ref="D34:Y34" si="4">(D12/C12)^(12)-1</f>
        <v>3.799005764470742E-2</v>
      </c>
      <c r="E34" s="1013">
        <f t="shared" si="4"/>
        <v>6.3357467016105451E-2</v>
      </c>
      <c r="F34" s="1013">
        <f t="shared" si="4"/>
        <v>5.3247298586749592E-2</v>
      </c>
      <c r="G34" s="1013">
        <f t="shared" si="4"/>
        <v>4.4575363388868805E-2</v>
      </c>
      <c r="H34" s="1013">
        <f t="shared" si="4"/>
        <v>4.9972978556659831E-2</v>
      </c>
      <c r="I34" s="1013">
        <f t="shared" si="4"/>
        <v>5.4824632504445026E-2</v>
      </c>
      <c r="J34" s="1013">
        <f t="shared" si="4"/>
        <v>3.5260241342689014E-2</v>
      </c>
      <c r="K34" s="1013">
        <f t="shared" si="4"/>
        <v>3.2982422405918088E-2</v>
      </c>
      <c r="L34" s="1013">
        <f t="shared" si="4"/>
        <v>3.8518945643091884E-2</v>
      </c>
      <c r="M34" s="1013">
        <f t="shared" si="4"/>
        <v>7.0201828642715958E-2</v>
      </c>
      <c r="N34" s="1013">
        <f t="shared" si="4"/>
        <v>5.9557137704392193E-2</v>
      </c>
      <c r="O34" s="1013">
        <f t="shared" si="4"/>
        <v>4.0235293867976862E-2</v>
      </c>
      <c r="P34" s="1013">
        <f t="shared" si="4"/>
        <v>3.2719520059437901E-2</v>
      </c>
      <c r="Q34" s="1013">
        <f t="shared" si="4"/>
        <v>6.514144593018778E-2</v>
      </c>
      <c r="R34" s="1013">
        <f t="shared" si="4"/>
        <v>4.8996160643866915E-2</v>
      </c>
      <c r="S34" s="1013">
        <f t="shared" si="4"/>
        <v>5.4828192396408904E-2</v>
      </c>
      <c r="T34" s="1013">
        <f t="shared" si="4"/>
        <v>8.2382919779997899E-2</v>
      </c>
      <c r="U34" s="1013">
        <f t="shared" si="4"/>
        <v>1.052200975220785E-2</v>
      </c>
      <c r="V34" s="1013">
        <f t="shared" si="4"/>
        <v>7.2610468750667234E-2</v>
      </c>
      <c r="W34" s="1013">
        <f t="shared" si="4"/>
        <v>7.1201730649114836E-2</v>
      </c>
      <c r="X34" s="1013">
        <f t="shared" si="4"/>
        <v>5.0388583078723403E-2</v>
      </c>
      <c r="Y34" s="1013">
        <f t="shared" si="4"/>
        <v>4.3394350918054325E-2</v>
      </c>
      <c r="Z34" s="1025"/>
      <c r="AA34" s="1025"/>
      <c r="AB34" s="1025"/>
      <c r="AC34" s="1025"/>
      <c r="AD34" s="1025"/>
    </row>
    <row r="35" spans="1:45" x14ac:dyDescent="0.35">
      <c r="A35" s="1012"/>
      <c r="B35" t="s">
        <v>2189</v>
      </c>
      <c r="D35" s="1014"/>
      <c r="E35" s="1014"/>
      <c r="F35" s="1014"/>
      <c r="G35" s="1014"/>
      <c r="H35" s="1014"/>
      <c r="I35" s="1014"/>
      <c r="J35" s="1014"/>
      <c r="K35" s="1014"/>
      <c r="L35" s="1014"/>
      <c r="M35" s="1014"/>
      <c r="N35" s="1014"/>
      <c r="O35" s="1014"/>
      <c r="P35" s="1014"/>
      <c r="Q35" s="1014"/>
      <c r="R35" s="1014"/>
      <c r="S35" s="1014"/>
      <c r="T35" s="1014"/>
      <c r="U35" s="1014"/>
      <c r="V35" s="1014"/>
      <c r="W35" s="1014"/>
      <c r="X35" s="1014"/>
      <c r="Y35" s="1014"/>
      <c r="Z35" s="1025"/>
      <c r="AA35" s="1025"/>
      <c r="AB35" s="1025"/>
      <c r="AC35" s="1025"/>
      <c r="AD35" s="1025"/>
    </row>
    <row r="36" spans="1:45" x14ac:dyDescent="0.35">
      <c r="A36" s="1012"/>
      <c r="B36" t="s">
        <v>2191</v>
      </c>
      <c r="D36" s="1013">
        <f t="shared" ref="D36:Y36" si="5">(D14/C14)^(12)-1</f>
        <v>2.0365029271033563E-2</v>
      </c>
      <c r="E36" s="1013">
        <f t="shared" si="5"/>
        <v>5.1482879592318564E-2</v>
      </c>
      <c r="F36" s="1013">
        <f t="shared" si="5"/>
        <v>7.8455869418629476E-2</v>
      </c>
      <c r="G36" s="1013">
        <f t="shared" si="5"/>
        <v>6.3869668258956791E-2</v>
      </c>
      <c r="H36" s="1013">
        <f t="shared" si="5"/>
        <v>5.9299303350246912E-2</v>
      </c>
      <c r="I36" s="1013">
        <f t="shared" si="5"/>
        <v>4.8280221057496409E-2</v>
      </c>
      <c r="J36" s="1013">
        <f t="shared" si="5"/>
        <v>4.0244717542295305E-2</v>
      </c>
      <c r="K36" s="1013">
        <f t="shared" si="5"/>
        <v>2.5366582122491321E-2</v>
      </c>
      <c r="L36" s="1013">
        <f t="shared" si="5"/>
        <v>5.0046228788346303E-2</v>
      </c>
      <c r="M36" s="1013">
        <f t="shared" si="5"/>
        <v>6.3742717313237662E-2</v>
      </c>
      <c r="N36" s="1013">
        <f t="shared" si="5"/>
        <v>6.7235583186497916E-2</v>
      </c>
      <c r="O36" s="1013">
        <f t="shared" si="5"/>
        <v>5.8206208718552199E-2</v>
      </c>
      <c r="P36" s="1013">
        <f t="shared" si="5"/>
        <v>4.5023417871011384E-2</v>
      </c>
      <c r="Q36" s="1013">
        <f t="shared" si="5"/>
        <v>4.5061307418852836E-2</v>
      </c>
      <c r="R36" s="1013">
        <f t="shared" si="5"/>
        <v>3.8032941434556822E-2</v>
      </c>
      <c r="S36" s="1013">
        <f t="shared" si="5"/>
        <v>4.59795327686916E-2</v>
      </c>
      <c r="T36" s="1013">
        <f t="shared" si="5"/>
        <v>7.8099579395199514E-2</v>
      </c>
      <c r="U36" s="1013">
        <f t="shared" si="5"/>
        <v>9.1900192457399221E-3</v>
      </c>
      <c r="V36" s="1013">
        <f t="shared" si="5"/>
        <v>6.8091840581138374E-2</v>
      </c>
      <c r="W36" s="1013">
        <f t="shared" si="5"/>
        <v>5.7173674500435201E-2</v>
      </c>
      <c r="X36" s="1013">
        <f t="shared" si="5"/>
        <v>3.1850413741077555E-2</v>
      </c>
      <c r="Y36" s="1013">
        <f t="shared" si="5"/>
        <v>2.0358338606599302E-2</v>
      </c>
      <c r="Z36" s="1025"/>
      <c r="AA36" s="1025"/>
      <c r="AB36" s="1025"/>
      <c r="AC36" s="1025"/>
      <c r="AD36" s="1025"/>
    </row>
    <row r="37" spans="1:45" x14ac:dyDescent="0.35">
      <c r="A37" s="1012"/>
      <c r="B37" t="s">
        <v>2193</v>
      </c>
      <c r="D37" s="1013">
        <f t="shared" ref="D37:Y37" si="6">(D15/C15)^(12)-1</f>
        <v>3.2938266631028057E-2</v>
      </c>
      <c r="E37" s="1013">
        <f t="shared" si="6"/>
        <v>2.7644192136645263E-2</v>
      </c>
      <c r="F37" s="1013">
        <f t="shared" si="6"/>
        <v>4.1858943940387805E-2</v>
      </c>
      <c r="G37" s="1013">
        <f t="shared" si="6"/>
        <v>3.9216252076649472E-2</v>
      </c>
      <c r="H37" s="1013">
        <f t="shared" si="6"/>
        <v>7.7351472587609216E-2</v>
      </c>
      <c r="I37" s="1013">
        <f t="shared" si="6"/>
        <v>7.2917349757494865E-2</v>
      </c>
      <c r="J37" s="1013">
        <f t="shared" si="6"/>
        <v>5.0954570797017595E-2</v>
      </c>
      <c r="K37" s="1013">
        <f t="shared" si="6"/>
        <v>0.13212657821659612</v>
      </c>
      <c r="L37" s="1013">
        <f t="shared" si="6"/>
        <v>9.1607223976764907E-2</v>
      </c>
      <c r="M37" s="1013">
        <f t="shared" si="6"/>
        <v>7.9658361080225948E-2</v>
      </c>
      <c r="N37" s="1013">
        <f t="shared" si="6"/>
        <v>3.8604886098567048E-2</v>
      </c>
      <c r="O37" s="1013">
        <f t="shared" si="6"/>
        <v>0.10881760422644993</v>
      </c>
      <c r="P37" s="1013">
        <f t="shared" si="6"/>
        <v>0.18615381389271946</v>
      </c>
      <c r="Q37" s="1013">
        <f t="shared" si="6"/>
        <v>0.17642464112952694</v>
      </c>
      <c r="R37" s="1013">
        <f t="shared" si="6"/>
        <v>0.1336786180791798</v>
      </c>
      <c r="S37" s="1013">
        <f t="shared" si="6"/>
        <v>0.15771379938119745</v>
      </c>
      <c r="T37" s="1013">
        <f t="shared" si="6"/>
        <v>0.12523398845374589</v>
      </c>
      <c r="U37" s="1013">
        <f t="shared" si="6"/>
        <v>0.16431889623926255</v>
      </c>
      <c r="V37" s="1013">
        <f t="shared" si="6"/>
        <v>9.6981521654441627E-2</v>
      </c>
      <c r="W37" s="1013">
        <f t="shared" si="6"/>
        <v>7.692418537218737E-2</v>
      </c>
      <c r="X37" s="1013">
        <f t="shared" si="6"/>
        <v>5.5292202512151389E-2</v>
      </c>
      <c r="Y37" s="1013">
        <f t="shared" si="6"/>
        <v>4.200593926589713E-2</v>
      </c>
      <c r="Z37" s="1025"/>
      <c r="AA37" s="1025"/>
      <c r="AB37" s="1025"/>
      <c r="AC37" s="1025"/>
      <c r="AD37" s="1025"/>
    </row>
    <row r="38" spans="1:45" x14ac:dyDescent="0.35">
      <c r="B38" t="s">
        <v>2195</v>
      </c>
      <c r="D38" s="1013">
        <f t="shared" ref="D38:Y38" si="7">(D16/C16)^(12)-1</f>
        <v>0.72291569588284976</v>
      </c>
      <c r="E38" s="1013">
        <f t="shared" si="7"/>
        <v>0.90652914977426202</v>
      </c>
      <c r="F38" s="1013">
        <f t="shared" si="7"/>
        <v>-0.15058784271851389</v>
      </c>
      <c r="G38" s="1013">
        <f t="shared" si="7"/>
        <v>8.2415570773829439E-2</v>
      </c>
      <c r="H38" s="1013">
        <f t="shared" si="7"/>
        <v>0.288212400240214</v>
      </c>
      <c r="I38" s="1013">
        <f t="shared" si="7"/>
        <v>0.21557014107504702</v>
      </c>
      <c r="J38" s="1013">
        <f t="shared" si="7"/>
        <v>0.24101686665685773</v>
      </c>
      <c r="K38" s="1013">
        <f t="shared" si="7"/>
        <v>0.15251650157315622</v>
      </c>
      <c r="L38" s="1013">
        <f t="shared" si="7"/>
        <v>0.58970721346460908</v>
      </c>
      <c r="M38" s="1013">
        <f t="shared" si="7"/>
        <v>0.36760042472255372</v>
      </c>
      <c r="N38" s="1013">
        <f t="shared" si="7"/>
        <v>0.11505581871805415</v>
      </c>
      <c r="O38" s="1013">
        <f t="shared" si="7"/>
        <v>0.13924164278085938</v>
      </c>
      <c r="P38" s="1013">
        <f t="shared" si="7"/>
        <v>0.56395992753520474</v>
      </c>
      <c r="Q38" s="1013">
        <f t="shared" si="7"/>
        <v>2.8844246570707157</v>
      </c>
      <c r="R38" s="1013">
        <f t="shared" si="7"/>
        <v>-0.31338167549989293</v>
      </c>
      <c r="S38" s="1013">
        <f t="shared" si="7"/>
        <v>0.59110874420150306</v>
      </c>
      <c r="T38" s="1013">
        <f t="shared" si="7"/>
        <v>1.4194714937063813</v>
      </c>
      <c r="U38" s="1013">
        <f t="shared" si="7"/>
        <v>-0.45413379038575985</v>
      </c>
      <c r="V38" s="1013">
        <f t="shared" si="7"/>
        <v>-0.50057237216762762</v>
      </c>
      <c r="W38" s="1013">
        <f t="shared" si="7"/>
        <v>-0.25306540672645772</v>
      </c>
      <c r="X38" s="1013">
        <f t="shared" si="7"/>
        <v>0.34080697090176693</v>
      </c>
      <c r="Y38" s="1013">
        <f t="shared" si="7"/>
        <v>-0.1692059378287345</v>
      </c>
      <c r="Z38" s="1025"/>
      <c r="AA38" s="1025"/>
      <c r="AB38" s="1025"/>
      <c r="AC38" s="1025"/>
      <c r="AD38" s="1025"/>
    </row>
    <row r="39" spans="1:45" x14ac:dyDescent="0.35">
      <c r="B39" t="s">
        <v>2197</v>
      </c>
      <c r="D39" s="1013">
        <f t="shared" ref="D39:Y39" si="8">(D17/C17)^(12)-1</f>
        <v>4.9558680616075268E-2</v>
      </c>
      <c r="E39" s="1013">
        <f t="shared" si="8"/>
        <v>7.3057516618111329E-2</v>
      </c>
      <c r="F39" s="1013">
        <f t="shared" si="8"/>
        <v>5.2460099709424668E-2</v>
      </c>
      <c r="G39" s="1013">
        <f t="shared" si="8"/>
        <v>5.381520289141295E-2</v>
      </c>
      <c r="H39" s="1013">
        <f t="shared" si="8"/>
        <v>6.1601799694704917E-2</v>
      </c>
      <c r="I39" s="1013">
        <f t="shared" si="8"/>
        <v>5.7681609776136566E-2</v>
      </c>
      <c r="J39" s="1013">
        <f t="shared" si="8"/>
        <v>4.38284003771372E-2</v>
      </c>
      <c r="K39" s="1013">
        <f t="shared" si="8"/>
        <v>3.4557210756703594E-2</v>
      </c>
      <c r="L39" s="1013">
        <f t="shared" si="8"/>
        <v>8.2095552588947074E-2</v>
      </c>
      <c r="M39" s="1013">
        <f t="shared" si="8"/>
        <v>6.5737761414305318E-2</v>
      </c>
      <c r="N39" s="1013">
        <f t="shared" si="8"/>
        <v>6.4384017739507859E-2</v>
      </c>
      <c r="O39" s="1013">
        <f t="shared" si="8"/>
        <v>7.2983192326654178E-2</v>
      </c>
      <c r="P39" s="1013">
        <f t="shared" si="8"/>
        <v>9.2871760771986445E-2</v>
      </c>
      <c r="Q39" s="1013">
        <f t="shared" si="8"/>
        <v>0.13826855618806144</v>
      </c>
      <c r="R39" s="1013">
        <f t="shared" si="8"/>
        <v>1.8616650926342571E-2</v>
      </c>
      <c r="S39" s="1013">
        <f t="shared" si="8"/>
        <v>8.4202927885562273E-2</v>
      </c>
      <c r="T39" s="1013">
        <f t="shared" si="8"/>
        <v>0.13505054386395821</v>
      </c>
      <c r="U39" s="1013">
        <f t="shared" si="8"/>
        <v>-1.9888782007158046E-3</v>
      </c>
      <c r="V39" s="1013">
        <f t="shared" si="8"/>
        <v>1.8775735947116345E-2</v>
      </c>
      <c r="W39" s="1013">
        <f t="shared" si="8"/>
        <v>3.6067570244965097E-2</v>
      </c>
      <c r="X39" s="1013">
        <f t="shared" si="8"/>
        <v>5.4536307017027275E-2</v>
      </c>
      <c r="Y39" s="1013">
        <f t="shared" si="8"/>
        <v>2.5683437458579039E-3</v>
      </c>
      <c r="Z39" s="1025"/>
      <c r="AA39" s="1025"/>
      <c r="AB39" s="1025"/>
      <c r="AC39" s="1025"/>
      <c r="AD39" s="1025"/>
    </row>
    <row r="40" spans="1:45" x14ac:dyDescent="0.35">
      <c r="B40" t="s">
        <v>2199</v>
      </c>
      <c r="D40" s="1013">
        <f t="shared" ref="D40:Y40" si="9">(D18/C18)^(12)-1</f>
        <v>2.6306911733675387E-2</v>
      </c>
      <c r="E40" s="1013">
        <f t="shared" si="9"/>
        <v>4.7075720782800756E-2</v>
      </c>
      <c r="F40" s="1013">
        <f t="shared" si="9"/>
        <v>6.4735241863618675E-2</v>
      </c>
      <c r="G40" s="1013">
        <f t="shared" si="9"/>
        <v>5.3863730770375762E-2</v>
      </c>
      <c r="H40" s="1013">
        <f t="shared" si="9"/>
        <v>4.9415026420108532E-2</v>
      </c>
      <c r="I40" s="1013">
        <f t="shared" si="9"/>
        <v>4.8442163355395973E-2</v>
      </c>
      <c r="J40" s="1013">
        <f t="shared" si="9"/>
        <v>3.3445689362926245E-2</v>
      </c>
      <c r="K40" s="1013">
        <f t="shared" si="9"/>
        <v>1.9209551763710087E-2</v>
      </c>
      <c r="L40" s="1013">
        <f t="shared" si="9"/>
        <v>5.8661895401922237E-2</v>
      </c>
      <c r="M40" s="1013">
        <f t="shared" si="9"/>
        <v>4.9648293347485994E-2</v>
      </c>
      <c r="N40" s="1013">
        <f t="shared" si="9"/>
        <v>6.4148804110846225E-2</v>
      </c>
      <c r="O40" s="1013">
        <f t="shared" si="9"/>
        <v>6.5881113028707583E-2</v>
      </c>
      <c r="P40" s="1013">
        <f t="shared" si="9"/>
        <v>6.1834779954741403E-2</v>
      </c>
      <c r="Q40" s="1013">
        <f t="shared" si="9"/>
        <v>5.1972875017657572E-2</v>
      </c>
      <c r="R40" s="1013">
        <f t="shared" si="9"/>
        <v>3.3709236066195469E-2</v>
      </c>
      <c r="S40" s="1013">
        <f t="shared" si="9"/>
        <v>5.1178679027768181E-2</v>
      </c>
      <c r="T40" s="1013">
        <f t="shared" si="9"/>
        <v>8.0351418460051338E-2</v>
      </c>
      <c r="U40" s="1013">
        <f t="shared" si="9"/>
        <v>2.3593165612588507E-2</v>
      </c>
      <c r="V40" s="1013">
        <f t="shared" si="9"/>
        <v>5.7661583960296747E-2</v>
      </c>
      <c r="W40" s="1013">
        <f t="shared" si="9"/>
        <v>5.2682145345352538E-2</v>
      </c>
      <c r="X40" s="1013">
        <f t="shared" si="9"/>
        <v>3.9646685915974755E-2</v>
      </c>
      <c r="Y40" s="1013">
        <f t="shared" si="9"/>
        <v>9.9221950684063032E-3</v>
      </c>
      <c r="Z40" s="1025"/>
      <c r="AA40" s="1025"/>
      <c r="AB40" s="1025"/>
      <c r="AC40" s="1025"/>
      <c r="AD40" s="1025"/>
    </row>
    <row r="43" spans="1:45" x14ac:dyDescent="0.35">
      <c r="B43" s="1016"/>
      <c r="C43" s="1016"/>
      <c r="D43" s="1016"/>
      <c r="E43" s="1016"/>
      <c r="F43" s="1016"/>
      <c r="G43" s="1016"/>
      <c r="H43" s="1016"/>
      <c r="I43" s="1016"/>
      <c r="J43" s="1016"/>
      <c r="K43" s="1016"/>
      <c r="L43" s="1016"/>
      <c r="M43" s="1016"/>
      <c r="N43" s="1016"/>
      <c r="O43" s="1016"/>
      <c r="P43" s="1016"/>
      <c r="Q43" s="1016" t="s">
        <v>2205</v>
      </c>
      <c r="R43" s="1016"/>
      <c r="S43" s="1029"/>
      <c r="T43" s="1029"/>
      <c r="U43" s="1029"/>
      <c r="V43" s="1029"/>
      <c r="W43" s="1029"/>
      <c r="X43" s="1029"/>
      <c r="Y43" s="1029"/>
      <c r="Z43" s="1029" t="s">
        <v>2209</v>
      </c>
      <c r="AA43" s="1029"/>
      <c r="AB43" s="1029"/>
      <c r="AC43" s="1029"/>
      <c r="AD43" s="1029"/>
      <c r="AE43" s="1029"/>
      <c r="AF43" s="1029"/>
      <c r="AG43" s="1029"/>
      <c r="AH43" s="1025"/>
      <c r="AI43" s="1025"/>
      <c r="AJ43" s="1025"/>
      <c r="AK43" s="1025"/>
      <c r="AL43" s="1025"/>
      <c r="AM43" s="1025"/>
      <c r="AN43" s="1025"/>
      <c r="AO43" s="1025"/>
      <c r="AP43" s="1025"/>
      <c r="AQ43" s="1025"/>
      <c r="AR43" s="1025"/>
      <c r="AS43" s="1025"/>
    </row>
    <row r="44" spans="1:45" x14ac:dyDescent="0.35">
      <c r="C44" s="1007"/>
      <c r="D44" s="1007"/>
      <c r="E44" s="1007"/>
      <c r="F44" s="1007"/>
      <c r="G44" s="1007"/>
      <c r="H44" s="1007"/>
      <c r="I44" s="1007"/>
      <c r="J44" s="1007"/>
      <c r="K44" s="1007"/>
      <c r="L44" s="1007"/>
      <c r="M44" s="1007"/>
      <c r="N44" s="1007"/>
      <c r="O44" s="1007"/>
      <c r="P44" s="1007"/>
      <c r="Q44" s="1007"/>
      <c r="R44" s="1007"/>
      <c r="S44" s="1098">
        <v>2021</v>
      </c>
      <c r="T44" s="1099"/>
      <c r="U44" s="1099"/>
      <c r="V44" s="1099"/>
      <c r="W44" s="1100">
        <v>2022</v>
      </c>
      <c r="X44" s="1100"/>
      <c r="Y44" s="1040"/>
      <c r="Z44" s="1041"/>
      <c r="AA44" s="1029"/>
      <c r="AB44" s="1029"/>
      <c r="AC44" s="1029"/>
      <c r="AD44" s="1029"/>
      <c r="AE44" s="1029"/>
      <c r="AF44" s="1029"/>
      <c r="AG44" s="1029"/>
      <c r="AH44" s="1025"/>
      <c r="AI44" s="1025"/>
      <c r="AJ44" s="1025"/>
      <c r="AK44" s="1025"/>
      <c r="AL44" s="1025"/>
      <c r="AM44" s="1025"/>
      <c r="AN44" s="1025"/>
      <c r="AO44" s="1025"/>
      <c r="AP44" s="1025"/>
      <c r="AQ44" s="1025"/>
      <c r="AR44" s="1025"/>
      <c r="AS44" s="1025"/>
    </row>
    <row r="45" spans="1:45" x14ac:dyDescent="0.35">
      <c r="C45" s="1007"/>
      <c r="D45" s="1007"/>
      <c r="E45" s="1007"/>
      <c r="F45" s="1007"/>
      <c r="G45" s="1007"/>
      <c r="H45" s="1007"/>
      <c r="I45" s="1007"/>
      <c r="J45" s="1007"/>
      <c r="K45" s="1007"/>
      <c r="L45" s="1007"/>
      <c r="M45" s="1007"/>
      <c r="N45" s="1007"/>
      <c r="O45" s="1007"/>
      <c r="P45" s="1007"/>
      <c r="Q45" s="1007"/>
      <c r="R45" s="1007"/>
      <c r="S45" s="1006" t="s">
        <v>328</v>
      </c>
      <c r="T45" s="1039" t="s">
        <v>329</v>
      </c>
      <c r="U45" s="1039" t="s">
        <v>238</v>
      </c>
      <c r="V45" s="1039" t="s">
        <v>327</v>
      </c>
      <c r="W45" s="1039" t="s">
        <v>328</v>
      </c>
      <c r="X45" s="1039" t="s">
        <v>329</v>
      </c>
      <c r="Y45" s="1039" t="s">
        <v>238</v>
      </c>
      <c r="Z45" s="341" t="s">
        <v>327</v>
      </c>
      <c r="AA45" s="1025"/>
      <c r="AB45" s="1025"/>
      <c r="AC45" s="1025"/>
      <c r="AD45" s="1025"/>
      <c r="AE45" s="1025"/>
      <c r="AF45" s="1025"/>
      <c r="AG45" s="1025"/>
      <c r="AH45" s="1025"/>
      <c r="AI45" s="1025"/>
      <c r="AJ45" s="1025"/>
      <c r="AK45" s="1025"/>
      <c r="AL45" s="1025"/>
      <c r="AM45" s="1025"/>
      <c r="AN45" s="1025"/>
      <c r="AO45" s="1025"/>
      <c r="AP45" s="1025"/>
      <c r="AQ45" s="1025"/>
      <c r="AR45" s="1025"/>
      <c r="AS45" s="1025"/>
    </row>
    <row r="46" spans="1:45" x14ac:dyDescent="0.35">
      <c r="C46" s="1007"/>
      <c r="D46" s="1007"/>
      <c r="E46" s="1007"/>
      <c r="F46" s="1007"/>
      <c r="G46" s="1007"/>
      <c r="H46" s="1007"/>
      <c r="I46" s="1007"/>
      <c r="J46" s="1007"/>
      <c r="K46" s="1007"/>
      <c r="L46" s="1007"/>
      <c r="M46" s="1007"/>
      <c r="N46" s="1007"/>
      <c r="O46" s="1007"/>
      <c r="P46" s="1007"/>
      <c r="Q46" s="1007"/>
      <c r="R46" s="1007"/>
      <c r="S46" s="1042">
        <f>SUM(C8:E8)/3</f>
        <v>113.05866666666667</v>
      </c>
      <c r="T46" s="1043">
        <f>SUM(F8:H8)/3</f>
        <v>114.83833333333332</v>
      </c>
      <c r="U46" s="1043">
        <f>SUM(I8:K8)/3</f>
        <v>116.41266666666667</v>
      </c>
      <c r="V46" s="1043">
        <f>AVERAGE(L8:N8)</f>
        <v>118.17333333333333</v>
      </c>
      <c r="W46" s="1043">
        <f>AVERAGE(O8:Q8)</f>
        <v>120.32266666666665</v>
      </c>
      <c r="X46" s="1043">
        <f>AVERAGE(R8:T8)</f>
        <v>122.45833333333333</v>
      </c>
      <c r="Y46" s="1043">
        <f>AVERAGE(U8:W8)</f>
        <v>123.75966666666666</v>
      </c>
      <c r="Z46" s="1044">
        <f>AVERAGE(X8:Z8)</f>
        <v>124.7723432708902</v>
      </c>
      <c r="AA46" s="1025"/>
      <c r="AB46" s="1025"/>
      <c r="AC46" s="1025"/>
      <c r="AD46" s="1025"/>
      <c r="AE46" s="1025"/>
      <c r="AF46" s="1025"/>
      <c r="AG46" s="1025"/>
      <c r="AH46" s="1025"/>
      <c r="AI46" s="1025"/>
      <c r="AJ46" s="1025"/>
      <c r="AK46" s="1025"/>
      <c r="AL46" s="1025"/>
      <c r="AM46" s="1025"/>
      <c r="AN46" s="1025"/>
      <c r="AO46" s="1025"/>
      <c r="AP46" s="1025"/>
      <c r="AQ46" s="1025"/>
      <c r="AR46" s="1025"/>
      <c r="AS46" s="1025"/>
    </row>
    <row r="47" spans="1:45" x14ac:dyDescent="0.35">
      <c r="B47" s="1025"/>
      <c r="C47" s="1025"/>
      <c r="D47" s="1025"/>
      <c r="E47" s="1025"/>
      <c r="F47" s="1025"/>
      <c r="G47" s="1025"/>
      <c r="H47" s="1025"/>
      <c r="I47" s="1025"/>
      <c r="J47" s="1025"/>
      <c r="K47" s="1025"/>
      <c r="L47" s="1025"/>
      <c r="M47" s="1025"/>
      <c r="N47" s="1025"/>
      <c r="O47" s="1025"/>
      <c r="P47" s="1025"/>
      <c r="Q47" s="1025"/>
      <c r="R47" s="1007"/>
      <c r="S47" s="1025"/>
      <c r="T47" s="1025"/>
      <c r="U47" s="1025"/>
      <c r="V47" s="1025"/>
      <c r="W47" s="1025"/>
      <c r="X47" s="1025"/>
      <c r="Y47" s="1025"/>
      <c r="Z47" s="1025"/>
      <c r="AA47" s="1025"/>
      <c r="AB47" s="1025"/>
      <c r="AC47" s="1025"/>
      <c r="AD47" s="1025"/>
      <c r="AE47" s="1025"/>
      <c r="AF47" s="1025"/>
      <c r="AG47" s="1025"/>
      <c r="AH47" s="1025"/>
      <c r="AI47" s="1025"/>
      <c r="AJ47" s="1025"/>
      <c r="AK47" s="1025"/>
      <c r="AL47" s="1025"/>
      <c r="AM47" s="1025"/>
      <c r="AN47" s="1025"/>
      <c r="AO47" s="1025"/>
      <c r="AP47" s="1025"/>
      <c r="AQ47" s="1025"/>
      <c r="AR47" s="1025"/>
      <c r="AS47" s="1025"/>
    </row>
    <row r="48" spans="1:45" x14ac:dyDescent="0.35">
      <c r="B48" s="1025"/>
      <c r="C48" s="1031"/>
      <c r="D48" s="1031"/>
      <c r="E48" s="1031"/>
      <c r="F48" s="1031"/>
      <c r="G48" s="1031"/>
      <c r="H48" s="1031"/>
      <c r="I48" s="1031"/>
      <c r="J48" s="1031"/>
      <c r="K48" s="1031"/>
      <c r="L48" s="1031"/>
      <c r="M48" s="1031"/>
      <c r="N48" s="1031"/>
      <c r="O48" s="1031"/>
      <c r="P48" s="1031"/>
      <c r="Q48" s="1032" t="s">
        <v>2206</v>
      </c>
    </row>
    <row r="49" spans="2:28" ht="43.5" x14ac:dyDescent="0.35">
      <c r="B49" s="1025"/>
      <c r="C49" s="1030"/>
      <c r="D49" s="1030"/>
      <c r="E49" s="1030"/>
      <c r="F49" s="1030"/>
      <c r="G49" s="1030"/>
      <c r="H49" s="1030"/>
      <c r="S49" s="1098">
        <v>2021</v>
      </c>
      <c r="T49" s="1099"/>
      <c r="U49" s="1099"/>
      <c r="V49" s="1099"/>
      <c r="W49" s="1100">
        <v>2022</v>
      </c>
      <c r="X49" s="1100"/>
      <c r="Y49" s="1040"/>
      <c r="Z49" s="1048" t="s">
        <v>2212</v>
      </c>
      <c r="AA49" s="1033" t="s">
        <v>1540</v>
      </c>
      <c r="AB49" s="1034"/>
    </row>
    <row r="50" spans="2:28" x14ac:dyDescent="0.35">
      <c r="B50" s="1025"/>
      <c r="C50" s="1025"/>
      <c r="D50" s="1025"/>
      <c r="E50" s="1025"/>
      <c r="F50" s="1025"/>
      <c r="G50" s="1025"/>
      <c r="H50" s="1025"/>
      <c r="S50" s="1006" t="s">
        <v>328</v>
      </c>
      <c r="T50" s="1039" t="s">
        <v>329</v>
      </c>
      <c r="U50" s="1039" t="s">
        <v>238</v>
      </c>
      <c r="V50" s="1039" t="s">
        <v>327</v>
      </c>
      <c r="W50" s="1039" t="s">
        <v>328</v>
      </c>
      <c r="X50" s="1039" t="s">
        <v>329</v>
      </c>
      <c r="Y50" s="1039" t="s">
        <v>238</v>
      </c>
      <c r="Z50" s="341" t="s">
        <v>327</v>
      </c>
      <c r="AA50" s="1035"/>
      <c r="AB50" s="1034"/>
    </row>
    <row r="51" spans="2:28" x14ac:dyDescent="0.35">
      <c r="B51" s="1025"/>
      <c r="C51" s="1025"/>
      <c r="D51" s="1025"/>
      <c r="E51" s="1025"/>
      <c r="F51" s="1025"/>
      <c r="G51" s="1025"/>
      <c r="H51" s="1025"/>
      <c r="S51" s="1045"/>
      <c r="T51" s="1046">
        <f t="shared" ref="T51:Z51" si="10">(T46/S46)^4-1</f>
        <v>6.4466715030665034E-2</v>
      </c>
      <c r="U51" s="1046">
        <f t="shared" si="10"/>
        <v>5.5974491632073686E-2</v>
      </c>
      <c r="V51" s="1046">
        <f t="shared" si="10"/>
        <v>6.1883793652025565E-2</v>
      </c>
      <c r="W51" s="1046">
        <f t="shared" si="10"/>
        <v>7.4760879860437557E-2</v>
      </c>
      <c r="X51" s="1046">
        <f t="shared" si="10"/>
        <v>7.2910717592092666E-2</v>
      </c>
      <c r="Y51" s="1046">
        <f t="shared" si="10"/>
        <v>4.3189354230043886E-2</v>
      </c>
      <c r="Z51" s="1047">
        <f t="shared" si="10"/>
        <v>3.3134350632719078E-2</v>
      </c>
      <c r="AA51" s="1036">
        <f>Deflators!T12</f>
        <v>5.5999999999999999E-3</v>
      </c>
      <c r="AB51" s="1034"/>
    </row>
    <row r="52" spans="2:28" x14ac:dyDescent="0.35">
      <c r="B52" s="1025"/>
      <c r="C52" s="1025"/>
      <c r="D52" s="1025"/>
      <c r="E52" s="1025"/>
      <c r="F52" s="1025"/>
      <c r="G52" s="1025"/>
      <c r="H52" s="1025"/>
      <c r="I52" s="1025"/>
      <c r="J52" s="1025"/>
      <c r="K52" s="1025"/>
      <c r="L52" s="1025"/>
      <c r="M52" s="1025"/>
      <c r="N52" s="1025"/>
      <c r="O52" s="1025"/>
      <c r="P52" s="1025"/>
      <c r="Q52" s="1025"/>
    </row>
    <row r="53" spans="2:28" x14ac:dyDescent="0.35">
      <c r="B53" s="1025"/>
      <c r="C53" s="1025"/>
      <c r="D53" s="1025"/>
      <c r="E53" s="1025"/>
      <c r="F53" s="1025"/>
      <c r="G53" s="1025"/>
      <c r="H53" s="1025"/>
      <c r="I53" s="1025"/>
      <c r="J53" s="1025"/>
      <c r="K53" s="1025"/>
      <c r="L53" s="1025"/>
      <c r="M53" s="1025"/>
      <c r="N53" s="1025"/>
      <c r="O53" s="1025"/>
      <c r="P53" s="1025"/>
      <c r="Q53" s="1025"/>
    </row>
    <row r="54" spans="2:28" x14ac:dyDescent="0.35">
      <c r="B54" s="1025"/>
      <c r="E54" s="1025"/>
      <c r="F54" s="1025"/>
      <c r="G54" s="1025"/>
      <c r="H54" s="1025"/>
      <c r="I54" s="1025"/>
      <c r="J54" s="1025"/>
      <c r="K54" s="1025"/>
      <c r="L54" s="1025"/>
      <c r="M54" s="1025"/>
      <c r="N54" s="1025"/>
      <c r="O54" s="1025"/>
      <c r="P54" s="1025"/>
      <c r="Q54" s="1025"/>
    </row>
    <row r="55" spans="2:28" x14ac:dyDescent="0.35">
      <c r="B55" s="1025"/>
      <c r="E55" s="1025"/>
      <c r="F55" s="1025"/>
      <c r="G55" s="1025"/>
      <c r="H55" s="1025"/>
      <c r="I55" s="1025"/>
      <c r="J55" s="1025"/>
      <c r="K55" s="1025"/>
      <c r="L55" s="1025"/>
      <c r="M55" s="1025"/>
      <c r="N55" s="1025"/>
      <c r="O55" s="1025"/>
      <c r="P55" s="1025"/>
      <c r="Q55" s="1025"/>
    </row>
    <row r="56" spans="2:28" x14ac:dyDescent="0.35">
      <c r="B56" s="1025"/>
      <c r="C56" s="1025"/>
      <c r="D56" s="1025"/>
      <c r="E56" s="1025"/>
      <c r="F56" s="1025"/>
      <c r="G56" s="1025"/>
      <c r="H56" s="1025"/>
      <c r="I56" s="1025"/>
      <c r="J56" s="1025"/>
      <c r="K56" s="1025"/>
      <c r="L56" s="1025"/>
      <c r="M56" s="1025"/>
      <c r="N56" s="1025"/>
      <c r="O56" s="1025"/>
      <c r="P56" s="1025"/>
      <c r="Q56" s="1025"/>
    </row>
    <row r="57" spans="2:28" x14ac:dyDescent="0.35">
      <c r="B57" s="1025"/>
      <c r="C57" s="1025"/>
      <c r="D57" s="1025"/>
      <c r="E57" s="1025"/>
      <c r="F57" s="1025"/>
      <c r="G57" s="1025"/>
      <c r="H57" s="1025"/>
      <c r="I57" s="1025"/>
      <c r="J57" s="1025"/>
      <c r="K57" s="1025"/>
      <c r="L57" s="1025"/>
      <c r="M57" s="1025"/>
      <c r="N57" s="1025"/>
      <c r="O57" s="1025"/>
      <c r="P57" s="1025"/>
      <c r="Q57" s="1025"/>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M11" sqref="M11"/>
    </sheetView>
  </sheetViews>
  <sheetFormatPr defaultColWidth="11.453125" defaultRowHeight="14.5" x14ac:dyDescent="0.35"/>
  <cols>
    <col min="1" max="1" width="33" customWidth="1"/>
    <col min="2" max="2" width="27.1796875" customWidth="1"/>
  </cols>
  <sheetData>
    <row r="1" spans="1:22" x14ac:dyDescent="0.35">
      <c r="A1" s="77" t="s">
        <v>178</v>
      </c>
      <c r="B1" s="77" t="s">
        <v>179</v>
      </c>
      <c r="C1" s="135" t="s">
        <v>292</v>
      </c>
      <c r="D1" s="135" t="s">
        <v>293</v>
      </c>
      <c r="E1" s="135" t="s">
        <v>294</v>
      </c>
      <c r="F1" s="135" t="s">
        <v>295</v>
      </c>
      <c r="G1" s="77" t="s">
        <v>296</v>
      </c>
      <c r="H1" s="77" t="s">
        <v>180</v>
      </c>
      <c r="I1" s="77" t="s">
        <v>181</v>
      </c>
      <c r="J1" s="77" t="s">
        <v>182</v>
      </c>
      <c r="K1" s="77" t="s">
        <v>183</v>
      </c>
      <c r="L1" s="93" t="s">
        <v>184</v>
      </c>
      <c r="M1" s="93" t="s">
        <v>185</v>
      </c>
      <c r="N1" s="93"/>
      <c r="O1" s="93"/>
      <c r="P1" s="93"/>
      <c r="Q1" s="93"/>
      <c r="R1" s="93"/>
      <c r="S1" s="93"/>
      <c r="T1" s="93"/>
      <c r="U1" s="93"/>
      <c r="V1" s="93"/>
    </row>
    <row r="2" spans="1:22" ht="2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c r="M2" s="36">
        <f>Grants!T85</f>
        <v>106.390928</v>
      </c>
    </row>
    <row r="3" spans="1:22" ht="29" customHeight="1" x14ac:dyDescent="0.3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2.4739999999998332</v>
      </c>
    </row>
    <row r="4" spans="1:22" ht="29" customHeight="1" x14ac:dyDescent="0.3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3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1.4159999999999999</v>
      </c>
    </row>
    <row r="6" spans="1:22" x14ac:dyDescent="0.35">
      <c r="A6" s="36" t="s">
        <v>201</v>
      </c>
      <c r="B6" s="36" t="s">
        <v>899</v>
      </c>
      <c r="C6" s="136">
        <f>Subsidies!J45</f>
        <v>0</v>
      </c>
      <c r="D6" s="136">
        <f>Subsidies!K45</f>
        <v>0</v>
      </c>
      <c r="E6" s="136">
        <f>Subsidies!L45</f>
        <v>0</v>
      </c>
      <c r="F6" s="136">
        <f>Subsidies!M45</f>
        <v>0</v>
      </c>
      <c r="G6" s="136">
        <f>Subsidies!N45</f>
        <v>58.782959999999989</v>
      </c>
      <c r="H6" s="136">
        <f>Subsidies!O45</f>
        <v>267.78904</v>
      </c>
      <c r="I6" s="136">
        <f>Subsidies!P45</f>
        <v>110.24799999999999</v>
      </c>
      <c r="J6" s="136">
        <f>Subsidies!Q45</f>
        <v>110.24799999999999</v>
      </c>
      <c r="K6" s="136">
        <f>Subsidies!R45</f>
        <v>110.24799999999999</v>
      </c>
      <c r="L6" s="136">
        <f>Subsidies!S45</f>
        <v>110.24799999999999</v>
      </c>
      <c r="M6" s="136">
        <f>Subsidies!T45</f>
        <v>12.726000000000001</v>
      </c>
    </row>
    <row r="7" spans="1:22" ht="29" customHeight="1" x14ac:dyDescent="0.35">
      <c r="A7" s="14" t="s">
        <v>940</v>
      </c>
      <c r="B7" t="s">
        <v>938</v>
      </c>
      <c r="C7" s="36"/>
      <c r="D7" s="36"/>
      <c r="E7" s="36"/>
      <c r="F7" s="36"/>
      <c r="G7" s="36"/>
      <c r="H7" s="36"/>
      <c r="J7" s="134"/>
      <c r="K7" s="134"/>
      <c r="L7" s="134">
        <f>forecast!C21</f>
        <v>340.6</v>
      </c>
      <c r="M7" s="134">
        <f>forecast!D21</f>
        <v>388.41200041587678</v>
      </c>
    </row>
    <row r="8" spans="1:22" x14ac:dyDescent="0.35">
      <c r="A8" t="s">
        <v>941</v>
      </c>
      <c r="B8" t="s">
        <v>939</v>
      </c>
      <c r="C8" s="36"/>
      <c r="D8" s="36"/>
      <c r="E8" s="36"/>
      <c r="F8" s="36"/>
      <c r="G8" s="36"/>
      <c r="H8" s="36"/>
      <c r="J8" s="134"/>
      <c r="K8" s="134"/>
      <c r="L8" s="134">
        <f>forecast!C22</f>
        <v>101.6</v>
      </c>
      <c r="M8" s="134">
        <f>forecast!D22</f>
        <v>102.34079475027342</v>
      </c>
    </row>
    <row r="9" spans="1:22" x14ac:dyDescent="0.3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c r="M9" s="1049">
        <f>Grants!T116</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topLeftCell="A7" workbookViewId="0">
      <selection activeCell="D23" sqref="D23"/>
    </sheetView>
  </sheetViews>
  <sheetFormatPr defaultColWidth="11.453125" defaultRowHeight="14.5" x14ac:dyDescent="0.35"/>
  <cols>
    <col min="1" max="1" width="32.81640625" customWidth="1"/>
    <col min="2" max="2" width="28.54296875" customWidth="1"/>
  </cols>
  <sheetData>
    <row r="1" spans="1:12" x14ac:dyDescent="0.3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5">
      <c r="A2" s="73" t="s">
        <v>1821</v>
      </c>
      <c r="B2" t="s">
        <v>1844</v>
      </c>
      <c r="C2" s="76">
        <f>Deflators!T18</f>
        <v>1.397069567179221E-3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5">
      <c r="A3" s="74" t="s">
        <v>1840</v>
      </c>
      <c r="B3" t="s">
        <v>1845</v>
      </c>
      <c r="C3" s="76">
        <f>Deflators!T19</f>
        <v>1.397069567179221E-3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5">
      <c r="A4" s="74" t="s">
        <v>1841</v>
      </c>
      <c r="B4" t="s">
        <v>1846</v>
      </c>
      <c r="C4" s="76">
        <f>Deflators!T20</f>
        <v>0</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5">
      <c r="A5" s="74" t="s">
        <v>1842</v>
      </c>
      <c r="B5" t="s">
        <v>1847</v>
      </c>
      <c r="C5" s="76">
        <f>Deflators!T21</f>
        <v>0</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5">
      <c r="A6" s="75" t="s">
        <v>1843</v>
      </c>
      <c r="B6" t="s">
        <v>1848</v>
      </c>
      <c r="C6" s="76">
        <f>Deflators!T22</f>
        <v>0</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113" t="s">
        <v>364</v>
      </c>
      <c r="I1" s="1113"/>
      <c r="J1" s="1113"/>
      <c r="K1" s="1113"/>
      <c r="L1" s="1113"/>
      <c r="M1" s="1113"/>
      <c r="N1" s="1113"/>
      <c r="O1" s="1113"/>
      <c r="P1" s="1113"/>
      <c r="Q1" s="1113"/>
      <c r="R1" s="1113"/>
      <c r="S1" s="1113"/>
    </row>
    <row r="2" spans="8:22" x14ac:dyDescent="0.35">
      <c r="H2" s="1112" t="s">
        <v>365</v>
      </c>
      <c r="I2" s="1112"/>
      <c r="J2" s="1112"/>
      <c r="K2" s="1112"/>
      <c r="L2" s="1112"/>
      <c r="M2" s="1112"/>
      <c r="N2" s="1112"/>
      <c r="O2" s="1112"/>
      <c r="P2" s="1112"/>
      <c r="Q2" s="1112"/>
      <c r="R2" s="1112"/>
      <c r="S2" s="1112"/>
    </row>
    <row r="3" spans="8:22" x14ac:dyDescent="0.35">
      <c r="H3" s="1112"/>
      <c r="I3" s="1112"/>
      <c r="J3" s="1112"/>
      <c r="K3" s="1112"/>
      <c r="L3" s="1112"/>
      <c r="M3" s="1112"/>
      <c r="N3" s="1112"/>
      <c r="O3" s="1112"/>
      <c r="P3" s="1112"/>
      <c r="Q3" s="1112"/>
      <c r="R3" s="1112"/>
      <c r="S3" s="1112"/>
    </row>
    <row r="4" spans="8:22" x14ac:dyDescent="0.35">
      <c r="H4" s="1112"/>
      <c r="I4" s="1112"/>
      <c r="J4" s="1112"/>
      <c r="K4" s="1112"/>
      <c r="L4" s="1112"/>
      <c r="M4" s="1112"/>
      <c r="N4" s="1112"/>
      <c r="O4" s="1112"/>
      <c r="P4" s="1112"/>
      <c r="Q4" s="1112"/>
      <c r="R4" s="1112"/>
      <c r="S4" s="1112"/>
    </row>
    <row r="5" spans="8:22" ht="54.75" customHeight="1" x14ac:dyDescent="0.35">
      <c r="H5" s="1112"/>
      <c r="I5" s="1112"/>
      <c r="J5" s="1112"/>
      <c r="K5" s="1112"/>
      <c r="L5" s="1112"/>
      <c r="M5" s="1112"/>
      <c r="N5" s="1112"/>
      <c r="O5" s="1112"/>
      <c r="P5" s="1112"/>
      <c r="Q5" s="1112"/>
      <c r="R5" s="1112"/>
      <c r="S5" s="1112"/>
    </row>
    <row r="6" spans="8:22" x14ac:dyDescent="0.35">
      <c r="H6" s="177"/>
      <c r="I6" s="177"/>
      <c r="J6" s="177"/>
      <c r="K6" s="177"/>
      <c r="L6" s="177"/>
      <c r="M6" s="177"/>
      <c r="N6" s="177"/>
      <c r="O6" s="177"/>
      <c r="P6" s="177"/>
      <c r="Q6" s="177"/>
      <c r="R6" s="177"/>
      <c r="S6" s="177"/>
    </row>
    <row r="7" spans="8:22" x14ac:dyDescent="0.35">
      <c r="H7" s="158" t="s">
        <v>366</v>
      </c>
    </row>
    <row r="8" spans="8:22" ht="16.25" customHeight="1" x14ac:dyDescent="0.35"/>
    <row r="9" spans="8:22" ht="15.75" customHeight="1" x14ac:dyDescent="0.35">
      <c r="L9" s="1114">
        <v>2020</v>
      </c>
      <c r="M9" s="1115"/>
      <c r="N9" s="1115"/>
      <c r="O9" s="185">
        <v>2021</v>
      </c>
      <c r="P9" s="185"/>
      <c r="Q9" s="185"/>
      <c r="R9" s="184"/>
    </row>
    <row r="10" spans="8:22" ht="41.75" customHeight="1" x14ac:dyDescent="0.35">
      <c r="H10" s="189" t="s">
        <v>367</v>
      </c>
      <c r="I10" s="189" t="s">
        <v>368</v>
      </c>
      <c r="J10" s="190" t="s">
        <v>369</v>
      </c>
      <c r="K10" s="146"/>
      <c r="L10" s="181" t="s">
        <v>329</v>
      </c>
      <c r="M10" s="183" t="s">
        <v>238</v>
      </c>
      <c r="N10" s="183" t="s">
        <v>327</v>
      </c>
      <c r="O10" s="183" t="s">
        <v>328</v>
      </c>
      <c r="P10" s="183" t="s">
        <v>329</v>
      </c>
      <c r="Q10" s="183" t="s">
        <v>238</v>
      </c>
      <c r="R10" s="186" t="s">
        <v>327</v>
      </c>
      <c r="S10" s="177" t="s">
        <v>370</v>
      </c>
      <c r="T10" s="146"/>
      <c r="U10" s="146"/>
      <c r="V10" s="146"/>
    </row>
    <row r="11" spans="8:22" x14ac:dyDescent="0.35">
      <c r="H11" s="191">
        <v>43934</v>
      </c>
      <c r="I11" s="137">
        <v>248</v>
      </c>
      <c r="J11" s="150">
        <f>I11</f>
        <v>248</v>
      </c>
      <c r="K11" s="137"/>
      <c r="L11" s="166">
        <f>S11/26*J11</f>
        <v>95.384615384615387</v>
      </c>
      <c r="M11" s="162">
        <f>13/26*J11</f>
        <v>124</v>
      </c>
      <c r="N11" s="162">
        <f>J11-SUM(L11:M11)</f>
        <v>28.615384615384613</v>
      </c>
      <c r="O11" s="162"/>
      <c r="P11" s="162"/>
      <c r="Q11" s="162"/>
      <c r="R11" s="167"/>
      <c r="S11" s="137">
        <v>10</v>
      </c>
      <c r="T11" s="137"/>
      <c r="U11" s="163"/>
      <c r="V11" s="137"/>
    </row>
    <row r="12" spans="8:22" x14ac:dyDescent="0.35">
      <c r="H12" s="164">
        <v>43937</v>
      </c>
      <c r="I12" s="137">
        <v>342</v>
      </c>
      <c r="J12" s="150">
        <f>I12-I11</f>
        <v>94</v>
      </c>
      <c r="K12" s="137"/>
      <c r="L12" s="166">
        <f t="shared" ref="L12:L20" si="0">S12/26*J12</f>
        <v>36.153846153846153</v>
      </c>
      <c r="M12" s="162">
        <f t="shared" ref="M12:M20" si="1">13/26*J12</f>
        <v>47</v>
      </c>
      <c r="N12" s="162">
        <f t="shared" ref="N12:N21" si="2">J12-SUM(L12:M12)</f>
        <v>10.84615384615384</v>
      </c>
      <c r="O12" s="162"/>
      <c r="P12" s="162"/>
      <c r="Q12" s="162"/>
      <c r="R12" s="167"/>
      <c r="S12" s="137">
        <v>10</v>
      </c>
      <c r="T12" s="137"/>
      <c r="U12" s="137"/>
      <c r="V12" s="137"/>
    </row>
    <row r="13" spans="8:22" x14ac:dyDescent="0.35">
      <c r="H13" s="164">
        <v>43952</v>
      </c>
      <c r="I13" s="137">
        <v>518</v>
      </c>
      <c r="J13" s="150">
        <f>I13-I12</f>
        <v>176</v>
      </c>
      <c r="K13" s="137"/>
      <c r="L13" s="166">
        <f t="shared" si="0"/>
        <v>54.15384615384616</v>
      </c>
      <c r="M13" s="162">
        <f t="shared" si="1"/>
        <v>88</v>
      </c>
      <c r="N13" s="162">
        <f t="shared" si="2"/>
        <v>33.84615384615384</v>
      </c>
      <c r="O13" s="162"/>
      <c r="P13" s="162"/>
      <c r="Q13" s="162"/>
      <c r="R13" s="167"/>
      <c r="S13" s="137">
        <v>8</v>
      </c>
      <c r="T13" s="137"/>
      <c r="U13" s="137"/>
      <c r="V13" s="137"/>
    </row>
    <row r="14" spans="8:22" x14ac:dyDescent="0.35">
      <c r="H14" s="164">
        <v>43959</v>
      </c>
      <c r="I14" s="137">
        <v>531</v>
      </c>
      <c r="J14" s="150">
        <f t="shared" ref="J14:J45" si="3">I14-I13</f>
        <v>13</v>
      </c>
      <c r="K14" s="137"/>
      <c r="L14" s="166">
        <f t="shared" si="0"/>
        <v>3.5</v>
      </c>
      <c r="M14" s="162">
        <f t="shared" si="1"/>
        <v>6.5</v>
      </c>
      <c r="N14" s="162">
        <f t="shared" si="2"/>
        <v>3</v>
      </c>
      <c r="O14" s="162"/>
      <c r="P14" s="162"/>
      <c r="Q14" s="162"/>
      <c r="R14" s="167"/>
      <c r="S14" s="137">
        <f t="shared" ref="S14:S20" si="4">S13-1</f>
        <v>7</v>
      </c>
      <c r="T14" s="137"/>
      <c r="U14" s="137"/>
      <c r="V14" s="137"/>
    </row>
    <row r="15" spans="8:22" x14ac:dyDescent="0.35">
      <c r="H15" s="164">
        <v>43967</v>
      </c>
      <c r="I15" s="137">
        <v>513</v>
      </c>
      <c r="J15" s="150">
        <f t="shared" si="3"/>
        <v>-18</v>
      </c>
      <c r="K15" s="137"/>
      <c r="L15" s="166">
        <f t="shared" ref="L15:L17" si="5">S15/26*J15</f>
        <v>-4.1538461538461542</v>
      </c>
      <c r="M15" s="162">
        <f t="shared" ref="M15:M17" si="6">13/26*J15</f>
        <v>-9</v>
      </c>
      <c r="N15" s="162">
        <f t="shared" ref="N15:N17" si="7">J15-SUM(L15:M15)</f>
        <v>-4.8461538461538467</v>
      </c>
      <c r="O15" s="162"/>
      <c r="P15" s="162"/>
      <c r="Q15" s="162"/>
      <c r="R15" s="167"/>
      <c r="S15" s="137">
        <f t="shared" si="4"/>
        <v>6</v>
      </c>
      <c r="T15" s="137"/>
      <c r="U15" s="137"/>
      <c r="V15" s="137"/>
    </row>
    <row r="16" spans="8:22" x14ac:dyDescent="0.35">
      <c r="H16" s="164">
        <v>43974</v>
      </c>
      <c r="I16" s="137">
        <v>511</v>
      </c>
      <c r="J16" s="150">
        <f t="shared" si="3"/>
        <v>-2</v>
      </c>
      <c r="K16" s="137"/>
      <c r="L16" s="166">
        <f t="shared" si="5"/>
        <v>-0.38461538461538464</v>
      </c>
      <c r="M16" s="162">
        <f t="shared" si="6"/>
        <v>-1</v>
      </c>
      <c r="N16" s="162">
        <f t="shared" si="7"/>
        <v>-0.61538461538461542</v>
      </c>
      <c r="O16" s="162"/>
      <c r="P16" s="162"/>
      <c r="Q16" s="162"/>
      <c r="R16" s="167"/>
      <c r="S16" s="137">
        <f t="shared" si="4"/>
        <v>5</v>
      </c>
      <c r="T16" s="137"/>
      <c r="U16" s="137"/>
      <c r="V16" s="137"/>
    </row>
    <row r="17" spans="8:22" x14ac:dyDescent="0.35">
      <c r="H17" s="164">
        <v>43981</v>
      </c>
      <c r="I17" s="137">
        <v>510</v>
      </c>
      <c r="J17" s="150">
        <f t="shared" si="3"/>
        <v>-1</v>
      </c>
      <c r="K17" s="137"/>
      <c r="L17" s="166">
        <f t="shared" si="5"/>
        <v>-0.15384615384615385</v>
      </c>
      <c r="M17" s="162">
        <f t="shared" si="6"/>
        <v>-0.5</v>
      </c>
      <c r="N17" s="162">
        <f t="shared" si="7"/>
        <v>-0.34615384615384615</v>
      </c>
      <c r="O17" s="162"/>
      <c r="P17" s="162"/>
      <c r="Q17" s="162"/>
      <c r="R17" s="167"/>
      <c r="S17" s="137">
        <f t="shared" si="4"/>
        <v>4</v>
      </c>
      <c r="T17" s="137"/>
      <c r="U17" s="137"/>
      <c r="V17" s="137"/>
    </row>
    <row r="18" spans="8:22" x14ac:dyDescent="0.35">
      <c r="H18" s="164">
        <v>43988</v>
      </c>
      <c r="I18" s="137">
        <v>511</v>
      </c>
      <c r="J18" s="150">
        <f t="shared" si="3"/>
        <v>1</v>
      </c>
      <c r="K18" s="137"/>
      <c r="L18" s="166">
        <f t="shared" si="0"/>
        <v>0.11538461538461539</v>
      </c>
      <c r="M18" s="162">
        <f t="shared" si="1"/>
        <v>0.5</v>
      </c>
      <c r="N18" s="162">
        <f t="shared" si="2"/>
        <v>0.38461538461538458</v>
      </c>
      <c r="O18" s="162"/>
      <c r="P18" s="162"/>
      <c r="Q18" s="162"/>
      <c r="R18" s="167"/>
      <c r="S18" s="137">
        <f t="shared" si="4"/>
        <v>3</v>
      </c>
      <c r="T18" s="137"/>
      <c r="U18" s="137"/>
      <c r="V18" s="137"/>
    </row>
    <row r="19" spans="8:22" x14ac:dyDescent="0.35">
      <c r="H19" s="164">
        <v>43994</v>
      </c>
      <c r="I19" s="137">
        <v>512</v>
      </c>
      <c r="J19" s="150">
        <f t="shared" si="3"/>
        <v>1</v>
      </c>
      <c r="K19" s="137"/>
      <c r="L19" s="166">
        <f t="shared" si="0"/>
        <v>7.6923076923076927E-2</v>
      </c>
      <c r="M19" s="162">
        <f t="shared" si="1"/>
        <v>0.5</v>
      </c>
      <c r="N19" s="162">
        <f t="shared" si="2"/>
        <v>0.42307692307692313</v>
      </c>
      <c r="O19" s="162"/>
      <c r="P19" s="162"/>
      <c r="Q19" s="162"/>
      <c r="R19" s="167"/>
      <c r="S19" s="137">
        <f t="shared" si="4"/>
        <v>2</v>
      </c>
      <c r="T19" s="137"/>
      <c r="U19" s="137"/>
      <c r="V19" s="137"/>
    </row>
    <row r="20" spans="8:22" x14ac:dyDescent="0.35">
      <c r="H20" s="164">
        <v>44002</v>
      </c>
      <c r="I20" s="137">
        <v>515</v>
      </c>
      <c r="J20" s="150">
        <f t="shared" si="3"/>
        <v>3</v>
      </c>
      <c r="K20" s="137"/>
      <c r="L20" s="166">
        <f t="shared" si="0"/>
        <v>0.11538461538461539</v>
      </c>
      <c r="M20" s="162">
        <f t="shared" si="1"/>
        <v>1.5</v>
      </c>
      <c r="N20" s="162">
        <f t="shared" si="2"/>
        <v>1.3846153846153846</v>
      </c>
      <c r="O20" s="162"/>
      <c r="P20" s="162"/>
      <c r="Q20" s="162"/>
      <c r="R20" s="167"/>
      <c r="S20" s="137">
        <f t="shared" si="4"/>
        <v>1</v>
      </c>
      <c r="T20" s="137"/>
      <c r="U20" s="137"/>
      <c r="V20" s="137"/>
    </row>
    <row r="21" spans="8:22" x14ac:dyDescent="0.35">
      <c r="H21" s="164">
        <v>44009</v>
      </c>
      <c r="I21" s="137">
        <v>519</v>
      </c>
      <c r="J21" s="150">
        <f t="shared" si="3"/>
        <v>4</v>
      </c>
      <c r="K21" s="137"/>
      <c r="L21" s="166"/>
      <c r="M21" s="162">
        <f>S21/26*J21</f>
        <v>2</v>
      </c>
      <c r="N21" s="162">
        <f t="shared" si="2"/>
        <v>2</v>
      </c>
      <c r="O21" s="162"/>
      <c r="P21" s="162"/>
      <c r="Q21" s="162"/>
      <c r="R21" s="167"/>
      <c r="S21" s="137">
        <v>13</v>
      </c>
      <c r="T21" s="137"/>
      <c r="U21" s="137"/>
      <c r="V21" s="137"/>
    </row>
    <row r="22" spans="8:22" x14ac:dyDescent="0.35">
      <c r="H22" s="164">
        <v>44012</v>
      </c>
      <c r="I22" s="137">
        <v>521</v>
      </c>
      <c r="J22" s="150">
        <f t="shared" si="3"/>
        <v>2</v>
      </c>
      <c r="K22" s="137"/>
      <c r="L22" s="166"/>
      <c r="M22" s="162">
        <f t="shared" ref="M22:M26" si="8">S22/26*J22</f>
        <v>1</v>
      </c>
      <c r="N22" s="162">
        <f>J22-SUM(L22:M22)</f>
        <v>1</v>
      </c>
      <c r="O22" s="162"/>
      <c r="P22" s="162"/>
      <c r="Q22" s="162"/>
      <c r="R22" s="167"/>
      <c r="S22" s="137">
        <v>13</v>
      </c>
      <c r="T22" s="137"/>
      <c r="U22" s="137"/>
      <c r="V22" s="137"/>
    </row>
    <row r="23" spans="8:22" x14ac:dyDescent="0.35">
      <c r="H23" s="164">
        <v>44029</v>
      </c>
      <c r="I23" s="137">
        <v>518</v>
      </c>
      <c r="J23" s="150">
        <f t="shared" si="3"/>
        <v>-3</v>
      </c>
      <c r="K23" s="137"/>
      <c r="L23" s="166"/>
      <c r="M23" s="162">
        <f t="shared" ref="M23" si="9">S23/26*J23</f>
        <v>-1.153846153846154</v>
      </c>
      <c r="N23" s="162">
        <f t="shared" ref="N23" si="10">13/26*J23</f>
        <v>-1.5</v>
      </c>
      <c r="O23" s="162">
        <f t="shared" ref="O23" si="11">J23-N23-M23</f>
        <v>-0.34615384615384603</v>
      </c>
      <c r="P23" s="162"/>
      <c r="Q23" s="162"/>
      <c r="R23" s="167"/>
      <c r="S23" s="137">
        <f>S22-3</f>
        <v>10</v>
      </c>
      <c r="T23" s="137"/>
      <c r="U23" s="137"/>
      <c r="V23" s="137"/>
    </row>
    <row r="24" spans="8:22" x14ac:dyDescent="0.35">
      <c r="H24" s="164">
        <v>44036</v>
      </c>
      <c r="I24" s="137">
        <v>520</v>
      </c>
      <c r="J24" s="150">
        <f t="shared" si="3"/>
        <v>2</v>
      </c>
      <c r="K24" s="137"/>
      <c r="L24" s="166"/>
      <c r="M24" s="162">
        <f t="shared" si="8"/>
        <v>0.69230769230769229</v>
      </c>
      <c r="N24" s="162">
        <f t="shared" ref="N24:N26" si="12">13/26*J24</f>
        <v>1</v>
      </c>
      <c r="O24" s="162">
        <f t="shared" ref="O24:O26" si="13">J24-N24-M24</f>
        <v>0.30769230769230771</v>
      </c>
      <c r="P24" s="162"/>
      <c r="Q24" s="162"/>
      <c r="R24" s="167"/>
      <c r="S24" s="137">
        <f>S23-1</f>
        <v>9</v>
      </c>
      <c r="T24" s="137"/>
      <c r="U24" s="137"/>
      <c r="V24" s="137"/>
    </row>
    <row r="25" spans="8:22" x14ac:dyDescent="0.35">
      <c r="H25" s="164">
        <v>44043</v>
      </c>
      <c r="I25" s="137">
        <v>521</v>
      </c>
      <c r="J25" s="150">
        <f t="shared" si="3"/>
        <v>1</v>
      </c>
      <c r="K25" s="137"/>
      <c r="L25" s="166"/>
      <c r="M25" s="162">
        <f t="shared" si="8"/>
        <v>0.30769230769230771</v>
      </c>
      <c r="N25" s="162">
        <f t="shared" si="12"/>
        <v>0.5</v>
      </c>
      <c r="O25" s="162">
        <f t="shared" si="13"/>
        <v>0.19230769230769229</v>
      </c>
      <c r="P25" s="162"/>
      <c r="Q25" s="162"/>
      <c r="R25" s="167"/>
      <c r="S25" s="137">
        <f>S24-1</f>
        <v>8</v>
      </c>
      <c r="T25" s="137"/>
      <c r="U25" s="137"/>
      <c r="V25" s="137"/>
    </row>
    <row r="26" spans="8:22" x14ac:dyDescent="0.35">
      <c r="H26" s="164">
        <v>44051</v>
      </c>
      <c r="I26" s="137">
        <v>525</v>
      </c>
      <c r="J26" s="150">
        <f t="shared" si="3"/>
        <v>4</v>
      </c>
      <c r="K26" s="137"/>
      <c r="L26" s="166"/>
      <c r="M26" s="162">
        <f t="shared" si="8"/>
        <v>1.0769230769230769</v>
      </c>
      <c r="N26" s="162">
        <f t="shared" si="12"/>
        <v>2</v>
      </c>
      <c r="O26" s="162">
        <f t="shared" si="13"/>
        <v>0.92307692307692313</v>
      </c>
      <c r="P26" s="162"/>
      <c r="Q26" s="162"/>
      <c r="R26" s="167"/>
      <c r="S26" s="137">
        <f>S25-1</f>
        <v>7</v>
      </c>
      <c r="T26" s="137"/>
      <c r="U26" s="137"/>
      <c r="V26" s="137"/>
    </row>
    <row r="27" spans="8:22" x14ac:dyDescent="0.35">
      <c r="H27" s="164">
        <v>44220</v>
      </c>
      <c r="I27" s="137">
        <v>558</v>
      </c>
      <c r="J27" s="150">
        <f t="shared" si="3"/>
        <v>33</v>
      </c>
      <c r="K27" s="137"/>
      <c r="L27" s="166"/>
      <c r="M27" s="162"/>
      <c r="N27" s="162"/>
      <c r="O27" s="162">
        <f>S27/26*J27</f>
        <v>12.692307692307693</v>
      </c>
      <c r="P27" s="162">
        <f>J27/2</f>
        <v>16.5</v>
      </c>
      <c r="Q27" s="162">
        <f>J27-P27-O27</f>
        <v>3.8076923076923066</v>
      </c>
      <c r="R27" s="167"/>
      <c r="S27" s="137">
        <v>10</v>
      </c>
      <c r="T27" s="137">
        <v>10</v>
      </c>
      <c r="U27" s="137"/>
      <c r="V27" s="137"/>
    </row>
    <row r="28" spans="8:22" x14ac:dyDescent="0.35">
      <c r="H28" s="164">
        <v>44227</v>
      </c>
      <c r="I28" s="137">
        <v>596</v>
      </c>
      <c r="J28" s="150">
        <f t="shared" si="3"/>
        <v>38</v>
      </c>
      <c r="K28" s="137"/>
      <c r="L28" s="166"/>
      <c r="M28" s="162"/>
      <c r="N28" s="162"/>
      <c r="O28" s="162">
        <f t="shared" ref="O28:O36" si="14">S28/26*J28</f>
        <v>13.153846153846153</v>
      </c>
      <c r="P28" s="162">
        <f t="shared" ref="P28:P36" si="15">J28/2</f>
        <v>19</v>
      </c>
      <c r="Q28" s="162">
        <f t="shared" ref="Q28:Q36" si="16">J28-P28-O28</f>
        <v>5.8461538461538467</v>
      </c>
      <c r="R28" s="167"/>
      <c r="S28" s="137">
        <f>S27-1</f>
        <v>9</v>
      </c>
      <c r="T28" s="137">
        <f>T27-1</f>
        <v>9</v>
      </c>
      <c r="U28" s="137"/>
      <c r="V28" s="137"/>
    </row>
    <row r="29" spans="8:22" x14ac:dyDescent="0.35">
      <c r="H29" s="164">
        <v>44234</v>
      </c>
      <c r="I29" s="137">
        <v>623</v>
      </c>
      <c r="J29" s="150">
        <f t="shared" si="3"/>
        <v>27</v>
      </c>
      <c r="K29" s="137"/>
      <c r="L29" s="166"/>
      <c r="M29" s="162"/>
      <c r="N29" s="162"/>
      <c r="O29" s="162">
        <f t="shared" si="14"/>
        <v>8.3076923076923084</v>
      </c>
      <c r="P29" s="162">
        <f t="shared" si="15"/>
        <v>13.5</v>
      </c>
      <c r="Q29" s="162">
        <f t="shared" si="16"/>
        <v>5.1923076923076916</v>
      </c>
      <c r="R29" s="167"/>
      <c r="S29" s="137">
        <f t="shared" ref="S29:S36" si="17">S28-1</f>
        <v>8</v>
      </c>
      <c r="T29" s="137">
        <f t="shared" ref="T29:T36" si="18">T28-1</f>
        <v>8</v>
      </c>
      <c r="U29" s="137"/>
      <c r="V29" s="137"/>
    </row>
    <row r="30" spans="8:22" x14ac:dyDescent="0.35">
      <c r="H30" s="164">
        <v>44242</v>
      </c>
      <c r="I30" s="137">
        <v>648</v>
      </c>
      <c r="J30" s="150">
        <f t="shared" si="3"/>
        <v>25</v>
      </c>
      <c r="K30" s="137"/>
      <c r="L30" s="166"/>
      <c r="M30" s="162"/>
      <c r="N30" s="162"/>
      <c r="O30" s="162">
        <f t="shared" si="14"/>
        <v>6.7307692307692308</v>
      </c>
      <c r="P30" s="162">
        <f t="shared" si="15"/>
        <v>12.5</v>
      </c>
      <c r="Q30" s="162">
        <f t="shared" si="16"/>
        <v>5.7692307692307692</v>
      </c>
      <c r="R30" s="167"/>
      <c r="S30" s="137">
        <f t="shared" si="17"/>
        <v>7</v>
      </c>
      <c r="T30" s="137">
        <f t="shared" si="18"/>
        <v>7</v>
      </c>
      <c r="U30" s="137"/>
      <c r="V30" s="137"/>
    </row>
    <row r="31" spans="8:22" x14ac:dyDescent="0.35">
      <c r="H31" s="164">
        <v>44248</v>
      </c>
      <c r="I31" s="137">
        <v>663</v>
      </c>
      <c r="J31" s="150">
        <f t="shared" si="3"/>
        <v>15</v>
      </c>
      <c r="K31" s="137"/>
      <c r="L31" s="166"/>
      <c r="M31" s="162"/>
      <c r="N31" s="162"/>
      <c r="O31" s="162">
        <f t="shared" si="14"/>
        <v>3.4615384615384617</v>
      </c>
      <c r="P31" s="162">
        <f t="shared" si="15"/>
        <v>7.5</v>
      </c>
      <c r="Q31" s="162">
        <f t="shared" si="16"/>
        <v>4.0384615384615383</v>
      </c>
      <c r="R31" s="167"/>
      <c r="S31" s="137">
        <f t="shared" si="17"/>
        <v>6</v>
      </c>
      <c r="T31" s="137">
        <f t="shared" si="18"/>
        <v>6</v>
      </c>
      <c r="U31" s="137"/>
      <c r="V31" s="137"/>
    </row>
    <row r="32" spans="8:22" x14ac:dyDescent="0.35">
      <c r="H32" s="164">
        <v>44255</v>
      </c>
      <c r="I32" s="137">
        <v>679</v>
      </c>
      <c r="J32" s="150">
        <f t="shared" si="3"/>
        <v>16</v>
      </c>
      <c r="K32" s="137"/>
      <c r="L32" s="166"/>
      <c r="M32" s="162"/>
      <c r="N32" s="162"/>
      <c r="O32" s="162">
        <f t="shared" si="14"/>
        <v>3.0769230769230771</v>
      </c>
      <c r="P32" s="162">
        <f t="shared" si="15"/>
        <v>8</v>
      </c>
      <c r="Q32" s="162">
        <f t="shared" si="16"/>
        <v>4.9230769230769234</v>
      </c>
      <c r="R32" s="167"/>
      <c r="S32" s="137">
        <f t="shared" si="17"/>
        <v>5</v>
      </c>
      <c r="T32" s="137">
        <f t="shared" si="18"/>
        <v>5</v>
      </c>
      <c r="U32" s="137"/>
      <c r="V32" s="137"/>
    </row>
    <row r="33" spans="8:22" x14ac:dyDescent="0.35">
      <c r="H33" s="164">
        <v>44262</v>
      </c>
      <c r="I33" s="137">
        <v>687</v>
      </c>
      <c r="J33" s="150">
        <f t="shared" si="3"/>
        <v>8</v>
      </c>
      <c r="K33" s="137"/>
      <c r="L33" s="166"/>
      <c r="M33" s="162"/>
      <c r="N33" s="162"/>
      <c r="O33" s="162">
        <f t="shared" si="14"/>
        <v>1.2307692307692308</v>
      </c>
      <c r="P33" s="162">
        <f t="shared" si="15"/>
        <v>4</v>
      </c>
      <c r="Q33" s="162">
        <f t="shared" si="16"/>
        <v>2.7692307692307692</v>
      </c>
      <c r="R33" s="167"/>
      <c r="S33" s="137">
        <f t="shared" si="17"/>
        <v>4</v>
      </c>
      <c r="T33" s="137">
        <f t="shared" si="18"/>
        <v>4</v>
      </c>
      <c r="U33" s="137"/>
      <c r="V33" s="137"/>
    </row>
    <row r="34" spans="8:22" x14ac:dyDescent="0.35">
      <c r="H34" s="164">
        <v>44269</v>
      </c>
      <c r="I34" s="137">
        <v>704</v>
      </c>
      <c r="J34" s="150">
        <f t="shared" si="3"/>
        <v>17</v>
      </c>
      <c r="K34" s="137"/>
      <c r="L34" s="166"/>
      <c r="M34" s="162"/>
      <c r="N34" s="162"/>
      <c r="O34" s="162">
        <f t="shared" si="14"/>
        <v>1.9615384615384617</v>
      </c>
      <c r="P34" s="162">
        <f t="shared" si="15"/>
        <v>8.5</v>
      </c>
      <c r="Q34" s="162">
        <f t="shared" si="16"/>
        <v>6.5384615384615383</v>
      </c>
      <c r="R34" s="167"/>
      <c r="S34" s="137">
        <f t="shared" si="17"/>
        <v>3</v>
      </c>
      <c r="T34" s="137">
        <f t="shared" si="18"/>
        <v>3</v>
      </c>
      <c r="U34" s="137"/>
      <c r="V34" s="137"/>
    </row>
    <row r="35" spans="8:22" x14ac:dyDescent="0.35">
      <c r="H35" s="164">
        <v>44276</v>
      </c>
      <c r="I35" s="137">
        <v>718</v>
      </c>
      <c r="J35" s="150">
        <f t="shared" si="3"/>
        <v>14</v>
      </c>
      <c r="K35" s="137"/>
      <c r="L35" s="166"/>
      <c r="M35" s="162"/>
      <c r="N35" s="162"/>
      <c r="O35" s="162">
        <f t="shared" si="14"/>
        <v>1.0769230769230771</v>
      </c>
      <c r="P35" s="162">
        <f t="shared" si="15"/>
        <v>7</v>
      </c>
      <c r="Q35" s="162">
        <f t="shared" si="16"/>
        <v>5.9230769230769234</v>
      </c>
      <c r="R35" s="167"/>
      <c r="S35" s="137">
        <f t="shared" si="17"/>
        <v>2</v>
      </c>
      <c r="T35" s="137">
        <f t="shared" si="18"/>
        <v>2</v>
      </c>
      <c r="U35" s="137"/>
      <c r="V35" s="137"/>
    </row>
    <row r="36" spans="8:22" x14ac:dyDescent="0.35">
      <c r="H36" s="164">
        <v>44283</v>
      </c>
      <c r="I36" s="137">
        <v>734</v>
      </c>
      <c r="J36" s="150">
        <f t="shared" si="3"/>
        <v>16</v>
      </c>
      <c r="K36" s="137"/>
      <c r="L36" s="166"/>
      <c r="M36" s="162"/>
      <c r="N36" s="162"/>
      <c r="O36" s="162">
        <f t="shared" si="14"/>
        <v>0.61538461538461542</v>
      </c>
      <c r="P36" s="162">
        <f t="shared" si="15"/>
        <v>8</v>
      </c>
      <c r="Q36" s="162">
        <f t="shared" si="16"/>
        <v>7.384615384615385</v>
      </c>
      <c r="R36" s="167"/>
      <c r="S36" s="137">
        <f t="shared" si="17"/>
        <v>1</v>
      </c>
      <c r="T36" s="137">
        <f t="shared" si="18"/>
        <v>1</v>
      </c>
      <c r="U36" s="137"/>
      <c r="V36" s="137"/>
    </row>
    <row r="37" spans="8:22" x14ac:dyDescent="0.35">
      <c r="H37" s="164">
        <v>44290</v>
      </c>
      <c r="I37" s="137">
        <v>746</v>
      </c>
      <c r="J37" s="150">
        <f t="shared" si="3"/>
        <v>12</v>
      </c>
      <c r="K37" s="137"/>
      <c r="L37" s="166"/>
      <c r="M37" s="162"/>
      <c r="N37" s="162"/>
      <c r="O37" s="162"/>
      <c r="P37" s="162">
        <f>T37/26*J37</f>
        <v>6</v>
      </c>
      <c r="Q37" s="162">
        <f>J37/2</f>
        <v>6</v>
      </c>
      <c r="R37" s="167">
        <f>J37-Q37-P37</f>
        <v>0</v>
      </c>
      <c r="S37" s="137">
        <v>13</v>
      </c>
      <c r="T37" s="137">
        <v>13</v>
      </c>
      <c r="U37" s="137"/>
      <c r="V37" s="137"/>
    </row>
    <row r="38" spans="8:22" x14ac:dyDescent="0.35">
      <c r="H38" s="164">
        <v>44297</v>
      </c>
      <c r="I38" s="137">
        <v>755</v>
      </c>
      <c r="J38" s="150">
        <f t="shared" si="3"/>
        <v>9</v>
      </c>
      <c r="K38" s="137"/>
      <c r="L38" s="166"/>
      <c r="M38" s="162"/>
      <c r="N38" s="162"/>
      <c r="O38" s="162"/>
      <c r="P38" s="162">
        <f t="shared" ref="P38:P45" si="19">T38/26*J38</f>
        <v>4.1538461538461542</v>
      </c>
      <c r="Q38" s="162">
        <f t="shared" ref="Q38:Q45" si="20">J38/2</f>
        <v>4.5</v>
      </c>
      <c r="R38" s="167">
        <f t="shared" ref="R38:R45" si="21">J38-Q38-P38</f>
        <v>0.34615384615384581</v>
      </c>
      <c r="S38" s="137">
        <f>S37-1</f>
        <v>12</v>
      </c>
      <c r="T38" s="137">
        <f>T37-1</f>
        <v>12</v>
      </c>
      <c r="U38" s="137"/>
      <c r="V38" s="137"/>
    </row>
    <row r="39" spans="8:22" x14ac:dyDescent="0.35">
      <c r="H39" s="164">
        <v>44304</v>
      </c>
      <c r="I39" s="137">
        <v>762</v>
      </c>
      <c r="J39" s="150">
        <f t="shared" si="3"/>
        <v>7</v>
      </c>
      <c r="K39" s="137"/>
      <c r="L39" s="166"/>
      <c r="M39" s="162"/>
      <c r="N39" s="162"/>
      <c r="O39" s="162"/>
      <c r="P39" s="162">
        <f t="shared" si="19"/>
        <v>2.9615384615384617</v>
      </c>
      <c r="Q39" s="162">
        <f t="shared" si="20"/>
        <v>3.5</v>
      </c>
      <c r="R39" s="167">
        <f t="shared" si="21"/>
        <v>0.53846153846153832</v>
      </c>
      <c r="S39" s="137">
        <f t="shared" ref="S39:S45" si="22">S38-1</f>
        <v>11</v>
      </c>
      <c r="T39" s="137">
        <f t="shared" ref="T39:T45" si="23">T38-1</f>
        <v>11</v>
      </c>
      <c r="U39" s="137"/>
      <c r="V39" s="137"/>
    </row>
    <row r="40" spans="8:22" x14ac:dyDescent="0.35">
      <c r="H40" s="164">
        <v>44311</v>
      </c>
      <c r="I40" s="137">
        <v>771</v>
      </c>
      <c r="J40" s="150">
        <f t="shared" si="3"/>
        <v>9</v>
      </c>
      <c r="K40" s="137"/>
      <c r="L40" s="166"/>
      <c r="M40" s="162"/>
      <c r="N40" s="162"/>
      <c r="O40" s="162"/>
      <c r="P40" s="162">
        <f t="shared" si="19"/>
        <v>3.4615384615384617</v>
      </c>
      <c r="Q40" s="162">
        <f t="shared" si="20"/>
        <v>4.5</v>
      </c>
      <c r="R40" s="167">
        <f t="shared" si="21"/>
        <v>1.0384615384615383</v>
      </c>
      <c r="S40" s="137">
        <f t="shared" si="22"/>
        <v>10</v>
      </c>
      <c r="T40" s="137">
        <f t="shared" si="23"/>
        <v>10</v>
      </c>
      <c r="U40" s="137"/>
      <c r="V40" s="137"/>
    </row>
    <row r="41" spans="8:22" x14ac:dyDescent="0.35">
      <c r="H41" s="164">
        <v>44318</v>
      </c>
      <c r="I41" s="137">
        <v>780</v>
      </c>
      <c r="J41" s="150">
        <f t="shared" si="3"/>
        <v>9</v>
      </c>
      <c r="K41" s="137"/>
      <c r="L41" s="166"/>
      <c r="M41" s="162"/>
      <c r="N41" s="162"/>
      <c r="O41" s="162"/>
      <c r="P41" s="162">
        <f t="shared" si="19"/>
        <v>3.1153846153846154</v>
      </c>
      <c r="Q41" s="162">
        <f t="shared" si="20"/>
        <v>4.5</v>
      </c>
      <c r="R41" s="167">
        <f t="shared" si="21"/>
        <v>1.3846153846153846</v>
      </c>
      <c r="S41" s="137">
        <f t="shared" si="22"/>
        <v>9</v>
      </c>
      <c r="T41" s="137">
        <f t="shared" si="23"/>
        <v>9</v>
      </c>
      <c r="U41" s="137"/>
      <c r="V41" s="137"/>
    </row>
    <row r="42" spans="8:22" x14ac:dyDescent="0.35">
      <c r="H42" s="164">
        <v>44325</v>
      </c>
      <c r="I42" s="137">
        <v>782</v>
      </c>
      <c r="J42" s="150">
        <f t="shared" si="3"/>
        <v>2</v>
      </c>
      <c r="K42" s="137"/>
      <c r="L42" s="166"/>
      <c r="M42" s="162"/>
      <c r="N42" s="162"/>
      <c r="O42" s="162"/>
      <c r="P42" s="162">
        <f t="shared" si="19"/>
        <v>0.61538461538461542</v>
      </c>
      <c r="Q42" s="162">
        <f t="shared" si="20"/>
        <v>1</v>
      </c>
      <c r="R42" s="167">
        <f t="shared" si="21"/>
        <v>0.38461538461538458</v>
      </c>
      <c r="S42" s="137">
        <f t="shared" si="22"/>
        <v>8</v>
      </c>
      <c r="T42" s="137">
        <f t="shared" si="23"/>
        <v>8</v>
      </c>
      <c r="U42" s="137"/>
      <c r="V42" s="137"/>
    </row>
    <row r="43" spans="8:22" x14ac:dyDescent="0.35">
      <c r="H43" s="164">
        <v>44332</v>
      </c>
      <c r="I43" s="137">
        <v>788</v>
      </c>
      <c r="J43" s="150">
        <f t="shared" si="3"/>
        <v>6</v>
      </c>
      <c r="K43" s="137"/>
      <c r="L43" s="166"/>
      <c r="M43" s="162"/>
      <c r="N43" s="162"/>
      <c r="O43" s="162"/>
      <c r="P43" s="162">
        <f t="shared" si="19"/>
        <v>1.6153846153846154</v>
      </c>
      <c r="Q43" s="162">
        <f t="shared" si="20"/>
        <v>3</v>
      </c>
      <c r="R43" s="167">
        <f t="shared" si="21"/>
        <v>1.3846153846153846</v>
      </c>
      <c r="S43" s="137">
        <f t="shared" si="22"/>
        <v>7</v>
      </c>
      <c r="T43" s="137">
        <f t="shared" si="23"/>
        <v>7</v>
      </c>
      <c r="U43" s="137"/>
      <c r="V43" s="137"/>
    </row>
    <row r="44" spans="8:22" x14ac:dyDescent="0.35">
      <c r="H44" s="164">
        <v>44339</v>
      </c>
      <c r="I44" s="137">
        <v>796</v>
      </c>
      <c r="J44" s="150">
        <f t="shared" si="3"/>
        <v>8</v>
      </c>
      <c r="K44" s="137"/>
      <c r="L44" s="166"/>
      <c r="M44" s="162"/>
      <c r="N44" s="162"/>
      <c r="O44" s="162"/>
      <c r="P44" s="162">
        <f t="shared" si="19"/>
        <v>1.8461538461538463</v>
      </c>
      <c r="Q44" s="162">
        <f t="shared" si="20"/>
        <v>4</v>
      </c>
      <c r="R44" s="167">
        <f t="shared" si="21"/>
        <v>2.1538461538461537</v>
      </c>
      <c r="S44" s="137">
        <f t="shared" si="22"/>
        <v>6</v>
      </c>
      <c r="T44" s="137">
        <f t="shared" si="23"/>
        <v>6</v>
      </c>
      <c r="U44" s="137"/>
      <c r="V44" s="137"/>
    </row>
    <row r="45" spans="8:22" x14ac:dyDescent="0.35">
      <c r="H45" s="165">
        <v>44347</v>
      </c>
      <c r="I45" s="153">
        <v>800</v>
      </c>
      <c r="J45" s="157">
        <f t="shared" si="3"/>
        <v>4</v>
      </c>
      <c r="K45" s="137"/>
      <c r="L45" s="166"/>
      <c r="M45" s="162"/>
      <c r="N45" s="162"/>
      <c r="O45" s="162"/>
      <c r="P45" s="162">
        <f t="shared" si="19"/>
        <v>0.76923076923076927</v>
      </c>
      <c r="Q45" s="162">
        <f t="shared" si="20"/>
        <v>2</v>
      </c>
      <c r="R45" s="167">
        <f t="shared" si="21"/>
        <v>1.2307692307692308</v>
      </c>
      <c r="S45" s="137">
        <f t="shared" si="22"/>
        <v>5</v>
      </c>
      <c r="T45" s="137">
        <f t="shared" si="23"/>
        <v>5</v>
      </c>
      <c r="U45" s="137"/>
      <c r="V45" s="137"/>
    </row>
    <row r="46" spans="8:22" x14ac:dyDescent="0.35">
      <c r="H46" s="137"/>
      <c r="I46" s="137"/>
      <c r="J46" s="137"/>
      <c r="K46" s="137"/>
      <c r="L46" s="166">
        <f>SUM(L11:L45)</f>
        <v>184.80769230769229</v>
      </c>
      <c r="M46" s="162">
        <f t="shared" ref="M46:R46" si="24">SUM(M11:M45)</f>
        <v>261.42307692307696</v>
      </c>
      <c r="N46" s="162">
        <f t="shared" si="24"/>
        <v>77.692307692307693</v>
      </c>
      <c r="O46" s="162">
        <f t="shared" si="24"/>
        <v>53.384615384615394</v>
      </c>
      <c r="P46" s="162">
        <f t="shared" si="24"/>
        <v>129.03846153846155</v>
      </c>
      <c r="Q46" s="162">
        <f t="shared" si="24"/>
        <v>85.192307692307693</v>
      </c>
      <c r="R46" s="167">
        <f t="shared" si="24"/>
        <v>8.4615384615384599</v>
      </c>
      <c r="S46" s="137"/>
      <c r="T46" s="137"/>
      <c r="U46" s="137"/>
      <c r="V46" s="137"/>
    </row>
    <row r="47" spans="8:22" x14ac:dyDescent="0.35">
      <c r="H47" s="137"/>
      <c r="I47" s="137"/>
      <c r="J47" s="137"/>
      <c r="K47" s="137"/>
      <c r="L47" s="168">
        <f>L46*4</f>
        <v>739.23076923076917</v>
      </c>
      <c r="M47" s="169">
        <f t="shared" ref="M47:R47" si="25">M46*4</f>
        <v>1045.6923076923078</v>
      </c>
      <c r="N47" s="169">
        <f t="shared" si="25"/>
        <v>310.76923076923077</v>
      </c>
      <c r="O47" s="169">
        <f t="shared" si="25"/>
        <v>213.53846153846158</v>
      </c>
      <c r="P47" s="169">
        <f t="shared" si="25"/>
        <v>516.15384615384619</v>
      </c>
      <c r="Q47" s="169">
        <f t="shared" si="25"/>
        <v>340.76923076923077</v>
      </c>
      <c r="R47" s="171">
        <f t="shared" si="25"/>
        <v>33.84615384615384</v>
      </c>
      <c r="S47" s="137" t="s">
        <v>371</v>
      </c>
      <c r="T47" s="137"/>
      <c r="U47" s="137"/>
      <c r="V47" s="137"/>
    </row>
    <row r="48" spans="8:22" x14ac:dyDescent="0.35">
      <c r="J48" s="151" t="s">
        <v>372</v>
      </c>
      <c r="L48" s="151">
        <v>634</v>
      </c>
      <c r="M48" s="192">
        <f>K55</f>
        <v>900.7</v>
      </c>
      <c r="N48" s="192">
        <f t="shared" ref="N48:P48" si="26">L55</f>
        <v>270.7</v>
      </c>
      <c r="O48" s="192">
        <f t="shared" si="26"/>
        <v>208.7</v>
      </c>
      <c r="P48" s="192">
        <f t="shared" si="26"/>
        <v>469.7</v>
      </c>
      <c r="Q48" s="192">
        <v>279</v>
      </c>
      <c r="R48" s="192"/>
    </row>
    <row r="50" spans="8:29" x14ac:dyDescent="0.35">
      <c r="H50" s="1116" t="s">
        <v>373</v>
      </c>
      <c r="I50" s="1117"/>
      <c r="J50" s="1123" t="s">
        <v>325</v>
      </c>
      <c r="K50" s="1124"/>
      <c r="L50" s="1124"/>
      <c r="M50" s="1125"/>
      <c r="N50" s="1125"/>
      <c r="O50" s="1125"/>
      <c r="P50" s="1126"/>
      <c r="Q50" s="176"/>
      <c r="R50" s="176"/>
      <c r="S50" s="176"/>
      <c r="T50" s="176"/>
      <c r="U50" s="176"/>
      <c r="V50" s="176"/>
      <c r="W50" s="176"/>
      <c r="X50" s="176"/>
      <c r="Y50" s="176"/>
    </row>
    <row r="51" spans="8:29" x14ac:dyDescent="0.35">
      <c r="H51" s="1118"/>
      <c r="I51" s="1119"/>
      <c r="J51" s="1114">
        <v>2020</v>
      </c>
      <c r="K51" s="1115"/>
      <c r="L51" s="1115"/>
      <c r="M51" s="1114">
        <v>2021</v>
      </c>
      <c r="N51" s="1115"/>
      <c r="O51" s="1115"/>
      <c r="P51" s="1122"/>
      <c r="Q51" s="1111"/>
      <c r="R51" s="1111"/>
      <c r="S51" s="1111"/>
      <c r="T51" s="1111"/>
      <c r="U51" s="1111"/>
      <c r="V51" s="1111"/>
      <c r="W51" s="1111"/>
      <c r="X51" s="1111"/>
    </row>
    <row r="52" spans="8:29" x14ac:dyDescent="0.35">
      <c r="H52" s="1120"/>
      <c r="I52" s="1121"/>
      <c r="J52" s="149" t="s">
        <v>329</v>
      </c>
      <c r="K52" s="148" t="s">
        <v>238</v>
      </c>
      <c r="L52" s="148" t="s">
        <v>327</v>
      </c>
      <c r="M52" s="170" t="s">
        <v>328</v>
      </c>
      <c r="N52" s="172" t="s">
        <v>329</v>
      </c>
      <c r="O52" s="172" t="s">
        <v>238</v>
      </c>
      <c r="P52" s="152" t="s">
        <v>327</v>
      </c>
      <c r="Q52" s="137"/>
      <c r="S52" s="151"/>
      <c r="T52" s="151"/>
      <c r="U52" s="137"/>
      <c r="V52" s="151"/>
      <c r="W52" s="151"/>
      <c r="X52" s="151"/>
      <c r="Y52" s="151"/>
      <c r="Z52" s="151"/>
      <c r="AA52" s="151"/>
    </row>
    <row r="53" spans="8:29" ht="32.75" customHeight="1" x14ac:dyDescent="0.35">
      <c r="H53" s="182" t="s">
        <v>374</v>
      </c>
      <c r="I53" s="137" t="s">
        <v>375</v>
      </c>
      <c r="J53" s="187">
        <f>'Haver Pivoted'!GU47</f>
        <v>57.2</v>
      </c>
      <c r="K53" s="188">
        <f>'Haver Pivoted'!GV47</f>
        <v>81.2</v>
      </c>
      <c r="L53" s="188">
        <f>'Haver Pivoted'!GW47</f>
        <v>24.4</v>
      </c>
      <c r="M53" s="154">
        <f>'Haver Pivoted'!GX47</f>
        <v>11.7</v>
      </c>
      <c r="N53" s="154">
        <f>'Haver Pivoted'!GY47</f>
        <v>28.5</v>
      </c>
      <c r="O53" s="147">
        <f>'Haver Pivoted'!GZ47</f>
        <v>18.8</v>
      </c>
      <c r="P53" s="147">
        <f>'Haver Pivoted'!HA47</f>
        <v>1.6</v>
      </c>
      <c r="Q53" s="154"/>
      <c r="S53" s="151"/>
      <c r="T53" s="151"/>
      <c r="U53" s="151"/>
      <c r="V53" s="151"/>
      <c r="W53" s="151"/>
      <c r="X53" s="151"/>
      <c r="Y53" s="151"/>
      <c r="Z53" s="151"/>
      <c r="AA53" s="151"/>
    </row>
    <row r="54" spans="8:29" ht="33.75" customHeight="1" x14ac:dyDescent="0.35">
      <c r="H54" s="182" t="s">
        <v>376</v>
      </c>
      <c r="I54" s="144" t="s">
        <v>377</v>
      </c>
      <c r="J54" s="159">
        <f>'Haver Pivoted'!GU49</f>
        <v>576.9</v>
      </c>
      <c r="K54" s="154">
        <f>'Haver Pivoted'!GV49</f>
        <v>819.5</v>
      </c>
      <c r="L54" s="154">
        <f>'Haver Pivoted'!GW49</f>
        <v>246.3</v>
      </c>
      <c r="M54" s="154">
        <f>'Haver Pivoted'!GX49</f>
        <v>197</v>
      </c>
      <c r="N54" s="154">
        <f>'Haver Pivoted'!GY49</f>
        <v>441.2</v>
      </c>
      <c r="O54" s="147">
        <f>'Haver Pivoted'!GZ49</f>
        <v>276.7</v>
      </c>
      <c r="P54" s="147">
        <f>'Haver Pivoted'!HA49</f>
        <v>28.2</v>
      </c>
      <c r="Q54" s="154"/>
      <c r="R54" s="154"/>
    </row>
    <row r="55" spans="8:29" x14ac:dyDescent="0.35">
      <c r="H55" s="174" t="s">
        <v>360</v>
      </c>
      <c r="I55" s="137"/>
      <c r="J55" s="159">
        <f>J54+J53</f>
        <v>634.1</v>
      </c>
      <c r="K55" s="154">
        <f t="shared" ref="K55:M55" si="27">K54+K53</f>
        <v>900.7</v>
      </c>
      <c r="L55" s="154">
        <f t="shared" si="27"/>
        <v>270.7</v>
      </c>
      <c r="M55" s="154">
        <f t="shared" si="27"/>
        <v>208.7</v>
      </c>
      <c r="N55" s="154">
        <f t="shared" ref="N55:P55" si="28">N54+N53</f>
        <v>469.7</v>
      </c>
      <c r="O55" s="147">
        <f t="shared" si="28"/>
        <v>295.5</v>
      </c>
      <c r="P55" s="147">
        <f t="shared" si="28"/>
        <v>29.8</v>
      </c>
      <c r="Q55" s="154"/>
      <c r="R55" s="154"/>
    </row>
    <row r="56" spans="8:29" x14ac:dyDescent="0.35">
      <c r="H56" s="145" t="s">
        <v>378</v>
      </c>
      <c r="I56" s="153"/>
      <c r="J56" s="178">
        <f t="shared" ref="J56:P56" si="29">J53/J55</f>
        <v>9.0206592020186091E-2</v>
      </c>
      <c r="K56" s="179">
        <f t="shared" si="29"/>
        <v>9.015210391917397E-2</v>
      </c>
      <c r="L56" s="179">
        <f t="shared" si="29"/>
        <v>9.0136682674547469E-2</v>
      </c>
      <c r="M56" s="179">
        <f t="shared" si="29"/>
        <v>5.6061332055582176E-2</v>
      </c>
      <c r="N56" s="179">
        <f t="shared" si="29"/>
        <v>6.0677027890142649E-2</v>
      </c>
      <c r="O56" s="180">
        <f t="shared" si="29"/>
        <v>6.3620981387478848E-2</v>
      </c>
      <c r="P56" s="180">
        <f t="shared" si="29"/>
        <v>5.3691275167785234E-2</v>
      </c>
      <c r="Q56" s="160"/>
      <c r="R56" s="161"/>
    </row>
    <row r="58" spans="8:29" x14ac:dyDescent="0.35">
      <c r="H58" s="151" t="s">
        <v>886</v>
      </c>
    </row>
    <row r="59" spans="8:29" x14ac:dyDescent="0.35">
      <c r="H59" s="173"/>
      <c r="I59" s="137"/>
      <c r="J59" s="154"/>
      <c r="K59" s="154"/>
      <c r="L59" s="154"/>
      <c r="M59" s="154"/>
      <c r="N59" s="154"/>
      <c r="O59" s="154"/>
      <c r="P59" s="155"/>
      <c r="Q59" s="154"/>
      <c r="R59" s="154"/>
      <c r="S59" s="154"/>
      <c r="T59" s="151"/>
      <c r="U59" s="151"/>
      <c r="V59" s="151"/>
      <c r="W59" s="151"/>
      <c r="X59" s="151"/>
      <c r="Y59" s="151"/>
      <c r="Z59" s="151"/>
      <c r="AA59" s="151"/>
      <c r="AB59" s="151"/>
      <c r="AC59" s="151"/>
    </row>
    <row r="60" spans="8:29" x14ac:dyDescent="0.35">
      <c r="P60" s="154"/>
      <c r="Q60" s="151"/>
      <c r="R60" s="151"/>
      <c r="S60" s="151"/>
      <c r="T60" s="151"/>
      <c r="U60" s="151"/>
      <c r="V60" s="151"/>
      <c r="W60" s="151"/>
      <c r="X60" s="151"/>
      <c r="Y60" s="151"/>
      <c r="Z60" s="151"/>
      <c r="AA60" s="151"/>
      <c r="AB60" s="151"/>
      <c r="AC60" s="151"/>
    </row>
    <row r="61" spans="8:29" x14ac:dyDescent="0.35">
      <c r="P61" s="154"/>
      <c r="Q61" s="156"/>
      <c r="R61" s="156"/>
      <c r="S61" s="156"/>
      <c r="T61" s="156"/>
      <c r="U61" s="156"/>
      <c r="V61" s="156"/>
      <c r="W61" s="156"/>
      <c r="X61" s="156"/>
      <c r="Y61" s="156"/>
      <c r="Z61" s="156"/>
      <c r="AA61" s="156"/>
      <c r="AB61" s="156"/>
      <c r="AC61" s="151"/>
    </row>
    <row r="62" spans="8:29" x14ac:dyDescent="0.35">
      <c r="P62" s="154"/>
      <c r="Q62" s="156"/>
      <c r="R62" s="156"/>
      <c r="S62" s="156"/>
      <c r="T62" s="156"/>
      <c r="U62" s="156"/>
      <c r="V62" s="156"/>
      <c r="W62" s="156"/>
      <c r="X62" s="156"/>
      <c r="Y62" s="156"/>
      <c r="Z62" s="156"/>
      <c r="AA62" s="156"/>
      <c r="AB62" s="156"/>
      <c r="AC62" s="151"/>
    </row>
    <row r="63" spans="8:29" x14ac:dyDescent="0.35">
      <c r="I63" s="151" t="s">
        <v>328</v>
      </c>
      <c r="J63" s="151" t="s">
        <v>329</v>
      </c>
      <c r="K63" s="151" t="s">
        <v>238</v>
      </c>
      <c r="L63" s="151" t="s">
        <v>327</v>
      </c>
      <c r="P63" s="161"/>
      <c r="Q63" s="156"/>
      <c r="R63" s="156"/>
      <c r="S63" s="156"/>
      <c r="T63" s="156"/>
      <c r="U63" s="156"/>
      <c r="V63" s="156"/>
      <c r="W63" s="156"/>
      <c r="X63" s="156"/>
      <c r="Y63" s="156"/>
      <c r="Z63" s="156"/>
      <c r="AA63" s="156"/>
      <c r="AB63" s="156"/>
      <c r="AC63" s="151"/>
    </row>
    <row r="64" spans="8:29" x14ac:dyDescent="0.35">
      <c r="H64" s="151" t="s">
        <v>887</v>
      </c>
      <c r="I64" s="151">
        <v>81.599999999999994</v>
      </c>
      <c r="J64" s="151">
        <v>188.9</v>
      </c>
      <c r="K64" s="151">
        <v>117.2</v>
      </c>
      <c r="L64" s="151" t="e">
        <f>#REF!+#REF!</f>
        <v>#REF!</v>
      </c>
      <c r="P64" s="151"/>
      <c r="Q64" s="151"/>
      <c r="R64" s="151"/>
      <c r="S64" s="151"/>
      <c r="T64" s="151"/>
      <c r="U64" s="151"/>
      <c r="V64" s="151"/>
      <c r="W64" s="151"/>
      <c r="X64" s="151"/>
      <c r="Y64" s="151"/>
      <c r="Z64" s="151"/>
      <c r="AA64" s="151"/>
      <c r="AB64" s="151"/>
      <c r="AC64" s="151"/>
    </row>
    <row r="65" spans="7:29" x14ac:dyDescent="0.35">
      <c r="H65" s="151" t="s">
        <v>532</v>
      </c>
      <c r="I65" s="192">
        <f>M53</f>
        <v>11.7</v>
      </c>
      <c r="J65" s="192">
        <f t="shared" ref="J65:K65" si="30">N53</f>
        <v>28.5</v>
      </c>
      <c r="K65" s="192">
        <f t="shared" si="30"/>
        <v>18.8</v>
      </c>
      <c r="L65" s="151" t="e">
        <f>#REF!</f>
        <v>#REF!</v>
      </c>
      <c r="P65" s="151"/>
      <c r="Q65" s="151"/>
      <c r="R65" s="151"/>
      <c r="S65" s="151"/>
      <c r="T65" s="151"/>
      <c r="U65" s="151"/>
      <c r="V65" s="151"/>
      <c r="W65" s="151"/>
      <c r="X65" s="151"/>
      <c r="Y65" s="151"/>
      <c r="Z65" s="151"/>
      <c r="AA65" s="151"/>
      <c r="AB65" s="151"/>
      <c r="AC65" s="151"/>
    </row>
    <row r="66" spans="7:29" x14ac:dyDescent="0.35">
      <c r="H66" s="151" t="s">
        <v>888</v>
      </c>
      <c r="I66" s="192">
        <f>I67-SUM(I64:I65)</f>
        <v>115.39999999999999</v>
      </c>
      <c r="J66" s="192">
        <f t="shared" ref="J66:K66" si="31">J67-SUM(J64:J65)</f>
        <v>252.29999999999998</v>
      </c>
      <c r="K66" s="192">
        <f t="shared" si="31"/>
        <v>159.5</v>
      </c>
      <c r="L66" s="192" t="e">
        <f>1.26*L64</f>
        <v>#REF!</v>
      </c>
      <c r="P66" s="151"/>
      <c r="Q66" s="151"/>
      <c r="R66" s="151"/>
      <c r="S66" s="151"/>
      <c r="T66" s="151"/>
      <c r="U66" s="151"/>
      <c r="V66" s="151"/>
      <c r="W66" s="151"/>
      <c r="X66" s="151"/>
      <c r="Y66" s="151"/>
      <c r="Z66" s="151"/>
      <c r="AA66" s="151"/>
      <c r="AB66" s="151"/>
      <c r="AC66" s="151"/>
    </row>
    <row r="67" spans="7:29" x14ac:dyDescent="0.35">
      <c r="H67" s="151" t="s">
        <v>360</v>
      </c>
      <c r="I67" s="192">
        <f>M55</f>
        <v>208.7</v>
      </c>
      <c r="J67" s="192">
        <f>N55</f>
        <v>469.7</v>
      </c>
      <c r="K67" s="192">
        <f>O55</f>
        <v>295.5</v>
      </c>
      <c r="L67" s="192" t="e">
        <f>SUM(L64:L66)</f>
        <v>#REF!</v>
      </c>
    </row>
    <row r="68" spans="7:29" x14ac:dyDescent="0.35">
      <c r="G68" s="151" t="s">
        <v>889</v>
      </c>
    </row>
    <row r="69" spans="7:29" x14ac:dyDescent="0.35">
      <c r="H69" s="151" t="s">
        <v>887</v>
      </c>
      <c r="I69" s="175">
        <f>I64/I$67</f>
        <v>0.39099185433636796</v>
      </c>
      <c r="J69" s="175">
        <f t="shared" ref="J69:L69" si="32">J64/J$67</f>
        <v>0.40217159889291038</v>
      </c>
      <c r="K69" s="175">
        <f t="shared" si="32"/>
        <v>0.3966159052453469</v>
      </c>
      <c r="L69" s="175" t="e">
        <f t="shared" si="32"/>
        <v>#REF!</v>
      </c>
    </row>
    <row r="70" spans="7:29" x14ac:dyDescent="0.35">
      <c r="H70" s="151" t="s">
        <v>532</v>
      </c>
      <c r="I70" s="175">
        <f t="shared" ref="I70:L71" si="33">I65/I$67</f>
        <v>5.6061332055582176E-2</v>
      </c>
      <c r="J70" s="175">
        <f t="shared" si="33"/>
        <v>6.0677027890142649E-2</v>
      </c>
      <c r="K70" s="175">
        <f t="shared" si="33"/>
        <v>6.3620981387478848E-2</v>
      </c>
      <c r="L70" s="175" t="e">
        <f t="shared" si="33"/>
        <v>#REF!</v>
      </c>
    </row>
    <row r="71" spans="7:29" x14ac:dyDescent="0.35">
      <c r="H71" s="151" t="s">
        <v>888</v>
      </c>
      <c r="I71" s="175">
        <f t="shared" si="33"/>
        <v>0.55294681360804987</v>
      </c>
      <c r="J71" s="175">
        <f t="shared" si="33"/>
        <v>0.53715137321694695</v>
      </c>
      <c r="K71" s="175">
        <f t="shared" si="33"/>
        <v>0.53976311336717431</v>
      </c>
      <c r="L71" s="175" t="e">
        <f t="shared" si="33"/>
        <v>#REF!</v>
      </c>
    </row>
    <row r="73" spans="7:29" x14ac:dyDescent="0.35">
      <c r="H73" s="151" t="s">
        <v>890</v>
      </c>
      <c r="I73" s="151">
        <f>I66/I64</f>
        <v>1.4142156862745099</v>
      </c>
      <c r="J73" s="151">
        <f t="shared" ref="J73:K73" si="34">J66/J64</f>
        <v>1.3356273160402328</v>
      </c>
      <c r="K73" s="15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zoomScale="110" zoomScaleNormal="110" workbookViewId="0">
      <selection activeCell="E19" sqref="E19"/>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087" t="s">
        <v>152</v>
      </c>
      <c r="C1" s="1087"/>
      <c r="D1" s="1087"/>
      <c r="E1" s="1087"/>
      <c r="F1" s="1087"/>
      <c r="G1" s="1087"/>
      <c r="H1" s="1087"/>
      <c r="I1" s="1087"/>
      <c r="J1" s="1087"/>
      <c r="K1" s="1087"/>
      <c r="L1" s="1087"/>
      <c r="M1" s="1087"/>
      <c r="N1" s="1087"/>
      <c r="O1" s="1087"/>
      <c r="P1" s="1087"/>
      <c r="Q1" s="1087"/>
      <c r="R1" s="1087"/>
      <c r="S1" s="1087"/>
      <c r="T1" s="1087"/>
    </row>
    <row r="2" spans="1:22" x14ac:dyDescent="0.35">
      <c r="B2" s="1127" t="s">
        <v>930</v>
      </c>
      <c r="C2" s="1127"/>
      <c r="D2" s="1127"/>
      <c r="E2" s="1127"/>
      <c r="F2" s="1127"/>
      <c r="G2" s="1127"/>
      <c r="H2" s="1127"/>
      <c r="I2" s="1127"/>
      <c r="J2" s="1127"/>
      <c r="K2" s="1127"/>
      <c r="L2" s="1127"/>
      <c r="M2" s="1127"/>
      <c r="N2" s="1127"/>
      <c r="O2" s="1127"/>
      <c r="P2" s="1127"/>
      <c r="Q2" s="1127"/>
      <c r="R2" s="1127"/>
      <c r="S2" s="1127"/>
      <c r="T2" s="1127"/>
    </row>
    <row r="3" spans="1:22" x14ac:dyDescent="0.35">
      <c r="B3" s="1127"/>
      <c r="C3" s="1127"/>
      <c r="D3" s="1127"/>
      <c r="E3" s="1127"/>
      <c r="F3" s="1127"/>
      <c r="G3" s="1127"/>
      <c r="H3" s="1127"/>
      <c r="I3" s="1127"/>
      <c r="J3" s="1127"/>
      <c r="K3" s="1127"/>
      <c r="L3" s="1127"/>
      <c r="M3" s="1127"/>
      <c r="N3" s="1127"/>
      <c r="O3" s="1127"/>
      <c r="P3" s="1127"/>
      <c r="Q3" s="1127"/>
      <c r="R3" s="1127"/>
      <c r="S3" s="1127"/>
      <c r="T3" s="1127"/>
    </row>
    <row r="4" spans="1:22" x14ac:dyDescent="0.35">
      <c r="B4" s="1127"/>
      <c r="C4" s="1127"/>
      <c r="D4" s="1127"/>
      <c r="E4" s="1127"/>
      <c r="F4" s="1127"/>
      <c r="G4" s="1127"/>
      <c r="H4" s="1127"/>
      <c r="I4" s="1127"/>
      <c r="J4" s="1127"/>
      <c r="K4" s="1127"/>
      <c r="L4" s="1127"/>
      <c r="M4" s="1127"/>
      <c r="N4" s="1127"/>
      <c r="O4" s="1127"/>
      <c r="P4" s="1127"/>
      <c r="Q4" s="1127"/>
      <c r="R4" s="1127"/>
      <c r="S4" s="1127"/>
      <c r="T4" s="1127"/>
    </row>
    <row r="5" spans="1:22" x14ac:dyDescent="0.35">
      <c r="B5" s="1127"/>
      <c r="C5" s="1127"/>
      <c r="D5" s="1127"/>
      <c r="E5" s="1127"/>
      <c r="F5" s="1127"/>
      <c r="G5" s="1127"/>
      <c r="H5" s="1127"/>
      <c r="I5" s="1127"/>
      <c r="J5" s="1127"/>
      <c r="K5" s="1127"/>
      <c r="L5" s="1127"/>
      <c r="M5" s="1127"/>
      <c r="N5" s="1127"/>
      <c r="O5" s="1127"/>
      <c r="P5" s="1127"/>
      <c r="Q5" s="1127"/>
      <c r="R5" s="1127"/>
      <c r="S5" s="1127"/>
      <c r="T5" s="1127"/>
    </row>
    <row r="6" spans="1:22" x14ac:dyDescent="0.35">
      <c r="B6" s="1127"/>
      <c r="C6" s="1127"/>
      <c r="D6" s="1127"/>
      <c r="E6" s="1127"/>
      <c r="F6" s="1127"/>
      <c r="G6" s="1127"/>
      <c r="H6" s="1127"/>
      <c r="I6" s="1127"/>
      <c r="J6" s="1127"/>
      <c r="K6" s="1127"/>
      <c r="L6" s="1127"/>
      <c r="M6" s="1127"/>
      <c r="N6" s="1127"/>
      <c r="O6" s="1127"/>
      <c r="P6" s="1127"/>
      <c r="Q6" s="1127"/>
      <c r="R6" s="1127"/>
      <c r="S6" s="1127"/>
      <c r="T6" s="1127"/>
    </row>
    <row r="7" spans="1:22" x14ac:dyDescent="0.35">
      <c r="J7" s="136"/>
      <c r="K7" s="136"/>
      <c r="M7" s="136"/>
    </row>
    <row r="9" spans="1:22" ht="14.75" customHeight="1" x14ac:dyDescent="0.35">
      <c r="A9" s="122"/>
      <c r="B9" s="1128" t="s">
        <v>352</v>
      </c>
      <c r="C9" s="1129"/>
      <c r="D9" s="205">
        <v>2018</v>
      </c>
      <c r="E9" s="1134">
        <v>2019</v>
      </c>
      <c r="F9" s="1135"/>
      <c r="G9" s="1135"/>
      <c r="H9" s="1136"/>
      <c r="I9" s="1132">
        <v>2020</v>
      </c>
      <c r="J9" s="1133"/>
      <c r="K9" s="1133"/>
      <c r="L9" s="1133"/>
      <c r="M9" s="1137">
        <v>2021</v>
      </c>
      <c r="N9" s="1138"/>
      <c r="O9" s="1138"/>
      <c r="P9" s="1139"/>
      <c r="Q9" s="1265">
        <v>2022</v>
      </c>
      <c r="R9" s="1266"/>
      <c r="S9" s="1266"/>
      <c r="T9" s="1267"/>
    </row>
    <row r="10" spans="1:22" x14ac:dyDescent="0.35">
      <c r="B10" s="1130"/>
      <c r="C10" s="1131"/>
      <c r="D10" s="209" t="s">
        <v>327</v>
      </c>
      <c r="E10" s="210" t="s">
        <v>328</v>
      </c>
      <c r="F10" s="199" t="s">
        <v>329</v>
      </c>
      <c r="G10" s="199" t="s">
        <v>238</v>
      </c>
      <c r="H10" s="211" t="s">
        <v>327</v>
      </c>
      <c r="I10" s="210" t="s">
        <v>328</v>
      </c>
      <c r="J10" s="199" t="s">
        <v>329</v>
      </c>
      <c r="K10" s="199" t="s">
        <v>238</v>
      </c>
      <c r="L10" s="199" t="s">
        <v>327</v>
      </c>
      <c r="M10" s="149" t="s">
        <v>328</v>
      </c>
      <c r="N10" s="148" t="s">
        <v>329</v>
      </c>
      <c r="O10" s="148" t="s">
        <v>238</v>
      </c>
      <c r="P10" s="198" t="s">
        <v>327</v>
      </c>
      <c r="Q10" s="199" t="s">
        <v>328</v>
      </c>
      <c r="R10" s="199" t="s">
        <v>329</v>
      </c>
      <c r="S10" s="199" t="s">
        <v>238</v>
      </c>
      <c r="T10" s="211" t="s">
        <v>327</v>
      </c>
    </row>
    <row r="11" spans="1:22" ht="29" customHeight="1" x14ac:dyDescent="0.35">
      <c r="A11" s="203"/>
      <c r="B11" s="214" t="s">
        <v>139</v>
      </c>
      <c r="C11" s="208" t="s">
        <v>353</v>
      </c>
      <c r="D11" s="1345"/>
      <c r="E11" s="1346"/>
      <c r="F11" s="1346"/>
      <c r="G11" s="1346"/>
      <c r="H11" s="1346"/>
      <c r="I11" s="1346"/>
      <c r="J11" s="1268">
        <f>'Haver Pivoted'!GU48</f>
        <v>160.9</v>
      </c>
      <c r="K11" s="1268">
        <f>'Haver Pivoted'!GV48</f>
        <v>58.4</v>
      </c>
      <c r="L11" s="1268">
        <f>'Haver Pivoted'!GW48</f>
        <v>34.5</v>
      </c>
      <c r="M11" s="1268">
        <f>'Haver Pivoted'!GX48</f>
        <v>21.4</v>
      </c>
      <c r="N11" s="1268">
        <f>'Haver Pivoted'!GY48</f>
        <v>13.3</v>
      </c>
      <c r="O11" s="1268">
        <f>'Haver Pivoted'!GZ48</f>
        <v>18.7</v>
      </c>
      <c r="P11" s="1268">
        <f>'Haver Pivoted'!HA48</f>
        <v>32.200000000000003</v>
      </c>
      <c r="Q11" s="1268">
        <f>'Haver Pivoted'!HB48</f>
        <v>26.9</v>
      </c>
      <c r="R11" s="1268">
        <f>'Haver Pivoted'!HC48</f>
        <v>20</v>
      </c>
      <c r="S11" s="1276">
        <f>'Haver Pivoted'!HD48</f>
        <v>8.1</v>
      </c>
      <c r="T11" s="1269">
        <f>'Haver Pivoted'!HE48</f>
        <v>0</v>
      </c>
    </row>
    <row r="12" spans="1:22" ht="29" customHeight="1" x14ac:dyDescent="0.35">
      <c r="A12" s="203"/>
      <c r="B12" s="201" t="s">
        <v>354</v>
      </c>
      <c r="C12" s="196" t="s">
        <v>355</v>
      </c>
      <c r="D12" s="201"/>
      <c r="E12" s="1342"/>
      <c r="F12" s="1342"/>
      <c r="G12" s="1342"/>
      <c r="H12" s="1342"/>
      <c r="I12" s="1342"/>
      <c r="J12" s="1270">
        <f>'Haver Pivoted'!GU58</f>
        <v>64.400000000000006</v>
      </c>
      <c r="K12" s="1270">
        <f>'Haver Pivoted'!GV58</f>
        <v>23.4</v>
      </c>
      <c r="L12" s="1270">
        <f>'Haver Pivoted'!GW58</f>
        <v>13.8</v>
      </c>
      <c r="M12" s="1270">
        <f>'Haver Pivoted'!GX58</f>
        <v>12</v>
      </c>
      <c r="N12" s="1270">
        <f>'Haver Pivoted'!GY58</f>
        <v>7.5</v>
      </c>
      <c r="O12" s="1270">
        <f>'Haver Pivoted'!GZ58</f>
        <v>10.5</v>
      </c>
      <c r="P12" s="1270">
        <f>'Haver Pivoted'!HA58</f>
        <v>18</v>
      </c>
      <c r="Q12" s="1270">
        <f>'Haver Pivoted'!HB58</f>
        <v>15</v>
      </c>
      <c r="R12" s="1270">
        <f>'Haver Pivoted'!HC58</f>
        <v>11.2</v>
      </c>
      <c r="S12" s="1274">
        <f>'Haver Pivoted'!HD58</f>
        <v>7.5</v>
      </c>
      <c r="T12" s="193">
        <f>'Haver Pivoted'!HE58</f>
        <v>0</v>
      </c>
    </row>
    <row r="13" spans="1:22" ht="47" customHeight="1" x14ac:dyDescent="0.35">
      <c r="A13" s="203"/>
      <c r="B13" s="201" t="s">
        <v>356</v>
      </c>
      <c r="C13" s="196" t="s">
        <v>357</v>
      </c>
      <c r="D13" s="201"/>
      <c r="E13" s="1342"/>
      <c r="F13" s="1342"/>
      <c r="G13" s="1342"/>
      <c r="H13" s="1342"/>
      <c r="I13" s="1342"/>
      <c r="J13" s="1270">
        <f>'Haver Pivoted'!GU54</f>
        <v>96.6</v>
      </c>
      <c r="K13" s="1270">
        <f>'Haver Pivoted'!GV54</f>
        <v>35.1</v>
      </c>
      <c r="L13" s="1270">
        <f>'Haver Pivoted'!GW54</f>
        <v>20.7</v>
      </c>
      <c r="M13" s="1270">
        <f>'Haver Pivoted'!GX54</f>
        <v>15.4</v>
      </c>
      <c r="N13" s="1270">
        <f>'Haver Pivoted'!GY54</f>
        <v>9.6</v>
      </c>
      <c r="O13" s="1270">
        <f>'Haver Pivoted'!GZ54</f>
        <v>13.5</v>
      </c>
      <c r="P13" s="1270">
        <f>'Haver Pivoted'!HA54</f>
        <v>23.2</v>
      </c>
      <c r="Q13" s="1270">
        <f>'Haver Pivoted'!HB54</f>
        <v>19.3</v>
      </c>
      <c r="R13" s="1270">
        <f>'Haver Pivoted'!HC54</f>
        <v>14.4</v>
      </c>
      <c r="S13" s="1274">
        <f>'Haver Pivoted'!HD54</f>
        <v>5.9</v>
      </c>
      <c r="T13" s="193">
        <f>'Haver Pivoted'!HE54</f>
        <v>0</v>
      </c>
      <c r="U13" s="1272" t="s">
        <v>358</v>
      </c>
      <c r="V13" s="206" t="s">
        <v>359</v>
      </c>
    </row>
    <row r="14" spans="1:22" x14ac:dyDescent="0.35">
      <c r="B14" s="55" t="s">
        <v>360</v>
      </c>
      <c r="C14" s="57"/>
      <c r="D14" s="55"/>
      <c r="E14" s="1343"/>
      <c r="F14" s="1343"/>
      <c r="G14" s="1343"/>
      <c r="H14" s="1343"/>
      <c r="I14" s="1343"/>
      <c r="J14" s="1270">
        <f t="shared" ref="J14:T14" si="0">J13+J12+J11</f>
        <v>321.89999999999998</v>
      </c>
      <c r="K14" s="1270">
        <f t="shared" si="0"/>
        <v>116.9</v>
      </c>
      <c r="L14" s="1270">
        <f t="shared" si="0"/>
        <v>69</v>
      </c>
      <c r="M14" s="1270">
        <f t="shared" si="0"/>
        <v>48.8</v>
      </c>
      <c r="N14" s="1270">
        <f t="shared" si="0"/>
        <v>30.400000000000002</v>
      </c>
      <c r="O14" s="1270">
        <f t="shared" si="0"/>
        <v>42.7</v>
      </c>
      <c r="P14" s="1270">
        <f t="shared" si="0"/>
        <v>73.400000000000006</v>
      </c>
      <c r="Q14" s="1270">
        <f t="shared" si="0"/>
        <v>61.199999999999996</v>
      </c>
      <c r="R14" s="1270">
        <f t="shared" si="0"/>
        <v>45.6</v>
      </c>
      <c r="S14" s="1274">
        <f t="shared" si="0"/>
        <v>21.5</v>
      </c>
      <c r="T14" s="193">
        <f t="shared" si="0"/>
        <v>0</v>
      </c>
      <c r="U14" s="1273">
        <v>236</v>
      </c>
      <c r="V14" s="212">
        <f>SUM(J14:S14)/4</f>
        <v>207.85</v>
      </c>
    </row>
    <row r="15" spans="1:22" x14ac:dyDescent="0.35">
      <c r="B15" s="202" t="s">
        <v>361</v>
      </c>
      <c r="C15" s="59"/>
      <c r="D15" s="202"/>
      <c r="E15" s="1344"/>
      <c r="F15" s="1344"/>
      <c r="G15" s="1344"/>
      <c r="H15" s="1344"/>
      <c r="I15" s="1344"/>
      <c r="J15" s="1271">
        <f t="shared" ref="J15:N17" si="1">J11/J$14</f>
        <v>0.49984467225846541</v>
      </c>
      <c r="K15" s="1271">
        <f t="shared" si="1"/>
        <v>0.49957228400342168</v>
      </c>
      <c r="L15" s="1271">
        <f t="shared" si="1"/>
        <v>0.5</v>
      </c>
      <c r="M15" s="1271">
        <f t="shared" si="1"/>
        <v>0.43852459016393441</v>
      </c>
      <c r="N15" s="1271">
        <f t="shared" si="1"/>
        <v>0.4375</v>
      </c>
      <c r="O15" s="1271">
        <f>O11/O$14</f>
        <v>0.43793911007025754</v>
      </c>
      <c r="P15" s="1271">
        <f t="shared" ref="P15:T15" si="2">P11/P$14</f>
        <v>0.43869209809264303</v>
      </c>
      <c r="Q15" s="1271">
        <f t="shared" si="2"/>
        <v>0.43954248366013071</v>
      </c>
      <c r="R15" s="1271">
        <f t="shared" si="2"/>
        <v>0.43859649122807015</v>
      </c>
      <c r="S15" s="1275">
        <f t="shared" si="2"/>
        <v>0.37674418604651161</v>
      </c>
      <c r="T15" s="211" t="e">
        <f t="shared" si="2"/>
        <v>#DIV/0!</v>
      </c>
    </row>
    <row r="16" spans="1:22" x14ac:dyDescent="0.35">
      <c r="B16" s="202" t="s">
        <v>362</v>
      </c>
      <c r="C16" s="59"/>
      <c r="D16" s="202"/>
      <c r="E16" s="1344"/>
      <c r="F16" s="1344"/>
      <c r="G16" s="1344"/>
      <c r="H16" s="1344"/>
      <c r="I16" s="1344"/>
      <c r="J16" s="1271">
        <f t="shared" si="1"/>
        <v>0.20006213109661389</v>
      </c>
      <c r="K16" s="1271">
        <f t="shared" si="1"/>
        <v>0.20017108639863129</v>
      </c>
      <c r="L16" s="1271">
        <f t="shared" si="1"/>
        <v>0.2</v>
      </c>
      <c r="M16" s="1271">
        <f t="shared" si="1"/>
        <v>0.24590163934426232</v>
      </c>
      <c r="N16" s="1271">
        <f t="shared" si="1"/>
        <v>0.24671052631578946</v>
      </c>
      <c r="O16" s="1271">
        <f t="shared" ref="O16:T16" si="3">O12/O$14</f>
        <v>0.24590163934426229</v>
      </c>
      <c r="P16" s="1271">
        <f t="shared" si="3"/>
        <v>0.24523160762942778</v>
      </c>
      <c r="Q16" s="1271">
        <f t="shared" si="3"/>
        <v>0.24509803921568629</v>
      </c>
      <c r="R16" s="1271">
        <f t="shared" si="3"/>
        <v>0.24561403508771928</v>
      </c>
      <c r="S16" s="1275">
        <f t="shared" si="3"/>
        <v>0.34883720930232559</v>
      </c>
      <c r="T16" s="211" t="e">
        <f t="shared" si="3"/>
        <v>#DIV/0!</v>
      </c>
      <c r="U16" s="197"/>
    </row>
    <row r="17" spans="2:21" x14ac:dyDescent="0.35">
      <c r="B17" s="204" t="s">
        <v>363</v>
      </c>
      <c r="C17" s="207"/>
      <c r="D17" s="204"/>
      <c r="E17" s="207"/>
      <c r="F17" s="207"/>
      <c r="G17" s="207"/>
      <c r="H17" s="207"/>
      <c r="I17" s="207"/>
      <c r="J17" s="200">
        <f t="shared" si="1"/>
        <v>0.30009319664492079</v>
      </c>
      <c r="K17" s="200">
        <f t="shared" si="1"/>
        <v>0.30025662959794697</v>
      </c>
      <c r="L17" s="200">
        <f t="shared" si="1"/>
        <v>0.3</v>
      </c>
      <c r="M17" s="200">
        <f t="shared" si="1"/>
        <v>0.3155737704918033</v>
      </c>
      <c r="N17" s="200">
        <f t="shared" si="1"/>
        <v>0.31578947368421051</v>
      </c>
      <c r="O17" s="200">
        <f t="shared" ref="O17:T17" si="4">O13/O$14</f>
        <v>0.31615925058548006</v>
      </c>
      <c r="P17" s="200">
        <f t="shared" si="4"/>
        <v>0.3160762942779291</v>
      </c>
      <c r="Q17" s="200">
        <f t="shared" si="4"/>
        <v>0.31535947712418305</v>
      </c>
      <c r="R17" s="200">
        <f t="shared" si="4"/>
        <v>0.31578947368421051</v>
      </c>
      <c r="S17" s="538">
        <f t="shared" si="4"/>
        <v>0.2744186046511628</v>
      </c>
      <c r="T17" s="194" t="e">
        <f t="shared" si="4"/>
        <v>#DIV/0!</v>
      </c>
    </row>
    <row r="18" spans="2:21" x14ac:dyDescent="0.35">
      <c r="B18" s="59"/>
      <c r="C18" s="59"/>
      <c r="D18" s="59"/>
      <c r="E18" s="59"/>
      <c r="F18" s="59"/>
      <c r="G18" s="59"/>
      <c r="H18" s="59"/>
      <c r="I18" s="59"/>
      <c r="J18" s="122"/>
      <c r="K18" s="122"/>
      <c r="L18" s="122"/>
      <c r="M18" s="122"/>
      <c r="N18" s="122"/>
      <c r="O18" s="122"/>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140" t="s">
        <v>299</v>
      </c>
      <c r="B1" s="1140"/>
      <c r="C1" s="1140"/>
      <c r="D1" s="1140"/>
      <c r="E1" s="1140"/>
      <c r="F1" s="1140"/>
      <c r="G1" s="1140"/>
      <c r="H1" s="1140"/>
      <c r="I1" s="1140"/>
      <c r="J1" s="1140"/>
      <c r="K1" s="1140"/>
      <c r="L1" s="1140"/>
      <c r="M1" s="1140"/>
      <c r="N1" s="1140"/>
      <c r="O1" s="1140"/>
    </row>
    <row r="2" spans="1:45" ht="31.25" customHeight="1" x14ac:dyDescent="0.35">
      <c r="A2" s="215"/>
      <c r="B2" s="215" t="s">
        <v>179</v>
      </c>
      <c r="C2" s="222">
        <v>1</v>
      </c>
      <c r="D2" s="222">
        <f>C2+1</f>
        <v>2</v>
      </c>
      <c r="E2" s="222">
        <f t="shared" ref="E2:N2" si="0">D2+1</f>
        <v>3</v>
      </c>
      <c r="F2" s="222">
        <f t="shared" si="0"/>
        <v>4</v>
      </c>
      <c r="G2" s="222">
        <f t="shared" si="0"/>
        <v>5</v>
      </c>
      <c r="H2" s="222">
        <f t="shared" si="0"/>
        <v>6</v>
      </c>
      <c r="I2" s="222">
        <f t="shared" si="0"/>
        <v>7</v>
      </c>
      <c r="J2" s="222">
        <f t="shared" si="0"/>
        <v>8</v>
      </c>
      <c r="K2" s="222">
        <f t="shared" si="0"/>
        <v>9</v>
      </c>
      <c r="L2" s="222">
        <f t="shared" si="0"/>
        <v>10</v>
      </c>
      <c r="M2" s="222">
        <f t="shared" si="0"/>
        <v>11</v>
      </c>
      <c r="N2" s="222">
        <f t="shared" si="0"/>
        <v>12</v>
      </c>
      <c r="O2" s="220" t="s">
        <v>300</v>
      </c>
    </row>
    <row r="3" spans="1:45" ht="15.65" customHeight="1" x14ac:dyDescent="0.35">
      <c r="A3" s="217" t="s">
        <v>301</v>
      </c>
      <c r="B3" s="217" t="s">
        <v>302</v>
      </c>
      <c r="C3" s="76">
        <v>0.22500000000000001</v>
      </c>
      <c r="D3" s="76">
        <v>0.22500000000000001</v>
      </c>
      <c r="E3" s="76">
        <v>0.22500000000000001</v>
      </c>
      <c r="F3" s="76">
        <v>0.22500000000000001</v>
      </c>
      <c r="G3" s="223">
        <v>0</v>
      </c>
      <c r="H3" s="223">
        <v>0</v>
      </c>
      <c r="I3" s="223">
        <v>0</v>
      </c>
      <c r="J3" s="223">
        <v>0</v>
      </c>
      <c r="K3" s="223">
        <v>0</v>
      </c>
      <c r="L3" s="223">
        <v>0</v>
      </c>
      <c r="M3" s="223">
        <v>0</v>
      </c>
      <c r="N3" s="223">
        <v>0</v>
      </c>
      <c r="O3" s="216"/>
      <c r="P3" s="76"/>
      <c r="Q3" s="76"/>
      <c r="R3" s="76"/>
      <c r="S3" s="76"/>
      <c r="T3" s="223"/>
      <c r="U3" s="223"/>
      <c r="V3" s="223"/>
      <c r="W3" s="223"/>
      <c r="X3" s="223"/>
      <c r="Y3" s="223"/>
      <c r="Z3" s="223"/>
      <c r="AA3" s="223"/>
      <c r="AC3" s="72"/>
      <c r="AD3" s="72"/>
      <c r="AE3" s="72"/>
      <c r="AF3" s="72"/>
      <c r="AG3" s="72"/>
      <c r="AH3" s="72"/>
      <c r="AI3" s="72"/>
      <c r="AJ3" s="72"/>
      <c r="AK3" s="72"/>
      <c r="AL3" s="72"/>
      <c r="AM3" s="72"/>
      <c r="AN3" s="72"/>
      <c r="AO3" s="72"/>
      <c r="AP3" s="72"/>
      <c r="AQ3" s="72"/>
      <c r="AR3" s="72"/>
      <c r="AS3" s="72"/>
    </row>
    <row r="4" spans="1:45" ht="15.65" customHeight="1" x14ac:dyDescent="0.35">
      <c r="A4" s="219" t="s">
        <v>303</v>
      </c>
      <c r="B4" s="21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2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19" t="s">
        <v>305</v>
      </c>
      <c r="B5" s="219" t="s">
        <v>306</v>
      </c>
      <c r="C5" s="76">
        <v>-0.12</v>
      </c>
      <c r="D5" s="76">
        <v>-0.12</v>
      </c>
      <c r="E5" s="76">
        <v>-0.06</v>
      </c>
      <c r="F5" s="76">
        <v>-0.06</v>
      </c>
      <c r="G5" s="76">
        <v>-0.06</v>
      </c>
      <c r="H5" s="76">
        <v>-0.06</v>
      </c>
      <c r="I5" s="76">
        <v>-0.06</v>
      </c>
      <c r="J5" s="76">
        <v>-0.06</v>
      </c>
      <c r="K5" s="76">
        <v>0</v>
      </c>
      <c r="L5" s="76">
        <v>0</v>
      </c>
      <c r="M5" s="76">
        <v>0</v>
      </c>
      <c r="N5" s="76">
        <v>0</v>
      </c>
      <c r="O5" s="22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17" t="s">
        <v>307</v>
      </c>
      <c r="B6" s="21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2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17" t="s">
        <v>308</v>
      </c>
      <c r="B7" s="21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2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17" t="s">
        <v>310</v>
      </c>
      <c r="B8" s="21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2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17" t="s">
        <v>312</v>
      </c>
      <c r="B9" s="21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2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17" t="s">
        <v>314</v>
      </c>
      <c r="B10" s="217" t="s">
        <v>215</v>
      </c>
      <c r="C10" s="76">
        <v>0.14000000000000001</v>
      </c>
      <c r="D10" s="76">
        <v>0.1</v>
      </c>
      <c r="E10" s="76">
        <v>0.1</v>
      </c>
      <c r="F10" s="76">
        <v>0.05</v>
      </c>
      <c r="G10" s="76">
        <v>0.05</v>
      </c>
      <c r="H10" s="76">
        <v>0.05</v>
      </c>
      <c r="I10" s="76">
        <v>0.05</v>
      </c>
      <c r="J10" s="76">
        <v>0.05</v>
      </c>
      <c r="K10" s="76">
        <v>0.05</v>
      </c>
      <c r="L10" s="76">
        <v>0</v>
      </c>
      <c r="M10" s="76">
        <v>0</v>
      </c>
      <c r="N10" s="76">
        <v>0</v>
      </c>
      <c r="O10" s="22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17" t="s">
        <v>315</v>
      </c>
      <c r="B11" s="217" t="s">
        <v>316</v>
      </c>
      <c r="C11" s="76">
        <v>0.2</v>
      </c>
      <c r="D11" s="76">
        <v>0.17</v>
      </c>
      <c r="E11" s="76">
        <v>0.16</v>
      </c>
      <c r="F11" s="76">
        <v>0.15</v>
      </c>
      <c r="G11" s="76">
        <v>0.09</v>
      </c>
      <c r="H11" s="76">
        <v>0.05</v>
      </c>
      <c r="I11" s="76">
        <v>0.05</v>
      </c>
      <c r="J11" s="76">
        <v>0.04</v>
      </c>
      <c r="K11" s="76">
        <v>0</v>
      </c>
      <c r="L11" s="76">
        <v>0</v>
      </c>
      <c r="M11" s="76">
        <v>0</v>
      </c>
      <c r="N11" s="76">
        <v>0</v>
      </c>
      <c r="O11" s="22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 customHeight="1" x14ac:dyDescent="0.35">
      <c r="A12" s="218" t="s">
        <v>317</v>
      </c>
      <c r="B12" s="218" t="s">
        <v>318</v>
      </c>
      <c r="C12" s="76">
        <v>0.2</v>
      </c>
      <c r="D12" s="76">
        <v>0.17</v>
      </c>
      <c r="E12" s="76">
        <v>0.16</v>
      </c>
      <c r="F12" s="76">
        <v>0.15</v>
      </c>
      <c r="G12" s="76">
        <v>0.09</v>
      </c>
      <c r="H12" s="76">
        <v>0.05</v>
      </c>
      <c r="I12" s="76">
        <v>0.05</v>
      </c>
      <c r="J12" s="76">
        <v>0.04</v>
      </c>
      <c r="K12" s="76">
        <v>0</v>
      </c>
      <c r="L12" s="76">
        <v>0</v>
      </c>
      <c r="M12" s="76">
        <v>0</v>
      </c>
      <c r="N12" s="76">
        <v>0</v>
      </c>
      <c r="O12" s="22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5" customHeight="1" x14ac:dyDescent="0.35">
      <c r="A13" s="218" t="s">
        <v>319</v>
      </c>
      <c r="B13" s="218" t="s">
        <v>320</v>
      </c>
      <c r="C13" s="76">
        <v>0.14000000000000001</v>
      </c>
      <c r="D13" s="76">
        <v>0.1</v>
      </c>
      <c r="E13" s="76">
        <v>0.1</v>
      </c>
      <c r="F13" s="76">
        <v>0.05</v>
      </c>
      <c r="G13" s="76">
        <v>0.05</v>
      </c>
      <c r="H13" s="76">
        <v>0.05</v>
      </c>
      <c r="I13" s="76">
        <v>0.05</v>
      </c>
      <c r="J13" s="76">
        <v>0.05</v>
      </c>
      <c r="K13" s="76">
        <v>0.05</v>
      </c>
      <c r="L13" s="76">
        <v>0</v>
      </c>
      <c r="M13" s="76">
        <v>0</v>
      </c>
      <c r="N13" s="76">
        <v>0</v>
      </c>
      <c r="O13" s="22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 customHeight="1" x14ac:dyDescent="0.35">
      <c r="A14" s="218" t="s">
        <v>321</v>
      </c>
      <c r="B14" s="21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2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18"/>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113" t="s">
        <v>53</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30" ht="14.25" customHeight="1" x14ac:dyDescent="0.35">
      <c r="B2" s="1141" t="s">
        <v>323</v>
      </c>
      <c r="C2" s="1141"/>
      <c r="D2" s="1141"/>
      <c r="E2" s="1141"/>
      <c r="F2" s="1141"/>
      <c r="G2" s="1141"/>
      <c r="H2" s="1141"/>
      <c r="I2" s="1141"/>
      <c r="J2" s="1141"/>
      <c r="K2" s="1141"/>
      <c r="L2" s="1141"/>
      <c r="M2" s="1141"/>
      <c r="N2" s="1141"/>
      <c r="O2" s="1141"/>
      <c r="P2" s="1141"/>
      <c r="Q2" s="1141"/>
      <c r="R2" s="1141"/>
      <c r="S2" s="1141"/>
      <c r="T2" s="1141"/>
      <c r="U2" s="1141"/>
      <c r="V2" s="1141"/>
      <c r="W2" s="1141"/>
      <c r="X2" s="1141"/>
      <c r="Y2" s="1141"/>
      <c r="Z2" s="1141"/>
      <c r="AA2" s="1141"/>
      <c r="AB2" s="1141"/>
      <c r="AC2" s="1141"/>
    </row>
    <row r="3" spans="2:30" x14ac:dyDescent="0.35">
      <c r="B3" s="1141"/>
      <c r="C3" s="1141"/>
      <c r="D3" s="1141"/>
      <c r="E3" s="1141"/>
      <c r="F3" s="1141"/>
      <c r="G3" s="1141"/>
      <c r="H3" s="1141"/>
      <c r="I3" s="1141"/>
      <c r="J3" s="1141"/>
      <c r="K3" s="1141"/>
      <c r="L3" s="1141"/>
      <c r="M3" s="1141"/>
      <c r="N3" s="1141"/>
      <c r="O3" s="1141"/>
      <c r="P3" s="1141"/>
      <c r="Q3" s="1141"/>
      <c r="R3" s="1141"/>
      <c r="S3" s="1141"/>
      <c r="T3" s="1141"/>
      <c r="U3" s="1141"/>
      <c r="V3" s="1141"/>
      <c r="W3" s="1141"/>
      <c r="X3" s="1141"/>
      <c r="Y3" s="1141"/>
      <c r="Z3" s="1141"/>
      <c r="AA3" s="1141"/>
      <c r="AB3" s="1141"/>
      <c r="AC3" s="1141"/>
    </row>
    <row r="4" spans="2:30" x14ac:dyDescent="0.35">
      <c r="B4" s="1141"/>
      <c r="C4" s="1141"/>
      <c r="D4" s="1141"/>
      <c r="E4" s="1141"/>
      <c r="F4" s="1141"/>
      <c r="G4" s="1141"/>
      <c r="H4" s="1141"/>
      <c r="I4" s="1141"/>
      <c r="J4" s="1141"/>
      <c r="K4" s="1141"/>
      <c r="L4" s="1141"/>
      <c r="M4" s="1141"/>
      <c r="N4" s="1141"/>
      <c r="O4" s="1141"/>
      <c r="P4" s="1141"/>
      <c r="Q4" s="1141"/>
      <c r="R4" s="1141"/>
      <c r="S4" s="1141"/>
      <c r="T4" s="1141"/>
      <c r="U4" s="1141"/>
      <c r="V4" s="1141"/>
      <c r="W4" s="1141"/>
      <c r="X4" s="1141"/>
      <c r="Y4" s="1141"/>
      <c r="Z4" s="1141"/>
      <c r="AA4" s="1141"/>
      <c r="AB4" s="1141"/>
      <c r="AC4" s="1141"/>
    </row>
    <row r="5" spans="2:30" x14ac:dyDescent="0.35">
      <c r="B5" s="1141"/>
      <c r="C5" s="1141"/>
      <c r="D5" s="1141"/>
      <c r="E5" s="1141"/>
      <c r="F5" s="1141"/>
      <c r="G5" s="1141"/>
      <c r="H5" s="1141"/>
      <c r="I5" s="1141"/>
      <c r="J5" s="1141"/>
      <c r="K5" s="1141"/>
      <c r="L5" s="1141"/>
      <c r="M5" s="1141"/>
      <c r="N5" s="1141"/>
      <c r="O5" s="1141"/>
      <c r="P5" s="1141"/>
      <c r="Q5" s="1141"/>
      <c r="R5" s="1141"/>
      <c r="S5" s="1141"/>
      <c r="T5" s="1141"/>
      <c r="U5" s="1141"/>
      <c r="V5" s="1141"/>
      <c r="W5" s="1141"/>
      <c r="X5" s="1141"/>
      <c r="Y5" s="1141"/>
      <c r="Z5" s="1141"/>
      <c r="AA5" s="1141"/>
      <c r="AB5" s="1141"/>
      <c r="AC5" s="1141"/>
    </row>
    <row r="6" spans="2:30" ht="38.75" customHeight="1" x14ac:dyDescent="0.35">
      <c r="B6" s="1141"/>
      <c r="C6" s="1141"/>
      <c r="D6" s="1141"/>
      <c r="E6" s="1141"/>
      <c r="F6" s="1141"/>
      <c r="G6" s="1141"/>
      <c r="H6" s="1141"/>
      <c r="I6" s="1141"/>
      <c r="J6" s="1141"/>
      <c r="K6" s="1141"/>
      <c r="L6" s="1141"/>
      <c r="M6" s="1141"/>
      <c r="N6" s="1141"/>
      <c r="O6" s="1141"/>
      <c r="P6" s="1141"/>
      <c r="Q6" s="1141"/>
      <c r="R6" s="1141"/>
      <c r="S6" s="1141"/>
      <c r="T6" s="1141"/>
      <c r="U6" s="1141"/>
      <c r="V6" s="1141"/>
      <c r="W6" s="1141"/>
      <c r="X6" s="1141"/>
      <c r="Y6" s="1141"/>
      <c r="Z6" s="1141"/>
      <c r="AA6" s="1141"/>
      <c r="AB6" s="1141"/>
      <c r="AC6" s="1141"/>
    </row>
    <row r="7" spans="2:30" x14ac:dyDescent="0.35">
      <c r="B7" s="248"/>
      <c r="C7" s="248"/>
      <c r="D7" s="248"/>
      <c r="E7" s="248"/>
      <c r="F7" s="248"/>
      <c r="G7" s="248"/>
      <c r="H7" s="249"/>
      <c r="I7" s="249"/>
      <c r="J7" s="249"/>
      <c r="K7" s="249"/>
      <c r="L7" s="249"/>
      <c r="M7" s="249"/>
      <c r="N7" s="249"/>
      <c r="O7" s="249"/>
      <c r="P7" s="249"/>
      <c r="Q7" s="249"/>
      <c r="R7" s="249"/>
      <c r="S7" s="249"/>
      <c r="T7" s="249"/>
      <c r="U7" s="249"/>
      <c r="V7" s="249"/>
      <c r="W7" s="249"/>
      <c r="X7" s="249"/>
      <c r="Y7" s="249"/>
    </row>
    <row r="8" spans="2:30" ht="14.75" customHeight="1" x14ac:dyDescent="0.35">
      <c r="B8" s="1142" t="s">
        <v>324</v>
      </c>
      <c r="C8" s="1126"/>
      <c r="D8" s="1292" t="s">
        <v>325</v>
      </c>
      <c r="E8" s="1293"/>
      <c r="F8" s="1293"/>
      <c r="G8" s="1293"/>
      <c r="H8" s="1293"/>
      <c r="I8" s="1293"/>
      <c r="J8" s="1293"/>
      <c r="K8" s="1293"/>
      <c r="L8" s="1293"/>
      <c r="M8" s="1293"/>
      <c r="N8" s="1293"/>
      <c r="O8" s="1293"/>
      <c r="P8" s="1293"/>
      <c r="Q8" s="1293"/>
      <c r="R8" s="1293"/>
      <c r="S8" s="1293"/>
      <c r="T8" s="1294"/>
      <c r="U8" s="1295" t="s">
        <v>326</v>
      </c>
      <c r="V8" s="1296"/>
      <c r="W8" s="1296"/>
      <c r="X8" s="1296"/>
      <c r="Y8" s="1296"/>
      <c r="Z8" s="1296"/>
      <c r="AA8" s="1296"/>
      <c r="AB8" s="1296"/>
      <c r="AC8" s="1297"/>
    </row>
    <row r="9" spans="2:30" ht="12.75" customHeight="1" x14ac:dyDescent="0.35">
      <c r="B9" s="1143"/>
      <c r="C9" s="1144"/>
      <c r="D9" s="140">
        <v>2018</v>
      </c>
      <c r="E9" s="1114">
        <v>2019</v>
      </c>
      <c r="F9" s="1115"/>
      <c r="G9" s="1115"/>
      <c r="H9" s="1122"/>
      <c r="I9" s="1115">
        <v>2020</v>
      </c>
      <c r="J9" s="1115"/>
      <c r="K9" s="1115"/>
      <c r="L9" s="1115"/>
      <c r="M9" s="1114">
        <v>2021</v>
      </c>
      <c r="N9" s="1115"/>
      <c r="O9" s="1115"/>
      <c r="P9" s="1115"/>
      <c r="Q9" s="1290">
        <v>2022</v>
      </c>
      <c r="R9" s="1100"/>
      <c r="S9" s="1040"/>
      <c r="T9" s="1298"/>
      <c r="U9" s="1277">
        <v>2023</v>
      </c>
      <c r="V9" s="1146"/>
      <c r="W9" s="1146"/>
      <c r="X9" s="1147"/>
      <c r="Y9" s="1145">
        <v>2024</v>
      </c>
      <c r="Z9" s="1146"/>
      <c r="AA9" s="1146"/>
      <c r="AB9" s="1146"/>
      <c r="AC9" s="239">
        <v>2025</v>
      </c>
    </row>
    <row r="10" spans="2:30" ht="14.75" customHeight="1" x14ac:dyDescent="0.35">
      <c r="B10" s="1143"/>
      <c r="C10" s="1144"/>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1" t="s">
        <v>328</v>
      </c>
      <c r="R10" s="1039" t="s">
        <v>329</v>
      </c>
      <c r="S10" s="1039" t="s">
        <v>238</v>
      </c>
      <c r="T10" s="1052" t="s">
        <v>327</v>
      </c>
      <c r="U10" s="255" t="s">
        <v>328</v>
      </c>
      <c r="V10" s="255" t="s">
        <v>329</v>
      </c>
      <c r="W10" s="255" t="s">
        <v>238</v>
      </c>
      <c r="X10" s="256" t="s">
        <v>327</v>
      </c>
      <c r="Y10" s="254" t="s">
        <v>328</v>
      </c>
      <c r="Z10" s="250" t="s">
        <v>329</v>
      </c>
      <c r="AA10" s="255" t="s">
        <v>238</v>
      </c>
      <c r="AB10" s="255" t="s">
        <v>327</v>
      </c>
      <c r="AC10" s="258" t="s">
        <v>328</v>
      </c>
    </row>
    <row r="11" spans="2:30" x14ac:dyDescent="0.35">
      <c r="B11" s="243" t="s">
        <v>102</v>
      </c>
      <c r="C11" s="260" t="s">
        <v>330</v>
      </c>
      <c r="D11" s="1336">
        <f>'Haver Pivoted'!GO14</f>
        <v>27.8</v>
      </c>
      <c r="E11" s="1337">
        <f>'Haver Pivoted'!GP14</f>
        <v>29.4</v>
      </c>
      <c r="F11" s="1337">
        <f>'Haver Pivoted'!GQ14</f>
        <v>26.9</v>
      </c>
      <c r="G11" s="1337">
        <f>'Haver Pivoted'!GR14</f>
        <v>26.4</v>
      </c>
      <c r="H11" s="1337">
        <f>'Haver Pivoted'!GS14</f>
        <v>27.7</v>
      </c>
      <c r="I11" s="1337">
        <f>'Haver Pivoted'!GT14</f>
        <v>40.700000000000003</v>
      </c>
      <c r="J11" s="1337">
        <f>'Haver Pivoted'!GU14</f>
        <v>1007.5</v>
      </c>
      <c r="K11" s="1337">
        <f>'Haver Pivoted'!GV14</f>
        <v>792.9</v>
      </c>
      <c r="L11" s="1337">
        <f>'Haver Pivoted'!GW14</f>
        <v>308.5</v>
      </c>
      <c r="M11" s="1337">
        <f>'Haver Pivoted'!GX14</f>
        <v>556.20000000000005</v>
      </c>
      <c r="N11" s="1337">
        <f>'Haver Pivoted'!GY14</f>
        <v>448.6</v>
      </c>
      <c r="O11" s="1337">
        <f>'Haver Pivoted'!GZ14</f>
        <v>245.1</v>
      </c>
      <c r="P11" s="1337">
        <f>'Haver Pivoted'!HA14</f>
        <v>33.799999999999997</v>
      </c>
      <c r="Q11" s="1337">
        <f>'Haver Pivoted'!HB14</f>
        <v>23.6</v>
      </c>
      <c r="R11" s="1337">
        <f>'Haver Pivoted'!HC14</f>
        <v>18.600000000000001</v>
      </c>
      <c r="S11" s="1050">
        <f>'Haver Pivoted'!HD14</f>
        <v>18.5</v>
      </c>
      <c r="T11" s="1329">
        <f>'Haver Pivoted'!HE14</f>
        <v>0</v>
      </c>
      <c r="U11" s="1278">
        <f t="shared" ref="U11:AC11" si="0">U12+U13+U20</f>
        <v>0</v>
      </c>
      <c r="V11" s="261">
        <f t="shared" si="0"/>
        <v>0</v>
      </c>
      <c r="W11" s="261">
        <f t="shared" si="0"/>
        <v>0</v>
      </c>
      <c r="X11" s="261">
        <f t="shared" si="0"/>
        <v>0</v>
      </c>
      <c r="Y11" s="261">
        <f t="shared" si="0"/>
        <v>0</v>
      </c>
      <c r="Z11" s="261">
        <f t="shared" si="0"/>
        <v>0</v>
      </c>
      <c r="AA11" s="261">
        <f t="shared" si="0"/>
        <v>0</v>
      </c>
      <c r="AB11" s="261">
        <f t="shared" si="0"/>
        <v>0</v>
      </c>
      <c r="AC11" s="237">
        <f t="shared" si="0"/>
        <v>0</v>
      </c>
      <c r="AD11" s="151" t="s">
        <v>331</v>
      </c>
    </row>
    <row r="12" spans="2:30" x14ac:dyDescent="0.35">
      <c r="B12" s="240" t="s">
        <v>332</v>
      </c>
      <c r="C12" s="241" t="s">
        <v>333</v>
      </c>
      <c r="D12" s="264">
        <f>'Haver Pivoted'!GO63</f>
        <v>0</v>
      </c>
      <c r="E12" s="1283">
        <f>'Haver Pivoted'!GP63</f>
        <v>0</v>
      </c>
      <c r="F12" s="1283">
        <f>'Haver Pivoted'!GQ63</f>
        <v>0</v>
      </c>
      <c r="G12" s="1283">
        <f>'Haver Pivoted'!GR63</f>
        <v>0</v>
      </c>
      <c r="H12" s="1283">
        <f>'Haver Pivoted'!GS63</f>
        <v>0</v>
      </c>
      <c r="I12" s="1283">
        <f>'Haver Pivoted'!GT63</f>
        <v>0</v>
      </c>
      <c r="J12" s="1283">
        <f>'Haver Pivoted'!GU63</f>
        <v>0.1</v>
      </c>
      <c r="K12" s="1283">
        <f>'Haver Pivoted'!GV63</f>
        <v>3.7</v>
      </c>
      <c r="L12" s="1283">
        <f>'Haver Pivoted'!GW63</f>
        <v>12.9</v>
      </c>
      <c r="M12" s="1283">
        <f>'Haver Pivoted'!GX63</f>
        <v>25.5</v>
      </c>
      <c r="N12" s="1283">
        <f>'Haver Pivoted'!GY63</f>
        <v>3.8</v>
      </c>
      <c r="O12" s="1283">
        <f>'Haver Pivoted'!GZ63</f>
        <v>1.8</v>
      </c>
      <c r="P12" s="1283">
        <f>'Haver Pivoted'!HA63</f>
        <v>0.6</v>
      </c>
      <c r="Q12" s="1283">
        <f>'Haver Pivoted'!HB63</f>
        <v>0.2</v>
      </c>
      <c r="R12" s="1283">
        <f>'Haver Pivoted'!HC63</f>
        <v>0.1</v>
      </c>
      <c r="S12" s="1039">
        <f>'Haver Pivoted'!HD63</f>
        <v>0</v>
      </c>
      <c r="T12" s="1052">
        <f>'Haver Pivoted'!HE63</f>
        <v>0</v>
      </c>
      <c r="U12" s="230">
        <f t="shared" ref="U12:AB12" si="1">T12*U22/T22</f>
        <v>0</v>
      </c>
      <c r="V12" s="230">
        <f t="shared" si="1"/>
        <v>0</v>
      </c>
      <c r="W12" s="230">
        <f t="shared" si="1"/>
        <v>0</v>
      </c>
      <c r="X12" s="230">
        <f t="shared" si="1"/>
        <v>0</v>
      </c>
      <c r="Y12" s="230">
        <f t="shared" si="1"/>
        <v>0</v>
      </c>
      <c r="Z12" s="230">
        <f t="shared" si="1"/>
        <v>0</v>
      </c>
      <c r="AA12" s="230">
        <f t="shared" si="1"/>
        <v>0</v>
      </c>
      <c r="AB12" s="230">
        <f t="shared" si="1"/>
        <v>0</v>
      </c>
      <c r="AC12" s="234">
        <f>AB12*AC22/AB22</f>
        <v>0</v>
      </c>
    </row>
    <row r="13" spans="2:30" x14ac:dyDescent="0.35">
      <c r="B13" s="240" t="s">
        <v>334</v>
      </c>
      <c r="C13" s="241"/>
      <c r="D13" s="264"/>
      <c r="E13" s="1283"/>
      <c r="F13" s="1283"/>
      <c r="G13" s="1283"/>
      <c r="H13" s="1288">
        <f>SUM(H14:H17)</f>
        <v>0</v>
      </c>
      <c r="I13" s="1288">
        <f t="shared" ref="I13:M13" si="2">SUM(I14:I17)</f>
        <v>0</v>
      </c>
      <c r="J13" s="1288">
        <f t="shared" si="2"/>
        <v>779.7</v>
      </c>
      <c r="K13" s="1288">
        <f t="shared" si="2"/>
        <v>582.6</v>
      </c>
      <c r="L13" s="1288">
        <f t="shared" si="2"/>
        <v>216.5</v>
      </c>
      <c r="M13" s="1288">
        <f t="shared" si="2"/>
        <v>497.6</v>
      </c>
      <c r="N13" s="1284">
        <f>SUM(N14:N17)</f>
        <v>401.5</v>
      </c>
      <c r="O13" s="1284">
        <f t="shared" ref="O13:AC13" si="3">SUM(O14:O17)</f>
        <v>207.4</v>
      </c>
      <c r="P13" s="1284">
        <f t="shared" si="3"/>
        <v>5.5</v>
      </c>
      <c r="Q13" s="1284">
        <v>0</v>
      </c>
      <c r="R13" s="1284">
        <f t="shared" si="3"/>
        <v>1</v>
      </c>
      <c r="S13" s="1299">
        <f t="shared" si="3"/>
        <v>0.5</v>
      </c>
      <c r="T13" s="387">
        <f t="shared" si="3"/>
        <v>0</v>
      </c>
      <c r="U13" s="230">
        <f t="shared" si="3"/>
        <v>0</v>
      </c>
      <c r="V13" s="230">
        <f t="shared" si="3"/>
        <v>0</v>
      </c>
      <c r="W13" s="230">
        <f t="shared" si="3"/>
        <v>0</v>
      </c>
      <c r="X13" s="230">
        <f t="shared" si="3"/>
        <v>0</v>
      </c>
      <c r="Y13" s="230">
        <f t="shared" si="3"/>
        <v>0</v>
      </c>
      <c r="Z13" s="230">
        <f t="shared" si="3"/>
        <v>0</v>
      </c>
      <c r="AA13" s="230">
        <f t="shared" si="3"/>
        <v>0</v>
      </c>
      <c r="AB13" s="230">
        <f t="shared" si="3"/>
        <v>0</v>
      </c>
      <c r="AC13" s="234">
        <f t="shared" si="3"/>
        <v>0</v>
      </c>
    </row>
    <row r="14" spans="2:30" ht="18" customHeight="1" x14ac:dyDescent="0.35">
      <c r="B14" s="242" t="s">
        <v>335</v>
      </c>
      <c r="C14" s="138" t="s">
        <v>333</v>
      </c>
      <c r="D14" s="262">
        <f>'Haver Pivoted'!GO63</f>
        <v>0</v>
      </c>
      <c r="E14" s="1285">
        <f>'Haver Pivoted'!GP63</f>
        <v>0</v>
      </c>
      <c r="F14" s="1285">
        <f>'Haver Pivoted'!GQ63</f>
        <v>0</v>
      </c>
      <c r="G14" s="1285">
        <f>'Haver Pivoted'!GR63</f>
        <v>0</v>
      </c>
      <c r="H14" s="1285">
        <f>'Haver Pivoted'!GS63</f>
        <v>0</v>
      </c>
      <c r="I14" s="1285">
        <f>'Haver Pivoted'!GT63</f>
        <v>0</v>
      </c>
      <c r="J14" s="1285">
        <f>'Haver Pivoted'!GU63</f>
        <v>0.1</v>
      </c>
      <c r="K14" s="1285">
        <f>'Haver Pivoted'!GV63</f>
        <v>3.7</v>
      </c>
      <c r="L14" s="1285">
        <f>'Haver Pivoted'!GW63</f>
        <v>12.9</v>
      </c>
      <c r="M14" s="1285">
        <f>'Haver Pivoted'!GX63</f>
        <v>25.5</v>
      </c>
      <c r="N14" s="1285">
        <f>'Haver Pivoted'!GY63</f>
        <v>3.8</v>
      </c>
      <c r="O14" s="1285">
        <f>'Haver Pivoted'!GZ63</f>
        <v>1.8</v>
      </c>
      <c r="P14" s="1285">
        <f>'Haver Pivoted'!HA63</f>
        <v>0.6</v>
      </c>
      <c r="Q14" s="1285">
        <f>'Haver Pivoted'!HB63</f>
        <v>0.2</v>
      </c>
      <c r="R14" s="1285">
        <f>'Haver Pivoted'!HC63</f>
        <v>0.1</v>
      </c>
      <c r="S14" s="1286">
        <f>'Haver Pivoted'!HD63</f>
        <v>0</v>
      </c>
      <c r="T14" s="228">
        <f>'Haver Pivoted'!HE63</f>
        <v>0</v>
      </c>
      <c r="U14" s="230">
        <f t="shared" ref="T14:X14" si="4">U12</f>
        <v>0</v>
      </c>
      <c r="V14" s="230">
        <f t="shared" si="4"/>
        <v>0</v>
      </c>
      <c r="W14" s="230">
        <f t="shared" si="4"/>
        <v>0</v>
      </c>
      <c r="X14" s="230">
        <f t="shared" si="4"/>
        <v>0</v>
      </c>
      <c r="Y14" s="230">
        <f>Y12</f>
        <v>0</v>
      </c>
      <c r="Z14" s="230">
        <f t="shared" ref="Z14:AC14" si="5">Z12</f>
        <v>0</v>
      </c>
      <c r="AA14" s="230">
        <f t="shared" si="5"/>
        <v>0</v>
      </c>
      <c r="AB14" s="230">
        <f t="shared" si="5"/>
        <v>0</v>
      </c>
      <c r="AC14" s="234">
        <f t="shared" si="5"/>
        <v>0</v>
      </c>
    </row>
    <row r="15" spans="2:30" ht="18" customHeight="1" x14ac:dyDescent="0.35">
      <c r="B15" s="242" t="s">
        <v>336</v>
      </c>
      <c r="C15" s="138" t="s">
        <v>337</v>
      </c>
      <c r="D15" s="262">
        <f>'Haver Pivoted'!GO59</f>
        <v>0</v>
      </c>
      <c r="E15" s="1285">
        <f>'Haver Pivoted'!GP59</f>
        <v>0</v>
      </c>
      <c r="F15" s="1285">
        <f>'Haver Pivoted'!GQ59</f>
        <v>0</v>
      </c>
      <c r="G15" s="1285">
        <f>'Haver Pivoted'!GR59</f>
        <v>0</v>
      </c>
      <c r="H15" s="1285">
        <f>'Haver Pivoted'!GS59</f>
        <v>0</v>
      </c>
      <c r="I15" s="1285">
        <f>'Haver Pivoted'!GT59</f>
        <v>0</v>
      </c>
      <c r="J15" s="1285">
        <f>'Haver Pivoted'!GU59</f>
        <v>6.3</v>
      </c>
      <c r="K15" s="1285">
        <f>'Haver Pivoted'!GV59</f>
        <v>26.7</v>
      </c>
      <c r="L15" s="1285">
        <f>'Haver Pivoted'!GW59</f>
        <v>82.1</v>
      </c>
      <c r="M15" s="1285">
        <f>'Haver Pivoted'!GX59</f>
        <v>94.7</v>
      </c>
      <c r="N15" s="1285">
        <f>'Haver Pivoted'!GY59</f>
        <v>92.1</v>
      </c>
      <c r="O15" s="1285">
        <f>'Haver Pivoted'!GZ59</f>
        <v>51.6</v>
      </c>
      <c r="P15" s="1285">
        <f>'Haver Pivoted'!HA59</f>
        <v>2.8</v>
      </c>
      <c r="Q15" s="1285">
        <f>'Haver Pivoted'!HB59</f>
        <v>0.8</v>
      </c>
      <c r="R15" s="1285">
        <f>'Haver Pivoted'!HC59</f>
        <v>0.5</v>
      </c>
      <c r="S15" s="1286">
        <f>'Haver Pivoted'!HD59</f>
        <v>0.3</v>
      </c>
      <c r="T15" s="228">
        <f>'Haver Pivoted'!HE59</f>
        <v>0</v>
      </c>
      <c r="U15" s="230">
        <f t="shared" ref="U15:AB15" si="6">T15*U$22/T$22</f>
        <v>0</v>
      </c>
      <c r="V15" s="230">
        <f t="shared" si="6"/>
        <v>0</v>
      </c>
      <c r="W15" s="230">
        <f t="shared" si="6"/>
        <v>0</v>
      </c>
      <c r="X15" s="230">
        <f t="shared" si="6"/>
        <v>0</v>
      </c>
      <c r="Y15" s="230">
        <f t="shared" si="6"/>
        <v>0</v>
      </c>
      <c r="Z15" s="230">
        <f t="shared" si="6"/>
        <v>0</v>
      </c>
      <c r="AA15" s="230">
        <f t="shared" si="6"/>
        <v>0</v>
      </c>
      <c r="AB15" s="230">
        <f t="shared" si="6"/>
        <v>0</v>
      </c>
      <c r="AC15" s="234">
        <f>AB15*AC$22/AB$22</f>
        <v>0</v>
      </c>
    </row>
    <row r="16" spans="2:30" ht="18" customHeight="1" x14ac:dyDescent="0.35">
      <c r="B16" s="242" t="s">
        <v>338</v>
      </c>
      <c r="C16" s="138" t="s">
        <v>339</v>
      </c>
      <c r="D16" s="262">
        <f>'Haver Pivoted'!GO60</f>
        <v>0</v>
      </c>
      <c r="E16" s="1285">
        <f>'Haver Pivoted'!GP60</f>
        <v>0</v>
      </c>
      <c r="F16" s="1285">
        <f>'Haver Pivoted'!GQ60</f>
        <v>0</v>
      </c>
      <c r="G16" s="1285">
        <f>'Haver Pivoted'!GR60</f>
        <v>0</v>
      </c>
      <c r="H16" s="1285">
        <f>'Haver Pivoted'!GS60</f>
        <v>0</v>
      </c>
      <c r="I16" s="1285">
        <f>'Haver Pivoted'!GT60</f>
        <v>0</v>
      </c>
      <c r="J16" s="1285">
        <f>'Haver Pivoted'!GU60</f>
        <v>74.400000000000006</v>
      </c>
      <c r="K16" s="1285">
        <f>'Haver Pivoted'!GV60</f>
        <v>138.30000000000001</v>
      </c>
      <c r="L16" s="1285">
        <f>'Haver Pivoted'!GW60</f>
        <v>106.8</v>
      </c>
      <c r="M16" s="1285">
        <f>'Haver Pivoted'!GX60</f>
        <v>89.2</v>
      </c>
      <c r="N16" s="1285">
        <f>'Haver Pivoted'!GY60</f>
        <v>72.3</v>
      </c>
      <c r="O16" s="1285">
        <f>'Haver Pivoted'!GZ60</f>
        <v>43.5</v>
      </c>
      <c r="P16" s="1285">
        <f>'Haver Pivoted'!HA60</f>
        <v>2.1</v>
      </c>
      <c r="Q16" s="1285">
        <f>'Haver Pivoted'!HB60</f>
        <v>0.8</v>
      </c>
      <c r="R16" s="1285">
        <f>'Haver Pivoted'!HC60</f>
        <v>0.4</v>
      </c>
      <c r="S16" s="1286">
        <f>'Haver Pivoted'!HD60</f>
        <v>0.2</v>
      </c>
      <c r="T16" s="228">
        <f>'Haver Pivoted'!HE60</f>
        <v>0</v>
      </c>
      <c r="U16" s="230">
        <f t="shared" ref="U16:AB16" si="7">T16*U$22/T$22</f>
        <v>0</v>
      </c>
      <c r="V16" s="230">
        <f t="shared" si="7"/>
        <v>0</v>
      </c>
      <c r="W16" s="230">
        <f t="shared" si="7"/>
        <v>0</v>
      </c>
      <c r="X16" s="230">
        <f t="shared" si="7"/>
        <v>0</v>
      </c>
      <c r="Y16" s="230">
        <f t="shared" si="7"/>
        <v>0</v>
      </c>
      <c r="Z16" s="230">
        <f t="shared" si="7"/>
        <v>0</v>
      </c>
      <c r="AA16" s="230">
        <f t="shared" si="7"/>
        <v>0</v>
      </c>
      <c r="AB16" s="230">
        <f t="shared" si="7"/>
        <v>0</v>
      </c>
      <c r="AC16" s="234">
        <f>AB16*AC$22/AB$22</f>
        <v>0</v>
      </c>
    </row>
    <row r="17" spans="2:30" ht="18" customHeight="1" x14ac:dyDescent="0.35">
      <c r="B17" s="242" t="s">
        <v>340</v>
      </c>
      <c r="C17" s="138" t="s">
        <v>341</v>
      </c>
      <c r="D17" s="262">
        <f>'Haver Pivoted'!GO61</f>
        <v>0</v>
      </c>
      <c r="E17" s="1285">
        <f>'Haver Pivoted'!GP61</f>
        <v>0</v>
      </c>
      <c r="F17" s="1285">
        <f>'Haver Pivoted'!GQ61</f>
        <v>0</v>
      </c>
      <c r="G17" s="1285">
        <f>'Haver Pivoted'!GR61</f>
        <v>0</v>
      </c>
      <c r="H17" s="1285">
        <f>'Haver Pivoted'!GS61</f>
        <v>0</v>
      </c>
      <c r="I17" s="1285">
        <f>'Haver Pivoted'!GT61</f>
        <v>0</v>
      </c>
      <c r="J17" s="1285">
        <f>'Haver Pivoted'!GU61</f>
        <v>698.9</v>
      </c>
      <c r="K17" s="1285">
        <f>'Haver Pivoted'!GV61</f>
        <v>413.9</v>
      </c>
      <c r="L17" s="1285">
        <f>'Haver Pivoted'!GW61</f>
        <v>14.7</v>
      </c>
      <c r="M17" s="1285">
        <f>'Haver Pivoted'!GX61</f>
        <v>288.2</v>
      </c>
      <c r="N17" s="1285">
        <f>'Haver Pivoted'!GY61</f>
        <v>233.3</v>
      </c>
      <c r="O17" s="1285">
        <f>'Haver Pivoted'!GZ61</f>
        <v>110.5</v>
      </c>
      <c r="P17" s="1285">
        <f>'Haver Pivoted'!HA61</f>
        <v>0</v>
      </c>
      <c r="Q17" s="1285">
        <f>'Haver Pivoted'!HB61</f>
        <v>0</v>
      </c>
      <c r="R17" s="1285">
        <f>'Haver Pivoted'!HC61</f>
        <v>0</v>
      </c>
      <c r="S17" s="1286">
        <f>'Haver Pivoted'!HD61</f>
        <v>0</v>
      </c>
      <c r="T17" s="228">
        <f>'Haver Pivoted'!HE61</f>
        <v>0</v>
      </c>
      <c r="U17" s="230">
        <f t="shared" ref="U17:AB17" si="8">T17*U$22/T$22</f>
        <v>0</v>
      </c>
      <c r="V17" s="230">
        <f t="shared" si="8"/>
        <v>0</v>
      </c>
      <c r="W17" s="230">
        <f t="shared" si="8"/>
        <v>0</v>
      </c>
      <c r="X17" s="230">
        <f t="shared" si="8"/>
        <v>0</v>
      </c>
      <c r="Y17" s="230">
        <f t="shared" si="8"/>
        <v>0</v>
      </c>
      <c r="Z17" s="230">
        <f t="shared" si="8"/>
        <v>0</v>
      </c>
      <c r="AA17" s="230">
        <f t="shared" si="8"/>
        <v>0</v>
      </c>
      <c r="AB17" s="230">
        <f t="shared" si="8"/>
        <v>0</v>
      </c>
      <c r="AC17" s="234">
        <f>AB17*AC$22/AB$22</f>
        <v>0</v>
      </c>
    </row>
    <row r="18" spans="2:30" x14ac:dyDescent="0.35">
      <c r="B18" s="251" t="s">
        <v>158</v>
      </c>
      <c r="C18" s="151" t="s">
        <v>342</v>
      </c>
      <c r="D18" s="264">
        <f>'Haver Pivoted'!GO64</f>
        <v>0</v>
      </c>
      <c r="E18" s="1283">
        <f>'Haver Pivoted'!GP64</f>
        <v>0</v>
      </c>
      <c r="F18" s="1283">
        <f>'Haver Pivoted'!GQ64</f>
        <v>0</v>
      </c>
      <c r="G18" s="1283">
        <f>'Haver Pivoted'!GR64</f>
        <v>0</v>
      </c>
      <c r="H18" s="1283">
        <f>'Haver Pivoted'!GS64</f>
        <v>0</v>
      </c>
      <c r="I18" s="1283">
        <f>'Haver Pivoted'!GT64</f>
        <v>0</v>
      </c>
      <c r="J18" s="1283">
        <f>'Haver Pivoted'!GU64</f>
        <v>0</v>
      </c>
      <c r="K18" s="1283">
        <f>'Haver Pivoted'!GV64</f>
        <v>106.2</v>
      </c>
      <c r="L18" s="1283">
        <f>'Haver Pivoted'!GW64</f>
        <v>35.9</v>
      </c>
      <c r="M18" s="1283">
        <f>'Haver Pivoted'!GX64</f>
        <v>1.6</v>
      </c>
      <c r="N18" s="1283">
        <f>'Haver Pivoted'!GY64</f>
        <v>0.6</v>
      </c>
      <c r="O18" s="1283">
        <f>'Haver Pivoted'!GZ64</f>
        <v>0.1</v>
      </c>
      <c r="P18" s="1283">
        <f>'Haver Pivoted'!HA64</f>
        <v>0</v>
      </c>
      <c r="Q18" s="1285">
        <f>'Haver Pivoted'!HB64</f>
        <v>0</v>
      </c>
      <c r="R18" s="1285">
        <f>'Haver Pivoted'!HC64</f>
        <v>0</v>
      </c>
      <c r="S18" s="1286">
        <f>'Haver Pivoted'!HD64</f>
        <v>0</v>
      </c>
      <c r="T18" s="228">
        <f>'Haver Pivoted'!HE64</f>
        <v>0</v>
      </c>
      <c r="U18" s="230"/>
      <c r="V18" s="230"/>
      <c r="W18" s="230"/>
      <c r="X18" s="230"/>
      <c r="Y18" s="230"/>
      <c r="Z18" s="230"/>
      <c r="AA18" s="230"/>
      <c r="AB18" s="230"/>
      <c r="AC18" s="234"/>
    </row>
    <row r="19" spans="2:30" ht="14.75" customHeight="1" x14ac:dyDescent="0.35">
      <c r="B19" s="252" t="s">
        <v>343</v>
      </c>
      <c r="C19" s="259"/>
      <c r="D19" s="235">
        <f t="shared" ref="D19:N19" si="9">D11-D20</f>
        <v>0</v>
      </c>
      <c r="E19" s="1327">
        <f t="shared" si="9"/>
        <v>0</v>
      </c>
      <c r="F19" s="1327">
        <f t="shared" si="9"/>
        <v>0</v>
      </c>
      <c r="G19" s="1327">
        <f t="shared" si="9"/>
        <v>0</v>
      </c>
      <c r="H19" s="1327">
        <f t="shared" si="9"/>
        <v>0</v>
      </c>
      <c r="I19" s="1327">
        <f t="shared" si="9"/>
        <v>0</v>
      </c>
      <c r="J19" s="1327">
        <f t="shared" si="9"/>
        <v>779.80000000000007</v>
      </c>
      <c r="K19" s="1327">
        <f t="shared" si="9"/>
        <v>586.29999999999995</v>
      </c>
      <c r="L19" s="1327">
        <f t="shared" si="9"/>
        <v>229.4</v>
      </c>
      <c r="M19" s="1327">
        <f t="shared" si="9"/>
        <v>523.1</v>
      </c>
      <c r="N19" s="1287">
        <f t="shared" si="9"/>
        <v>405.3</v>
      </c>
      <c r="O19" s="1287">
        <f>O11-O20</f>
        <v>209.20000000000002</v>
      </c>
      <c r="P19" s="1287">
        <f t="shared" ref="P19" si="10">P11-P20</f>
        <v>6.1000000000000014</v>
      </c>
      <c r="Q19" s="1287">
        <f>Q11-Q20</f>
        <v>0.19999999999999929</v>
      </c>
      <c r="R19" s="1287">
        <f>R11-R20</f>
        <v>1.1000000000000014</v>
      </c>
      <c r="S19" s="1002">
        <f>S11-S20</f>
        <v>0.5</v>
      </c>
      <c r="T19" s="227">
        <f>T11-T20</f>
        <v>0</v>
      </c>
      <c r="U19" s="1003">
        <f t="shared" ref="U19:AC19" si="11">U11-U20</f>
        <v>0</v>
      </c>
      <c r="V19" s="1003">
        <f t="shared" si="11"/>
        <v>0</v>
      </c>
      <c r="W19" s="1003">
        <f t="shared" si="11"/>
        <v>0</v>
      </c>
      <c r="X19" s="1003">
        <f t="shared" si="11"/>
        <v>0</v>
      </c>
      <c r="Y19" s="1003">
        <f t="shared" si="11"/>
        <v>0</v>
      </c>
      <c r="Z19" s="1003">
        <f t="shared" si="11"/>
        <v>0</v>
      </c>
      <c r="AA19" s="1003">
        <f t="shared" si="11"/>
        <v>0</v>
      </c>
      <c r="AB19" s="1003">
        <f t="shared" si="11"/>
        <v>0</v>
      </c>
      <c r="AC19" s="1003">
        <f t="shared" si="11"/>
        <v>0</v>
      </c>
    </row>
    <row r="20" spans="2:30" ht="14.75" customHeight="1" x14ac:dyDescent="0.35">
      <c r="B20" s="252" t="s">
        <v>344</v>
      </c>
      <c r="C20" s="259"/>
      <c r="D20" s="235">
        <f t="shared" ref="D20:H20" si="12">D11</f>
        <v>27.8</v>
      </c>
      <c r="E20" s="1327">
        <f t="shared" si="12"/>
        <v>29.4</v>
      </c>
      <c r="F20" s="1327">
        <f t="shared" si="12"/>
        <v>26.9</v>
      </c>
      <c r="G20" s="1327">
        <f t="shared" si="12"/>
        <v>26.4</v>
      </c>
      <c r="H20" s="1327">
        <f t="shared" si="12"/>
        <v>27.7</v>
      </c>
      <c r="I20" s="1327">
        <f>I11</f>
        <v>40.700000000000003</v>
      </c>
      <c r="J20" s="1327">
        <f>J11-J13-J12</f>
        <v>227.69999999999996</v>
      </c>
      <c r="K20" s="1327">
        <f>K11-K13-K12</f>
        <v>206.59999999999997</v>
      </c>
      <c r="L20" s="1327">
        <f>L11-L13-L12</f>
        <v>79.099999999999994</v>
      </c>
      <c r="M20" s="1327">
        <f>M11-M13-M12</f>
        <v>33.100000000000023</v>
      </c>
      <c r="N20" s="1287">
        <f t="shared" ref="N20:T20" si="13">N11-N12-N13</f>
        <v>43.300000000000011</v>
      </c>
      <c r="O20" s="1287">
        <f t="shared" si="13"/>
        <v>35.899999999999977</v>
      </c>
      <c r="P20" s="1287">
        <f t="shared" si="13"/>
        <v>27.699999999999996</v>
      </c>
      <c r="Q20" s="1285">
        <f t="shared" si="13"/>
        <v>23.400000000000002</v>
      </c>
      <c r="R20" s="1285">
        <f t="shared" si="13"/>
        <v>17.5</v>
      </c>
      <c r="S20" s="1286">
        <f t="shared" si="13"/>
        <v>18</v>
      </c>
      <c r="T20" s="228">
        <f t="shared" si="13"/>
        <v>0</v>
      </c>
      <c r="U20" s="231">
        <f t="shared" ref="U20:AB20" si="14">T20*U22/T22</f>
        <v>0</v>
      </c>
      <c r="V20" s="231">
        <f t="shared" si="14"/>
        <v>0</v>
      </c>
      <c r="W20" s="231">
        <f t="shared" si="14"/>
        <v>0</v>
      </c>
      <c r="X20" s="231">
        <f t="shared" si="14"/>
        <v>0</v>
      </c>
      <c r="Y20" s="231">
        <f t="shared" si="14"/>
        <v>0</v>
      </c>
      <c r="Z20" s="231">
        <f t="shared" si="14"/>
        <v>0</v>
      </c>
      <c r="AA20" s="231">
        <f t="shared" si="14"/>
        <v>0</v>
      </c>
      <c r="AB20" s="231">
        <f t="shared" si="14"/>
        <v>0</v>
      </c>
      <c r="AC20" s="236">
        <f>AB20*AC22/AB22</f>
        <v>0</v>
      </c>
      <c r="AD20" s="238" t="s">
        <v>345</v>
      </c>
    </row>
    <row r="21" spans="2:30" x14ac:dyDescent="0.35">
      <c r="B21" s="251"/>
      <c r="C21" s="244"/>
      <c r="D21" s="262"/>
      <c r="E21" s="1285"/>
      <c r="F21" s="1285"/>
      <c r="G21" s="1285"/>
      <c r="H21" s="1288"/>
      <c r="I21" s="1288"/>
      <c r="J21" s="1288"/>
      <c r="K21" s="1288"/>
      <c r="L21" s="1288"/>
      <c r="M21" s="1288"/>
      <c r="N21" s="1288"/>
      <c r="O21" s="1288"/>
      <c r="P21" s="1288"/>
      <c r="Q21" s="1288"/>
      <c r="R21" s="1288"/>
      <c r="S21" s="1288"/>
      <c r="T21" s="1291"/>
      <c r="U21" s="232"/>
      <c r="V21" s="232"/>
      <c r="W21" s="232"/>
      <c r="X21" s="232"/>
      <c r="Y21" s="232"/>
      <c r="Z21" s="232"/>
      <c r="AA21" s="232"/>
      <c r="AB21" s="232"/>
      <c r="AC21" s="246"/>
    </row>
    <row r="22" spans="2:30" x14ac:dyDescent="0.35">
      <c r="B22" s="145" t="s">
        <v>346</v>
      </c>
      <c r="C22" s="245"/>
      <c r="D22" s="265"/>
      <c r="E22" s="1058"/>
      <c r="F22" s="1058"/>
      <c r="G22" s="1058"/>
      <c r="H22" s="266"/>
      <c r="I22" s="266"/>
      <c r="J22" s="266"/>
      <c r="K22" s="266"/>
      <c r="L22" s="266"/>
      <c r="M22" s="266">
        <f>D33</f>
        <v>6.166666666666667</v>
      </c>
      <c r="N22" s="266">
        <f>D36</f>
        <v>5.7666666666666657</v>
      </c>
      <c r="O22" s="266">
        <f>D39</f>
        <v>5.1333333333333337</v>
      </c>
      <c r="P22" s="266">
        <f>D42</f>
        <v>4.2333333333333334</v>
      </c>
      <c r="Q22" s="266">
        <f>D45</f>
        <v>3.8000000000000003</v>
      </c>
      <c r="R22" s="276">
        <f>D48</f>
        <v>3.6</v>
      </c>
      <c r="S22" s="1300">
        <f>D51</f>
        <v>3.5666666666666664</v>
      </c>
      <c r="T22" s="1301">
        <v>3.65</v>
      </c>
      <c r="U22" s="247">
        <v>3.58</v>
      </c>
      <c r="V22" s="247">
        <v>3.52</v>
      </c>
      <c r="W22" s="247">
        <v>3.5310000000000001</v>
      </c>
      <c r="X22" s="247">
        <v>3.5510000000000002</v>
      </c>
      <c r="Y22" s="247">
        <v>3.6219999999999999</v>
      </c>
      <c r="Z22" s="247">
        <v>3.972</v>
      </c>
      <c r="AA22" s="247">
        <v>4.0209999999999999</v>
      </c>
      <c r="AB22" s="247">
        <v>4.0819999999999999</v>
      </c>
      <c r="AC22" s="257">
        <v>4.141</v>
      </c>
      <c r="AD22" s="253" t="s">
        <v>347</v>
      </c>
    </row>
    <row r="23" spans="2:30" x14ac:dyDescent="0.35">
      <c r="C23" s="151"/>
      <c r="D23" s="137"/>
      <c r="E23" s="137"/>
      <c r="F23" s="137"/>
      <c r="G23" s="137"/>
      <c r="H23" s="144"/>
      <c r="I23" s="144"/>
      <c r="J23" s="144"/>
      <c r="K23" s="144"/>
      <c r="L23" s="144"/>
      <c r="M23" s="144"/>
      <c r="N23" s="144"/>
      <c r="O23" s="144"/>
      <c r="P23" s="144"/>
      <c r="AD23" s="253"/>
    </row>
    <row r="24" spans="2:30" ht="15.75" customHeight="1" x14ac:dyDescent="0.35">
      <c r="C24" s="151"/>
      <c r="D24" s="137"/>
      <c r="E24" s="137"/>
      <c r="F24" s="137"/>
      <c r="G24" s="137"/>
      <c r="H24" s="144"/>
      <c r="I24" s="144"/>
      <c r="J24" s="144"/>
      <c r="K24" s="144"/>
      <c r="L24" s="144"/>
      <c r="M24" s="144"/>
      <c r="N24" s="144"/>
      <c r="O24" s="144"/>
      <c r="P24" s="144"/>
      <c r="AD24" s="253"/>
    </row>
    <row r="25" spans="2:30" x14ac:dyDescent="0.35">
      <c r="C25" s="151"/>
      <c r="D25" s="137"/>
      <c r="E25" s="137"/>
      <c r="F25" s="137"/>
      <c r="G25" s="137"/>
      <c r="H25" s="144"/>
      <c r="I25" s="144"/>
      <c r="J25" s="144"/>
      <c r="K25" s="144"/>
      <c r="L25" s="144"/>
      <c r="M25" s="144"/>
      <c r="N25" s="144"/>
      <c r="O25" s="144"/>
      <c r="P25" s="144"/>
      <c r="AD25" s="253"/>
    </row>
    <row r="26" spans="2:30" x14ac:dyDescent="0.35">
      <c r="C26" s="151"/>
      <c r="D26" s="137"/>
      <c r="E26" s="137"/>
      <c r="F26" s="137"/>
      <c r="G26" s="137"/>
      <c r="H26" s="144"/>
      <c r="I26" s="144"/>
      <c r="J26" s="144"/>
      <c r="K26" s="144"/>
      <c r="L26" s="144"/>
      <c r="M26" s="144"/>
      <c r="N26" s="144"/>
      <c r="O26" s="144"/>
      <c r="P26" s="144"/>
      <c r="AD26" s="253"/>
    </row>
    <row r="27" spans="2:30" x14ac:dyDescent="0.35">
      <c r="C27" s="151"/>
      <c r="D27" s="137"/>
      <c r="E27" s="137"/>
      <c r="F27" s="137"/>
      <c r="G27" s="137"/>
      <c r="H27" s="144"/>
      <c r="I27" s="144"/>
      <c r="J27" s="144"/>
      <c r="K27" s="144"/>
      <c r="L27" s="144"/>
      <c r="M27" s="144"/>
      <c r="N27" s="144"/>
      <c r="O27" s="144"/>
      <c r="P27" s="144"/>
      <c r="AD27" s="253"/>
    </row>
    <row r="28" spans="2:30" x14ac:dyDescent="0.35">
      <c r="C28" s="151"/>
      <c r="D28" s="137"/>
      <c r="E28" s="137"/>
      <c r="F28" s="137"/>
      <c r="G28" s="137"/>
      <c r="H28" s="144"/>
      <c r="I28" s="144"/>
      <c r="J28" s="144"/>
      <c r="K28" s="144"/>
      <c r="L28" s="144"/>
      <c r="M28" s="144"/>
      <c r="N28" s="144"/>
      <c r="O28" s="144"/>
      <c r="P28" s="144"/>
      <c r="AD28" s="253"/>
    </row>
    <row r="29" spans="2:30" x14ac:dyDescent="0.35">
      <c r="M29" s="253"/>
      <c r="N29" s="253"/>
      <c r="O29" s="253"/>
    </row>
    <row r="30" spans="2:30" x14ac:dyDescent="0.35">
      <c r="M30" s="151"/>
      <c r="N30" s="151"/>
      <c r="O30" s="151"/>
    </row>
    <row r="31" spans="2:30" x14ac:dyDescent="0.35">
      <c r="M31" s="151"/>
      <c r="N31" s="151"/>
      <c r="O31" s="151"/>
    </row>
    <row r="32" spans="2:30" ht="30.75" customHeight="1" x14ac:dyDescent="0.35">
      <c r="B32" s="268" t="s">
        <v>348</v>
      </c>
      <c r="C32" s="275" t="s">
        <v>349</v>
      </c>
      <c r="D32" s="269" t="s">
        <v>350</v>
      </c>
      <c r="M32" s="151"/>
      <c r="N32" s="151"/>
      <c r="O32" s="151"/>
    </row>
    <row r="33" spans="1:38" x14ac:dyDescent="0.35">
      <c r="A33" s="36"/>
      <c r="B33" s="270">
        <v>44197</v>
      </c>
      <c r="C33" s="272">
        <v>6.3</v>
      </c>
      <c r="D33" s="271">
        <f>AVERAGE(C33:C35)</f>
        <v>6.166666666666667</v>
      </c>
      <c r="E33" s="36"/>
      <c r="M33" s="151"/>
      <c r="N33" s="151"/>
      <c r="O33" s="151"/>
    </row>
    <row r="34" spans="1:38" x14ac:dyDescent="0.35">
      <c r="A34" s="36"/>
      <c r="B34" s="270">
        <v>44228</v>
      </c>
      <c r="C34" s="272">
        <v>6.2</v>
      </c>
      <c r="D34" s="271"/>
      <c r="E34" s="36"/>
      <c r="M34" s="151"/>
      <c r="N34" s="151"/>
      <c r="O34" s="151"/>
    </row>
    <row r="35" spans="1:38" x14ac:dyDescent="0.35">
      <c r="A35" s="36"/>
      <c r="B35" s="270">
        <v>44256</v>
      </c>
      <c r="C35" s="272">
        <v>6</v>
      </c>
      <c r="D35" s="271"/>
      <c r="E35" s="36"/>
      <c r="M35" s="151"/>
      <c r="N35" s="151"/>
      <c r="O35" s="151"/>
    </row>
    <row r="36" spans="1:38" x14ac:dyDescent="0.35">
      <c r="A36" s="36"/>
      <c r="B36" s="270">
        <v>44287</v>
      </c>
      <c r="C36" s="272">
        <v>6.1</v>
      </c>
      <c r="D36" s="271">
        <f>AVERAGE(C36:C38)</f>
        <v>5.7666666666666657</v>
      </c>
      <c r="E36" s="36"/>
      <c r="M36" s="151"/>
      <c r="N36" s="151"/>
      <c r="O36" s="151"/>
    </row>
    <row r="37" spans="1:38" x14ac:dyDescent="0.35">
      <c r="A37" s="36"/>
      <c r="B37" s="270">
        <v>44317</v>
      </c>
      <c r="C37" s="272">
        <v>5.8</v>
      </c>
      <c r="D37" s="271"/>
      <c r="E37" s="36"/>
      <c r="M37" s="151"/>
      <c r="N37" s="151"/>
      <c r="O37" s="151"/>
    </row>
    <row r="38" spans="1:38" x14ac:dyDescent="0.35">
      <c r="A38" s="36"/>
      <c r="B38" s="270">
        <v>44348</v>
      </c>
      <c r="C38" s="272">
        <v>5.4</v>
      </c>
      <c r="D38" s="271"/>
      <c r="E38" s="36"/>
      <c r="M38" s="151"/>
      <c r="N38" s="151"/>
      <c r="O38" s="151"/>
    </row>
    <row r="39" spans="1:38" x14ac:dyDescent="0.35">
      <c r="A39" s="36"/>
      <c r="B39" s="270">
        <v>44378</v>
      </c>
      <c r="C39" s="272">
        <v>5.4</v>
      </c>
      <c r="D39" s="271">
        <f>AVERAGE(C39:C41)</f>
        <v>5.1333333333333337</v>
      </c>
      <c r="E39" s="151" t="s">
        <v>351</v>
      </c>
      <c r="M39" s="151"/>
      <c r="N39" s="151"/>
      <c r="O39" s="151"/>
    </row>
    <row r="40" spans="1:38" x14ac:dyDescent="0.35">
      <c r="A40" s="36"/>
      <c r="B40" s="270">
        <v>44409</v>
      </c>
      <c r="C40" s="272">
        <v>5.2</v>
      </c>
      <c r="D40" s="271"/>
      <c r="E40" s="36"/>
      <c r="M40" s="151"/>
      <c r="N40" s="151"/>
      <c r="O40" s="151"/>
    </row>
    <row r="41" spans="1:38" x14ac:dyDescent="0.35">
      <c r="A41" s="36"/>
      <c r="B41" s="270">
        <v>44440</v>
      </c>
      <c r="C41" s="272">
        <v>4.8</v>
      </c>
      <c r="D41" s="271"/>
      <c r="E41" s="36"/>
      <c r="M41" s="151"/>
      <c r="N41" s="151"/>
      <c r="O41" s="151"/>
    </row>
    <row r="42" spans="1:38" x14ac:dyDescent="0.35">
      <c r="A42" s="36"/>
      <c r="B42" s="270">
        <v>44470</v>
      </c>
      <c r="C42" s="272">
        <v>4.5999999999999996</v>
      </c>
      <c r="D42" s="271">
        <f>AVERAGE(C42:C44)</f>
        <v>4.2333333333333334</v>
      </c>
      <c r="E42" s="36"/>
      <c r="M42" s="151"/>
      <c r="N42" s="151"/>
      <c r="O42" s="151"/>
    </row>
    <row r="43" spans="1:38" x14ac:dyDescent="0.35">
      <c r="A43" s="36"/>
      <c r="B43" s="270">
        <v>44501</v>
      </c>
      <c r="C43" s="272">
        <v>4.2</v>
      </c>
      <c r="D43" s="271"/>
      <c r="E43" s="36"/>
      <c r="M43" s="151"/>
      <c r="N43" s="151"/>
      <c r="O43" s="151"/>
      <c r="AD43" s="151"/>
      <c r="AE43" s="151"/>
      <c r="AF43" s="151"/>
      <c r="AG43" s="151"/>
      <c r="AH43" s="151"/>
      <c r="AI43" s="151"/>
      <c r="AJ43" s="151"/>
      <c r="AK43" s="151"/>
      <c r="AL43" s="151"/>
    </row>
    <row r="44" spans="1:38" x14ac:dyDescent="0.35">
      <c r="A44" s="36"/>
      <c r="B44" s="270">
        <v>44531</v>
      </c>
      <c r="C44" s="272">
        <v>3.9</v>
      </c>
      <c r="D44" s="271"/>
      <c r="E44" s="36"/>
      <c r="M44" s="151"/>
      <c r="N44" s="151"/>
      <c r="O44" s="151"/>
      <c r="AD44" s="151"/>
      <c r="AE44" s="151"/>
      <c r="AF44" s="151"/>
      <c r="AG44" s="151"/>
      <c r="AH44" s="151"/>
      <c r="AI44" s="151"/>
      <c r="AJ44" s="151"/>
      <c r="AK44" s="151"/>
      <c r="AL44" s="151"/>
    </row>
    <row r="45" spans="1:38" x14ac:dyDescent="0.35">
      <c r="A45" s="36"/>
      <c r="B45" s="270">
        <v>44562</v>
      </c>
      <c r="C45" s="272">
        <v>4</v>
      </c>
      <c r="D45" s="272">
        <f>AVERAGE(C45:C47)</f>
        <v>3.8000000000000003</v>
      </c>
      <c r="E45" s="36"/>
      <c r="M45" s="151"/>
      <c r="N45" s="151"/>
      <c r="O45" s="151"/>
    </row>
    <row r="46" spans="1:38" x14ac:dyDescent="0.35">
      <c r="A46" s="36"/>
      <c r="B46" s="270">
        <v>44593</v>
      </c>
      <c r="C46" s="272">
        <v>3.8</v>
      </c>
      <c r="D46" s="272"/>
      <c r="E46" s="36"/>
    </row>
    <row r="47" spans="1:38" x14ac:dyDescent="0.35">
      <c r="A47" s="36"/>
      <c r="B47" s="270">
        <v>44621</v>
      </c>
      <c r="C47" s="272">
        <v>3.6</v>
      </c>
      <c r="D47" s="272"/>
      <c r="E47" s="36"/>
    </row>
    <row r="48" spans="1:38" x14ac:dyDescent="0.35">
      <c r="A48" s="36"/>
      <c r="B48" s="270">
        <v>44652</v>
      </c>
      <c r="C48" s="272">
        <v>3.6</v>
      </c>
      <c r="D48" s="272">
        <f>AVERAGE(C48:C50)</f>
        <v>3.6</v>
      </c>
      <c r="E48" s="36"/>
    </row>
    <row r="49" spans="1:5" x14ac:dyDescent="0.35">
      <c r="A49" s="36"/>
      <c r="B49" s="270">
        <v>44682</v>
      </c>
      <c r="C49" s="272">
        <v>3.6</v>
      </c>
      <c r="D49" s="272"/>
      <c r="E49" s="36"/>
    </row>
    <row r="50" spans="1:5" x14ac:dyDescent="0.35">
      <c r="A50" s="36"/>
      <c r="B50" s="270">
        <v>44713</v>
      </c>
      <c r="C50" s="272">
        <v>3.6</v>
      </c>
      <c r="D50" s="272"/>
      <c r="E50" s="36"/>
    </row>
    <row r="51" spans="1:5" x14ac:dyDescent="0.35">
      <c r="A51" s="36"/>
      <c r="B51" s="270">
        <v>44743</v>
      </c>
      <c r="C51" s="272">
        <v>3.5</v>
      </c>
      <c r="D51" s="272">
        <f>AVERAGE(C51:C53)</f>
        <v>3.5666666666666664</v>
      </c>
      <c r="E51" s="36"/>
    </row>
    <row r="52" spans="1:5" x14ac:dyDescent="0.35">
      <c r="A52" s="36"/>
      <c r="B52" s="270">
        <v>44774</v>
      </c>
      <c r="C52" s="272">
        <v>3.7</v>
      </c>
      <c r="D52" s="272"/>
      <c r="E52" s="36"/>
    </row>
    <row r="53" spans="1:5" x14ac:dyDescent="0.35">
      <c r="B53" s="270">
        <v>44805</v>
      </c>
      <c r="C53" s="272">
        <v>3.5</v>
      </c>
      <c r="D53" s="272"/>
    </row>
    <row r="54" spans="1:5" x14ac:dyDescent="0.35">
      <c r="B54" s="270">
        <v>44835</v>
      </c>
      <c r="C54" s="272"/>
      <c r="D54" s="272" t="e">
        <f>AVERAGE(C54:C56)</f>
        <v>#DIV/0!</v>
      </c>
    </row>
    <row r="55" spans="1:5" x14ac:dyDescent="0.35">
      <c r="B55" s="270">
        <v>44866</v>
      </c>
      <c r="C55" s="272"/>
      <c r="D55" s="272"/>
    </row>
    <row r="56" spans="1:5" x14ac:dyDescent="0.35">
      <c r="B56" s="273">
        <v>44896</v>
      </c>
      <c r="C56" s="274"/>
      <c r="D56" s="27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zoomScale="89" zoomScaleNormal="89" workbookViewId="0">
      <selection activeCell="H25" sqref="H25"/>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113" t="s">
        <v>192</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39"/>
      <c r="AA1" s="139"/>
      <c r="AB1" s="139"/>
      <c r="AC1" s="139"/>
      <c r="AD1" s="135"/>
      <c r="AE1" s="135"/>
    </row>
    <row r="2" spans="2:34" ht="14.25" customHeight="1" x14ac:dyDescent="0.35">
      <c r="B2" s="1141" t="s">
        <v>380</v>
      </c>
      <c r="C2" s="1141"/>
      <c r="D2" s="1141"/>
      <c r="E2" s="1141"/>
      <c r="F2" s="1141"/>
      <c r="G2" s="1141"/>
      <c r="H2" s="1141"/>
      <c r="I2" s="1141"/>
      <c r="J2" s="1141"/>
      <c r="K2" s="1141"/>
      <c r="L2" s="1141"/>
      <c r="M2" s="1141"/>
      <c r="N2" s="1141"/>
      <c r="O2" s="1141"/>
      <c r="P2" s="1141"/>
      <c r="Q2" s="1141"/>
      <c r="R2" s="1141"/>
      <c r="S2" s="1141"/>
      <c r="T2" s="1141"/>
      <c r="U2" s="1141"/>
      <c r="V2" s="1141"/>
      <c r="W2" s="1141"/>
      <c r="X2" s="1141"/>
      <c r="Y2" s="1141"/>
      <c r="Z2" s="1141"/>
      <c r="AA2" s="1141"/>
      <c r="AB2" s="1141"/>
      <c r="AC2" s="1141"/>
      <c r="AD2" s="224"/>
      <c r="AE2" s="224"/>
    </row>
    <row r="3" spans="2:34" ht="50.75" customHeight="1" x14ac:dyDescent="0.35">
      <c r="B3" s="1141"/>
      <c r="C3" s="1141"/>
      <c r="D3" s="1141"/>
      <c r="E3" s="1141"/>
      <c r="F3" s="1141"/>
      <c r="G3" s="1141"/>
      <c r="H3" s="1141"/>
      <c r="I3" s="1141"/>
      <c r="J3" s="1141"/>
      <c r="K3" s="1141"/>
      <c r="L3" s="1141"/>
      <c r="M3" s="1141"/>
      <c r="N3" s="1141"/>
      <c r="O3" s="1141"/>
      <c r="P3" s="1141"/>
      <c r="Q3" s="1141"/>
      <c r="R3" s="1141"/>
      <c r="S3" s="1141"/>
      <c r="T3" s="1141"/>
      <c r="U3" s="1141"/>
      <c r="V3" s="1141"/>
      <c r="W3" s="1141"/>
      <c r="X3" s="1141"/>
      <c r="Y3" s="1141"/>
      <c r="Z3" s="1141"/>
      <c r="AA3" s="1141"/>
      <c r="AB3" s="1141"/>
      <c r="AC3" s="1141"/>
      <c r="AD3" s="224"/>
      <c r="AE3" s="224"/>
    </row>
    <row r="4" spans="2:34" ht="5.25" customHeight="1" x14ac:dyDescent="0.35">
      <c r="B4" s="1141"/>
      <c r="C4" s="1141"/>
      <c r="D4" s="1141"/>
      <c r="E4" s="1141"/>
      <c r="F4" s="1141"/>
      <c r="G4" s="1141"/>
      <c r="H4" s="1141"/>
      <c r="I4" s="1141"/>
      <c r="J4" s="1141"/>
      <c r="K4" s="1141"/>
      <c r="L4" s="1141"/>
      <c r="M4" s="1141"/>
      <c r="N4" s="1141"/>
      <c r="O4" s="1141"/>
      <c r="P4" s="1141"/>
      <c r="Q4" s="1141"/>
      <c r="R4" s="1141"/>
      <c r="S4" s="1141"/>
      <c r="T4" s="1141"/>
      <c r="U4" s="1141"/>
      <c r="V4" s="1141"/>
      <c r="W4" s="1141"/>
      <c r="X4" s="1141"/>
      <c r="Y4" s="1141"/>
      <c r="Z4" s="1141"/>
      <c r="AA4" s="1141"/>
      <c r="AB4" s="1141"/>
      <c r="AC4" s="1141"/>
      <c r="AD4" s="224"/>
      <c r="AE4" s="224"/>
    </row>
    <row r="5" spans="2:34" x14ac:dyDescent="0.35">
      <c r="B5" s="326" t="s">
        <v>381</v>
      </c>
    </row>
    <row r="6" spans="2:34" ht="14.75" customHeight="1" x14ac:dyDescent="0.35">
      <c r="B6" s="1142" t="s">
        <v>382</v>
      </c>
      <c r="C6" s="1126"/>
      <c r="D6" s="1292" t="s">
        <v>325</v>
      </c>
      <c r="E6" s="1293"/>
      <c r="F6" s="1293"/>
      <c r="G6" s="1293"/>
      <c r="H6" s="1293"/>
      <c r="I6" s="1293"/>
      <c r="J6" s="1293"/>
      <c r="K6" s="1293"/>
      <c r="L6" s="1293"/>
      <c r="M6" s="1293"/>
      <c r="N6" s="1293"/>
      <c r="O6" s="1293"/>
      <c r="P6" s="1293"/>
      <c r="Q6" s="1293"/>
      <c r="R6" s="1293"/>
      <c r="S6" s="1293"/>
      <c r="T6" s="1294"/>
      <c r="U6" s="1295" t="s">
        <v>326</v>
      </c>
      <c r="V6" s="1296"/>
      <c r="W6" s="1296"/>
      <c r="X6" s="1296"/>
      <c r="Y6" s="1296"/>
      <c r="Z6" s="1296"/>
      <c r="AA6" s="1296"/>
      <c r="AB6" s="1296"/>
      <c r="AC6" s="1297"/>
      <c r="AD6" s="1163" t="s">
        <v>383</v>
      </c>
      <c r="AE6" s="1166" t="s">
        <v>384</v>
      </c>
    </row>
    <row r="7" spans="2:34" ht="24" customHeight="1" x14ac:dyDescent="0.35">
      <c r="B7" s="1143"/>
      <c r="C7" s="1144"/>
      <c r="D7" s="149">
        <v>2018</v>
      </c>
      <c r="E7" s="1161">
        <v>2019</v>
      </c>
      <c r="F7" s="1162"/>
      <c r="G7" s="1162"/>
      <c r="H7" s="1169"/>
      <c r="I7" s="1161">
        <v>2020</v>
      </c>
      <c r="J7" s="1162"/>
      <c r="K7" s="1162"/>
      <c r="L7" s="1162"/>
      <c r="M7" s="1161">
        <v>2021</v>
      </c>
      <c r="N7" s="1162"/>
      <c r="O7" s="1162"/>
      <c r="P7" s="1162"/>
      <c r="Q7" s="1098">
        <v>2022</v>
      </c>
      <c r="R7" s="1099"/>
      <c r="S7" s="1099"/>
      <c r="T7" s="1308"/>
      <c r="U7" s="1277">
        <v>2023</v>
      </c>
      <c r="V7" s="1146"/>
      <c r="W7" s="1146"/>
      <c r="X7" s="1146"/>
      <c r="Y7" s="1145">
        <v>2024</v>
      </c>
      <c r="Z7" s="1146"/>
      <c r="AA7" s="1146"/>
      <c r="AB7" s="1147"/>
      <c r="AC7" s="239">
        <v>2025</v>
      </c>
      <c r="AD7" s="1164"/>
      <c r="AE7" s="1167"/>
    </row>
    <row r="8" spans="2:34" ht="14.25" customHeight="1" x14ac:dyDescent="0.35">
      <c r="B8" s="1153"/>
      <c r="C8" s="1154"/>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1" t="s">
        <v>328</v>
      </c>
      <c r="R8" s="1039" t="s">
        <v>329</v>
      </c>
      <c r="S8" s="1039" t="s">
        <v>238</v>
      </c>
      <c r="T8" s="1052" t="s">
        <v>327</v>
      </c>
      <c r="U8" s="1282" t="s">
        <v>328</v>
      </c>
      <c r="V8" s="329" t="s">
        <v>329</v>
      </c>
      <c r="W8" s="329" t="s">
        <v>238</v>
      </c>
      <c r="X8" s="329" t="s">
        <v>327</v>
      </c>
      <c r="Y8" s="328" t="s">
        <v>328</v>
      </c>
      <c r="Z8" s="230" t="s">
        <v>329</v>
      </c>
      <c r="AA8" s="329" t="s">
        <v>238</v>
      </c>
      <c r="AB8" s="341" t="s">
        <v>327</v>
      </c>
      <c r="AC8" s="356" t="s">
        <v>328</v>
      </c>
      <c r="AD8" s="1165"/>
      <c r="AE8" s="1168"/>
    </row>
    <row r="9" spans="2:34" ht="23.75" customHeight="1" x14ac:dyDescent="0.35">
      <c r="B9" s="335" t="s">
        <v>385</v>
      </c>
      <c r="C9" s="361" t="s">
        <v>386</v>
      </c>
      <c r="D9" s="1311">
        <f>'Haver Pivoted'!GO32</f>
        <v>587.79999999999995</v>
      </c>
      <c r="E9" s="1312">
        <f>'Haver Pivoted'!GP32</f>
        <v>592.4</v>
      </c>
      <c r="F9" s="1312">
        <f>'Haver Pivoted'!GQ32</f>
        <v>615.5</v>
      </c>
      <c r="G9" s="1312">
        <f>'Haver Pivoted'!GR32</f>
        <v>610.4</v>
      </c>
      <c r="H9" s="1312">
        <f>'Haver Pivoted'!GS32</f>
        <v>617.5</v>
      </c>
      <c r="I9" s="1312">
        <f>'Haver Pivoted'!GT32</f>
        <v>638.6</v>
      </c>
      <c r="J9" s="1312">
        <f>'Haver Pivoted'!GU32</f>
        <v>1395</v>
      </c>
      <c r="K9" s="1312">
        <f>'Haver Pivoted'!GV32</f>
        <v>737.1</v>
      </c>
      <c r="L9" s="1312">
        <f>'Haver Pivoted'!GW32</f>
        <v>744.8</v>
      </c>
      <c r="M9" s="1312">
        <f>'Haver Pivoted'!GX32</f>
        <v>785.1</v>
      </c>
      <c r="N9" s="1312">
        <f>'Haver Pivoted'!GY32</f>
        <v>1653.7</v>
      </c>
      <c r="O9" s="1312">
        <f>'Haver Pivoted'!GZ32</f>
        <v>1085</v>
      </c>
      <c r="P9" s="1312">
        <f>'Haver Pivoted'!HA32</f>
        <v>924.7</v>
      </c>
      <c r="Q9" s="1312">
        <f>'Haver Pivoted'!HB32</f>
        <v>940</v>
      </c>
      <c r="R9" s="1312">
        <f>'Haver Pivoted'!HC32</f>
        <v>960.5</v>
      </c>
      <c r="S9" s="1313">
        <f>'Haver Pivoted'!HD32</f>
        <v>953.4</v>
      </c>
      <c r="T9" s="1314">
        <f>'Haver Pivoted'!HE32</f>
        <v>0</v>
      </c>
      <c r="U9" s="1278" t="e">
        <f t="shared" ref="T9:AC9" si="0">U10+U11</f>
        <v>#DIV/0!</v>
      </c>
      <c r="V9" s="261" t="e">
        <f t="shared" si="0"/>
        <v>#DIV/0!</v>
      </c>
      <c r="W9" s="261" t="e">
        <f t="shared" si="0"/>
        <v>#DIV/0!</v>
      </c>
      <c r="X9" s="261" t="e">
        <f t="shared" si="0"/>
        <v>#DIV/0!</v>
      </c>
      <c r="Y9" s="261" t="e">
        <f t="shared" si="0"/>
        <v>#DIV/0!</v>
      </c>
      <c r="Z9" s="261" t="e">
        <f t="shared" si="0"/>
        <v>#DIV/0!</v>
      </c>
      <c r="AA9" s="261" t="e">
        <f t="shared" si="0"/>
        <v>#DIV/0!</v>
      </c>
      <c r="AB9" s="261" t="e">
        <f t="shared" si="0"/>
        <v>#DIV/0!</v>
      </c>
      <c r="AC9" s="237" t="e">
        <f t="shared" si="0"/>
        <v>#DIV/0!</v>
      </c>
      <c r="AD9" s="312"/>
      <c r="AE9" s="365"/>
    </row>
    <row r="10" spans="2:34" ht="27.65" customHeight="1" x14ac:dyDescent="0.35">
      <c r="B10" s="372" t="s">
        <v>133</v>
      </c>
      <c r="C10" s="146" t="s">
        <v>387</v>
      </c>
      <c r="D10" s="280">
        <f>'Haver Pivoted'!GO40</f>
        <v>390.53500000000003</v>
      </c>
      <c r="E10" s="1304">
        <f>'Haver Pivoted'!GP40</f>
        <v>407.62099999999998</v>
      </c>
      <c r="F10" s="1304">
        <f>'Haver Pivoted'!GQ40</f>
        <v>416.459</v>
      </c>
      <c r="G10" s="1304">
        <f>'Haver Pivoted'!GR40</f>
        <v>418.661</v>
      </c>
      <c r="H10" s="1304">
        <f>'Haver Pivoted'!GS40</f>
        <v>411.69499999999999</v>
      </c>
      <c r="I10" s="1304">
        <f>'Haver Pivoted'!GT40</f>
        <v>428.30799999999999</v>
      </c>
      <c r="J10" s="1304">
        <f>'Haver Pivoted'!GU40</f>
        <v>506.81599999999997</v>
      </c>
      <c r="K10" s="1304">
        <f>'Haver Pivoted'!GV40</f>
        <v>484.78</v>
      </c>
      <c r="L10" s="1304">
        <f>'Haver Pivoted'!GW40</f>
        <v>500.25799999999998</v>
      </c>
      <c r="M10" s="1304">
        <f>'Haver Pivoted'!GX40</f>
        <v>509.42099999999999</v>
      </c>
      <c r="N10" s="1304">
        <f>'Haver Pivoted'!GY40</f>
        <v>527.01700000000005</v>
      </c>
      <c r="O10" s="1304">
        <f>'Haver Pivoted'!GZ40</f>
        <v>542.85299999999995</v>
      </c>
      <c r="P10" s="1304">
        <f>'Haver Pivoted'!HA40</f>
        <v>553.86500000000001</v>
      </c>
      <c r="Q10" s="1304">
        <f>'Haver Pivoted'!HB40</f>
        <v>592.26700000000005</v>
      </c>
      <c r="R10" s="1304">
        <f>'Haver Pivoted'!HC40</f>
        <v>590.13</v>
      </c>
      <c r="S10" s="1305">
        <f>'Haver Pivoted'!HD40</f>
        <v>605.63699999999994</v>
      </c>
      <c r="T10" s="278">
        <f>'Haver Pivoted'!HE40</f>
        <v>0</v>
      </c>
      <c r="U10" s="284" t="e">
        <f>Medicaid!U34</f>
        <v>#DIV/0!</v>
      </c>
      <c r="V10" s="284" t="e">
        <f>Medicaid!V34</f>
        <v>#DIV/0!</v>
      </c>
      <c r="W10" s="284" t="e">
        <f>Medicaid!W34</f>
        <v>#DIV/0!</v>
      </c>
      <c r="X10" s="284" t="e">
        <f>Medicaid!X34</f>
        <v>#DIV/0!</v>
      </c>
      <c r="Y10" s="284" t="e">
        <f>Medicaid!Y34</f>
        <v>#DIV/0!</v>
      </c>
      <c r="Z10" s="284" t="e">
        <f>Medicaid!Z34</f>
        <v>#DIV/0!</v>
      </c>
      <c r="AA10" s="284" t="e">
        <f>Medicaid!AA34</f>
        <v>#DIV/0!</v>
      </c>
      <c r="AB10" s="284" t="e">
        <f>Medicaid!AB34</f>
        <v>#DIV/0!</v>
      </c>
      <c r="AC10" s="359" t="e">
        <f>Medicaid!AC34</f>
        <v>#DIV/0!</v>
      </c>
      <c r="AD10" s="302"/>
      <c r="AE10" s="344"/>
    </row>
    <row r="11" spans="2:34" ht="17.25" customHeight="1" x14ac:dyDescent="0.35">
      <c r="B11" s="251" t="s">
        <v>388</v>
      </c>
      <c r="C11" s="146"/>
      <c r="D11" s="280">
        <f t="shared" ref="D11:G11" si="1">D9-D10</f>
        <v>197.26499999999993</v>
      </c>
      <c r="E11" s="1304">
        <f t="shared" si="1"/>
        <v>184.779</v>
      </c>
      <c r="F11" s="1304">
        <f t="shared" si="1"/>
        <v>199.041</v>
      </c>
      <c r="G11" s="1304">
        <f t="shared" si="1"/>
        <v>191.73899999999998</v>
      </c>
      <c r="H11" s="1304">
        <f>H9-H10</f>
        <v>205.80500000000001</v>
      </c>
      <c r="I11" s="1304">
        <f t="shared" ref="I11:N11" si="2">I9-I10</f>
        <v>210.29200000000003</v>
      </c>
      <c r="J11" s="1304">
        <f t="shared" si="2"/>
        <v>888.18399999999997</v>
      </c>
      <c r="K11" s="1304">
        <f t="shared" si="2"/>
        <v>252.32000000000005</v>
      </c>
      <c r="L11" s="1304">
        <f t="shared" si="2"/>
        <v>244.54199999999997</v>
      </c>
      <c r="M11" s="1304">
        <f t="shared" si="2"/>
        <v>275.67900000000003</v>
      </c>
      <c r="N11" s="1304">
        <f t="shared" si="2"/>
        <v>1126.683</v>
      </c>
      <c r="O11" s="1304">
        <f>O9-O10</f>
        <v>542.14700000000005</v>
      </c>
      <c r="P11" s="1304">
        <f>P9-P10</f>
        <v>370.83500000000004</v>
      </c>
      <c r="Q11" s="1304">
        <f>Q9-Q10</f>
        <v>347.73299999999995</v>
      </c>
      <c r="R11" s="1304">
        <f>R9-R10</f>
        <v>370.37</v>
      </c>
      <c r="S11" s="1305">
        <f>S9-S10</f>
        <v>347.76300000000003</v>
      </c>
      <c r="T11" s="278">
        <f>T9-T10</f>
        <v>0</v>
      </c>
      <c r="U11" s="284">
        <f t="shared" ref="T11:AC11" si="3">SUM(U12:U20)</f>
        <v>60.477232765115801</v>
      </c>
      <c r="V11" s="284">
        <f t="shared" si="3"/>
        <v>60.020677466198649</v>
      </c>
      <c r="W11" s="284">
        <f t="shared" si="3"/>
        <v>59.559623542309176</v>
      </c>
      <c r="X11" s="284">
        <f t="shared" si="3"/>
        <v>33.83602666666664</v>
      </c>
      <c r="Y11" s="284">
        <f t="shared" si="3"/>
        <v>8.3658420757204794</v>
      </c>
      <c r="Z11" s="284">
        <f t="shared" si="3"/>
        <v>-11.108975435153361</v>
      </c>
      <c r="AA11" s="284">
        <f t="shared" si="3"/>
        <v>-11.588471515998414</v>
      </c>
      <c r="AB11" s="284">
        <f t="shared" si="3"/>
        <v>-25.948692266666665</v>
      </c>
      <c r="AC11" s="359">
        <f t="shared" si="3"/>
        <v>-26.437684241250697</v>
      </c>
      <c r="AD11" s="302"/>
      <c r="AE11" s="344"/>
    </row>
    <row r="12" spans="2:34" ht="16.25" customHeight="1" x14ac:dyDescent="0.35">
      <c r="B12" s="369" t="s">
        <v>149</v>
      </c>
      <c r="C12" s="53" t="s">
        <v>389</v>
      </c>
      <c r="D12" s="383"/>
      <c r="E12" s="1318"/>
      <c r="F12" s="1318"/>
      <c r="G12" s="1318"/>
      <c r="H12" s="1304"/>
      <c r="I12" s="1304"/>
      <c r="J12" s="1304">
        <f>'Haver Pivoted'!GU56</f>
        <v>597.9</v>
      </c>
      <c r="K12" s="1304"/>
      <c r="L12" s="1304"/>
      <c r="M12" s="1304"/>
      <c r="N12" s="1304"/>
      <c r="O12" s="1306">
        <v>0</v>
      </c>
      <c r="P12" s="1306">
        <v>0</v>
      </c>
      <c r="Q12" s="1306">
        <v>0</v>
      </c>
      <c r="R12" s="1306">
        <v>0</v>
      </c>
      <c r="S12" s="1306">
        <v>0</v>
      </c>
      <c r="T12" s="1309">
        <v>0</v>
      </c>
      <c r="U12" s="284">
        <v>0</v>
      </c>
      <c r="V12" s="284">
        <v>0</v>
      </c>
      <c r="W12" s="284">
        <v>0</v>
      </c>
      <c r="X12" s="284">
        <v>0</v>
      </c>
      <c r="Y12" s="284">
        <v>0</v>
      </c>
      <c r="Z12" s="284">
        <v>0</v>
      </c>
      <c r="AA12" s="284">
        <v>0</v>
      </c>
      <c r="AB12" s="284">
        <v>0</v>
      </c>
      <c r="AC12" s="359">
        <v>0</v>
      </c>
      <c r="AD12" s="302">
        <f>SUM(I12:Y12)/4</f>
        <v>149.47499999999999</v>
      </c>
      <c r="AE12" s="344">
        <f>AD36</f>
        <v>150</v>
      </c>
    </row>
    <row r="13" spans="2:34" x14ac:dyDescent="0.35">
      <c r="B13" s="369" t="s">
        <v>150</v>
      </c>
      <c r="C13" s="53" t="s">
        <v>390</v>
      </c>
      <c r="D13" s="383"/>
      <c r="E13" s="1318"/>
      <c r="F13" s="1318"/>
      <c r="G13" s="1318"/>
      <c r="H13" s="1304"/>
      <c r="I13" s="1304"/>
      <c r="J13" s="1304">
        <f>'Haver Pivoted'!GU57</f>
        <v>28.4</v>
      </c>
      <c r="K13" s="1304">
        <f>'Haver Pivoted'!GV57</f>
        <v>15.8</v>
      </c>
      <c r="L13" s="1304">
        <f>'Haver Pivoted'!GW57</f>
        <v>15.2</v>
      </c>
      <c r="M13" s="1304">
        <f>'Haver Pivoted'!GX57</f>
        <v>28.9</v>
      </c>
      <c r="N13" s="1304">
        <f>'Haver Pivoted'!GY57</f>
        <v>67.599999999999994</v>
      </c>
      <c r="O13" s="1304">
        <f>'Haver Pivoted'!GZ57</f>
        <v>80.7</v>
      </c>
      <c r="P13" s="1304">
        <f>'Haver Pivoted'!HA57</f>
        <v>87.2</v>
      </c>
      <c r="Q13" s="1304">
        <f>'Haver Pivoted'!HB57</f>
        <v>72.400000000000006</v>
      </c>
      <c r="R13" s="1304">
        <f>'Haver Pivoted'!HC57</f>
        <v>85.9</v>
      </c>
      <c r="S13" s="1305">
        <f>'Haver Pivoted'!HD57</f>
        <v>68.3</v>
      </c>
      <c r="T13" s="278">
        <f>'Haver Pivoted'!HE57</f>
        <v>0</v>
      </c>
      <c r="U13" s="284">
        <f t="shared" ref="T13:AC13" si="4">U37+U41+U47</f>
        <v>60.929333333333297</v>
      </c>
      <c r="V13" s="284">
        <f t="shared" si="4"/>
        <v>60.929333333333297</v>
      </c>
      <c r="W13" s="284">
        <f t="shared" si="4"/>
        <v>60.929333333333297</v>
      </c>
      <c r="X13" s="284">
        <f t="shared" si="4"/>
        <v>54.244333333333302</v>
      </c>
      <c r="Y13" s="284">
        <f t="shared" si="4"/>
        <v>50.911000000000001</v>
      </c>
      <c r="Z13" s="284">
        <f t="shared" si="4"/>
        <v>31.911000000000001</v>
      </c>
      <c r="AA13" s="284">
        <f t="shared" si="4"/>
        <v>31.911000000000001</v>
      </c>
      <c r="AB13" s="284">
        <f t="shared" si="4"/>
        <v>23.099</v>
      </c>
      <c r="AC13" s="359">
        <f t="shared" si="4"/>
        <v>23.099</v>
      </c>
      <c r="AD13" s="302">
        <f t="shared" ref="AD13:AD19" si="5">SUM(I13:Y13)/4</f>
        <v>209.58583333333326</v>
      </c>
      <c r="AE13" s="344">
        <f>AD37+AD41+AD47</f>
        <v>225.76349999999994</v>
      </c>
      <c r="AF13" s="57">
        <f>SUM(J13:R13)/4</f>
        <v>120.52500000000001</v>
      </c>
    </row>
    <row r="14" spans="2:34" x14ac:dyDescent="0.35">
      <c r="B14" s="369" t="s">
        <v>152</v>
      </c>
      <c r="C14" s="50" t="s">
        <v>355</v>
      </c>
      <c r="D14" s="311"/>
      <c r="E14" s="1004"/>
      <c r="F14" s="1004"/>
      <c r="G14" s="1004"/>
      <c r="H14" s="1304"/>
      <c r="I14" s="1304"/>
      <c r="J14" s="1304">
        <f>'Haver Pivoted'!GU58</f>
        <v>64.400000000000006</v>
      </c>
      <c r="K14" s="1304">
        <f>'Haver Pivoted'!GV58</f>
        <v>23.4</v>
      </c>
      <c r="L14" s="1304">
        <f>'Haver Pivoted'!GW58</f>
        <v>13.8</v>
      </c>
      <c r="M14" s="1304">
        <f>'Haver Pivoted'!GX58</f>
        <v>12</v>
      </c>
      <c r="N14" s="1304">
        <f>'Haver Pivoted'!GY58</f>
        <v>7.5</v>
      </c>
      <c r="O14" s="1304">
        <f>'Haver Pivoted'!GZ58</f>
        <v>10.5</v>
      </c>
      <c r="P14" s="1304">
        <f>'Haver Pivoted'!HA58</f>
        <v>18</v>
      </c>
      <c r="Q14" s="1304">
        <f>'Haver Pivoted'!HB58</f>
        <v>15</v>
      </c>
      <c r="R14" s="1304">
        <f>'Haver Pivoted'!HC58</f>
        <v>11.2</v>
      </c>
      <c r="S14" s="1305">
        <f>'Haver Pivoted'!HD58</f>
        <v>7.5</v>
      </c>
      <c r="T14" s="278">
        <f>'Haver Pivoted'!HE58</f>
        <v>0</v>
      </c>
      <c r="U14" s="284">
        <f>'Provider Relief'!U12</f>
        <v>0</v>
      </c>
      <c r="V14" s="284">
        <f>'Provider Relief'!V12</f>
        <v>0</v>
      </c>
      <c r="W14" s="284">
        <f>'Provider Relief'!W12</f>
        <v>0</v>
      </c>
      <c r="X14" s="284">
        <f>'Provider Relief'!X12</f>
        <v>0</v>
      </c>
      <c r="Y14" s="284">
        <f>'Provider Relief'!Y12</f>
        <v>0</v>
      </c>
      <c r="Z14" s="284">
        <f>'Provider Relief'!Z12</f>
        <v>0</v>
      </c>
      <c r="AA14" s="284">
        <f>'Provider Relief'!AA12</f>
        <v>0</v>
      </c>
      <c r="AB14" s="284">
        <f>'Provider Relief'!AB12</f>
        <v>0</v>
      </c>
      <c r="AC14" s="359">
        <f>'Provider Relief'!AC12</f>
        <v>0</v>
      </c>
      <c r="AD14" s="302">
        <f>SUM(I14:Y14)/4</f>
        <v>45.825000000000003</v>
      </c>
      <c r="AE14" s="344">
        <f>AD38+AD42+AD48</f>
        <v>34.125000000000007</v>
      </c>
    </row>
    <row r="15" spans="2:34" ht="15.75" customHeight="1" x14ac:dyDescent="0.35">
      <c r="B15" s="369" t="s">
        <v>391</v>
      </c>
      <c r="C15" s="50"/>
      <c r="D15" s="311"/>
      <c r="E15" s="1004"/>
      <c r="F15" s="1004"/>
      <c r="G15" s="1004"/>
      <c r="H15" s="1304"/>
      <c r="I15" s="1304"/>
      <c r="J15" s="1304"/>
      <c r="K15" s="1304"/>
      <c r="L15" s="1304"/>
      <c r="M15" s="1304">
        <f>M40</f>
        <v>9.6666666666666661</v>
      </c>
      <c r="N15" s="1306">
        <f t="shared" ref="N15:AC15" si="6">N40</f>
        <v>9.6666666666666661</v>
      </c>
      <c r="O15" s="1306">
        <f t="shared" si="6"/>
        <v>9.6666666666666661</v>
      </c>
      <c r="P15" s="1306">
        <f>P40</f>
        <v>9.6666666666666661</v>
      </c>
      <c r="Q15" s="1306">
        <f>Q40</f>
        <v>9.6666666666666661</v>
      </c>
      <c r="R15" s="1306">
        <f t="shared" si="6"/>
        <v>9.6666666666666661</v>
      </c>
      <c r="S15" s="1310">
        <f t="shared" si="6"/>
        <v>9.6666666666666661</v>
      </c>
      <c r="T15" s="1309">
        <f t="shared" si="6"/>
        <v>9.6666666666666661</v>
      </c>
      <c r="U15" s="284">
        <f t="shared" si="6"/>
        <v>9.6666666666666661</v>
      </c>
      <c r="V15" s="284">
        <f t="shared" si="6"/>
        <v>9.6666666666666661</v>
      </c>
      <c r="W15" s="284">
        <f t="shared" si="6"/>
        <v>9.6666666666666661</v>
      </c>
      <c r="X15" s="284">
        <f t="shared" si="6"/>
        <v>9.6666666666666661</v>
      </c>
      <c r="Y15" s="284">
        <f t="shared" si="6"/>
        <v>0</v>
      </c>
      <c r="Z15" s="284">
        <f t="shared" si="6"/>
        <v>0</v>
      </c>
      <c r="AA15" s="284">
        <f t="shared" si="6"/>
        <v>0</v>
      </c>
      <c r="AB15" s="284">
        <f t="shared" si="6"/>
        <v>0</v>
      </c>
      <c r="AC15" s="359">
        <f t="shared" si="6"/>
        <v>0</v>
      </c>
      <c r="AD15" s="302">
        <f>SUM(I15:Y15)/4</f>
        <v>29.000000000000004</v>
      </c>
      <c r="AE15" s="345">
        <f>AD40</f>
        <v>29.000000000000004</v>
      </c>
      <c r="AF15" s="294" t="s">
        <v>392</v>
      </c>
      <c r="AG15" s="294"/>
      <c r="AH15" s="294"/>
    </row>
    <row r="16" spans="2:34" ht="31.25" customHeight="1" x14ac:dyDescent="0.35">
      <c r="B16" s="369" t="s">
        <v>393</v>
      </c>
      <c r="C16" s="50"/>
      <c r="D16" s="311"/>
      <c r="E16" s="1004"/>
      <c r="F16" s="1004"/>
      <c r="G16" s="1004"/>
      <c r="H16" s="1304"/>
      <c r="I16" s="1304"/>
      <c r="J16" s="1304"/>
      <c r="K16" s="1304"/>
      <c r="L16" s="1304"/>
      <c r="M16" s="1304">
        <f>M44+M43</f>
        <v>12</v>
      </c>
      <c r="N16" s="1306">
        <f>N44+N43</f>
        <v>12</v>
      </c>
      <c r="O16" s="1306">
        <f>O44+O43</f>
        <v>12</v>
      </c>
      <c r="P16" s="1306">
        <f t="shared" ref="P16:AC16" si="7">P44+P43</f>
        <v>12</v>
      </c>
      <c r="Q16" s="1306">
        <f t="shared" si="7"/>
        <v>12</v>
      </c>
      <c r="R16" s="1306">
        <f t="shared" si="7"/>
        <v>12</v>
      </c>
      <c r="S16" s="1310">
        <f t="shared" si="7"/>
        <v>12</v>
      </c>
      <c r="T16" s="1309">
        <f t="shared" si="7"/>
        <v>12</v>
      </c>
      <c r="U16" s="284">
        <f t="shared" si="7"/>
        <v>12</v>
      </c>
      <c r="V16" s="284">
        <f t="shared" si="7"/>
        <v>12</v>
      </c>
      <c r="W16" s="284">
        <f t="shared" si="7"/>
        <v>12</v>
      </c>
      <c r="X16" s="284">
        <f t="shared" si="7"/>
        <v>12</v>
      </c>
      <c r="Y16" s="284">
        <f t="shared" si="7"/>
        <v>0</v>
      </c>
      <c r="Z16" s="284">
        <f t="shared" si="7"/>
        <v>0</v>
      </c>
      <c r="AA16" s="284">
        <f t="shared" si="7"/>
        <v>0</v>
      </c>
      <c r="AB16" s="284">
        <f t="shared" si="7"/>
        <v>0</v>
      </c>
      <c r="AC16" s="359">
        <f t="shared" si="7"/>
        <v>0</v>
      </c>
      <c r="AD16" s="302">
        <f>SUM(I16:Y16)/4</f>
        <v>36</v>
      </c>
      <c r="AE16" s="344">
        <f>SUM(AD43:AD44)+AD49</f>
        <v>130.3365</v>
      </c>
      <c r="AF16" s="294" t="s">
        <v>394</v>
      </c>
      <c r="AG16" s="294"/>
      <c r="AH16" s="294"/>
    </row>
    <row r="17" spans="1:34" x14ac:dyDescent="0.35">
      <c r="B17" s="369" t="s">
        <v>395</v>
      </c>
      <c r="C17" s="50"/>
      <c r="D17" s="311"/>
      <c r="E17" s="1004"/>
      <c r="F17" s="1004"/>
      <c r="G17" s="1004"/>
      <c r="H17" s="1304"/>
      <c r="I17" s="1304"/>
      <c r="J17" s="1304"/>
      <c r="K17" s="1304"/>
      <c r="L17" s="1304"/>
      <c r="M17" s="1304"/>
      <c r="N17" s="1306">
        <f>N49</f>
        <v>59.256</v>
      </c>
      <c r="O17" s="1306">
        <f>O49</f>
        <v>59.256</v>
      </c>
      <c r="P17" s="1306">
        <f>P49</f>
        <v>35.671000000000006</v>
      </c>
      <c r="Q17" s="1306">
        <f>Q49</f>
        <v>35.671000000000006</v>
      </c>
      <c r="R17" s="1306">
        <f t="shared" ref="R17:AC17" si="8">R49</f>
        <v>35.671000000000006</v>
      </c>
      <c r="S17" s="1310">
        <f t="shared" si="8"/>
        <v>35.671000000000006</v>
      </c>
      <c r="T17" s="1309">
        <f t="shared" si="8"/>
        <v>24.216000000000001</v>
      </c>
      <c r="U17" s="284">
        <f t="shared" si="8"/>
        <v>24.216000000000001</v>
      </c>
      <c r="V17" s="284">
        <f t="shared" si="8"/>
        <v>24.216000000000001</v>
      </c>
      <c r="W17" s="284">
        <f t="shared" si="8"/>
        <v>24.216000000000001</v>
      </c>
      <c r="X17" s="284">
        <f t="shared" si="8"/>
        <v>9.6430000000000007</v>
      </c>
      <c r="Y17" s="284">
        <f t="shared" si="8"/>
        <v>9.6430000000000007</v>
      </c>
      <c r="Z17" s="284">
        <f t="shared" si="8"/>
        <v>9.6430000000000007</v>
      </c>
      <c r="AA17" s="284">
        <f t="shared" si="8"/>
        <v>9.6430000000000007</v>
      </c>
      <c r="AB17" s="284">
        <f t="shared" si="8"/>
        <v>4.5789999999999997</v>
      </c>
      <c r="AC17" s="359">
        <f t="shared" si="8"/>
        <v>4.5789999999999997</v>
      </c>
      <c r="AD17" s="302">
        <f>SUM(I17:Y17)/4</f>
        <v>94.336500000000001</v>
      </c>
      <c r="AE17" s="344"/>
      <c r="AF17" s="294"/>
      <c r="AG17" s="294"/>
      <c r="AH17" s="294"/>
    </row>
    <row r="18" spans="1:34" ht="41.75" customHeight="1" x14ac:dyDescent="0.35">
      <c r="B18" s="352" t="s">
        <v>847</v>
      </c>
      <c r="C18" s="50"/>
      <c r="D18" s="311"/>
      <c r="E18" s="1004"/>
      <c r="F18" s="1004"/>
      <c r="G18" s="1004"/>
      <c r="H18" s="1304"/>
      <c r="I18" s="1304"/>
      <c r="J18" s="1304"/>
      <c r="K18" s="1304"/>
      <c r="L18" s="1304"/>
      <c r="M18" s="1304"/>
      <c r="N18" s="1306">
        <v>-40</v>
      </c>
      <c r="O18" s="1306">
        <v>-40</v>
      </c>
      <c r="P18" s="1306">
        <f>-51</f>
        <v>-51</v>
      </c>
      <c r="Q18" s="1306">
        <f>-51</f>
        <v>-51</v>
      </c>
      <c r="R18" s="1306">
        <v>-51</v>
      </c>
      <c r="S18" s="1306">
        <f>-51</f>
        <v>-51</v>
      </c>
      <c r="T18" s="1309">
        <v>0</v>
      </c>
      <c r="U18" s="284">
        <v>0</v>
      </c>
      <c r="V18" s="284">
        <v>0</v>
      </c>
      <c r="W18" s="284">
        <v>0</v>
      </c>
      <c r="X18" s="284">
        <v>-4</v>
      </c>
      <c r="Y18" s="284">
        <v>-4</v>
      </c>
      <c r="Z18" s="284">
        <v>-4</v>
      </c>
      <c r="AA18" s="284">
        <v>-4</v>
      </c>
      <c r="AB18" s="284">
        <v>-4</v>
      </c>
      <c r="AC18" s="359">
        <v>-4</v>
      </c>
      <c r="AD18" s="302"/>
      <c r="AE18" s="344"/>
      <c r="AF18" s="294"/>
      <c r="AG18" s="294"/>
      <c r="AH18" s="294"/>
    </row>
    <row r="19" spans="1:34" ht="15.75" customHeight="1" x14ac:dyDescent="0.35">
      <c r="B19" s="369" t="s">
        <v>396</v>
      </c>
      <c r="C19" s="53" t="s">
        <v>397</v>
      </c>
      <c r="D19" s="311"/>
      <c r="E19" s="1004"/>
      <c r="F19" s="1004"/>
      <c r="G19" s="1004"/>
      <c r="H19" s="1304"/>
      <c r="I19" s="1304"/>
      <c r="J19" s="1304"/>
      <c r="K19" s="1304">
        <f>'Haver Pivoted'!GV56</f>
        <v>0</v>
      </c>
      <c r="L19" s="1304">
        <f>'Haver Pivoted'!GW56</f>
        <v>0</v>
      </c>
      <c r="M19" s="1304">
        <f>'Haver Pivoted'!GX56</f>
        <v>0</v>
      </c>
      <c r="N19" s="1304">
        <f>'Haver Pivoted'!GY56</f>
        <v>785.9</v>
      </c>
      <c r="O19" s="1304">
        <f>'Haver Pivoted'!GZ56</f>
        <v>187.9</v>
      </c>
      <c r="P19" s="1304">
        <f>'Haver Pivoted'!HA56</f>
        <v>9.1999999999999993</v>
      </c>
      <c r="Q19" s="1304">
        <f>'Haver Pivoted'!HB56</f>
        <v>0.6</v>
      </c>
      <c r="R19" s="1304">
        <f>'Haver Pivoted'!HC56</f>
        <v>0</v>
      </c>
      <c r="S19" s="1305">
        <f>'Haver Pivoted'!HD56</f>
        <v>0</v>
      </c>
      <c r="T19" s="278">
        <f>'Haver Pivoted'!HE56</f>
        <v>0</v>
      </c>
      <c r="U19" s="285">
        <f t="shared" ref="T19:AC19" si="9">U46</f>
        <v>0</v>
      </c>
      <c r="V19" s="285">
        <f t="shared" si="9"/>
        <v>0</v>
      </c>
      <c r="W19" s="285">
        <f t="shared" si="9"/>
        <v>0</v>
      </c>
      <c r="X19" s="285">
        <f t="shared" si="9"/>
        <v>0</v>
      </c>
      <c r="Y19" s="285">
        <f t="shared" si="9"/>
        <v>0</v>
      </c>
      <c r="Z19" s="285">
        <f t="shared" si="9"/>
        <v>0</v>
      </c>
      <c r="AA19" s="285">
        <f t="shared" si="9"/>
        <v>0</v>
      </c>
      <c r="AB19" s="285">
        <f t="shared" si="9"/>
        <v>0</v>
      </c>
      <c r="AC19" s="358">
        <f t="shared" si="9"/>
        <v>0</v>
      </c>
      <c r="AD19" s="302">
        <f t="shared" si="5"/>
        <v>245.9</v>
      </c>
      <c r="AE19" s="344">
        <f>AD46</f>
        <v>362.04999999999995</v>
      </c>
      <c r="AF19" s="323"/>
      <c r="AH19" s="294"/>
    </row>
    <row r="20" spans="1:34" ht="15.75" customHeight="1" x14ac:dyDescent="0.35">
      <c r="A20" s="297"/>
      <c r="B20" s="295" t="s">
        <v>398</v>
      </c>
      <c r="C20" s="315"/>
      <c r="D20" s="313">
        <f t="shared" ref="D20:T20" si="10">D11-SUM(D12:D19)</f>
        <v>197.26499999999993</v>
      </c>
      <c r="E20" s="315">
        <f t="shared" si="10"/>
        <v>184.779</v>
      </c>
      <c r="F20" s="315">
        <f t="shared" si="10"/>
        <v>199.041</v>
      </c>
      <c r="G20" s="315">
        <f t="shared" si="10"/>
        <v>191.73899999999998</v>
      </c>
      <c r="H20" s="315">
        <f t="shared" si="10"/>
        <v>205.80500000000001</v>
      </c>
      <c r="I20" s="315">
        <f t="shared" si="10"/>
        <v>210.29200000000003</v>
      </c>
      <c r="J20" s="315">
        <f t="shared" si="10"/>
        <v>197.48400000000004</v>
      </c>
      <c r="K20" s="315">
        <f t="shared" si="10"/>
        <v>213.12000000000006</v>
      </c>
      <c r="L20" s="315">
        <f t="shared" si="10"/>
        <v>215.54199999999997</v>
      </c>
      <c r="M20" s="315">
        <f t="shared" si="10"/>
        <v>213.11233333333337</v>
      </c>
      <c r="N20" s="315">
        <f t="shared" si="10"/>
        <v>224.76033333333339</v>
      </c>
      <c r="O20" s="315">
        <f t="shared" si="10"/>
        <v>222.12433333333337</v>
      </c>
      <c r="P20" s="315">
        <f t="shared" si="10"/>
        <v>250.09733333333338</v>
      </c>
      <c r="Q20" s="315">
        <f t="shared" si="10"/>
        <v>253.39533333333327</v>
      </c>
      <c r="R20" s="315">
        <f t="shared" si="10"/>
        <v>266.9323333333333</v>
      </c>
      <c r="S20" s="1307">
        <f t="shared" si="10"/>
        <v>265.62533333333334</v>
      </c>
      <c r="T20" s="279">
        <f t="shared" si="10"/>
        <v>-45.882666666666665</v>
      </c>
      <c r="U20" s="250">
        <f t="shared" ref="T20:AC20" si="11">T20*(1.04)^0.25</f>
        <v>-46.334767234884154</v>
      </c>
      <c r="V20" s="250">
        <f t="shared" si="11"/>
        <v>-46.791322533801306</v>
      </c>
      <c r="W20" s="250">
        <f t="shared" si="11"/>
        <v>-47.252376457690779</v>
      </c>
      <c r="X20" s="250">
        <f t="shared" si="11"/>
        <v>-47.717973333333333</v>
      </c>
      <c r="Y20" s="250">
        <f t="shared" si="11"/>
        <v>-48.188157924279523</v>
      </c>
      <c r="Z20" s="250">
        <f t="shared" si="11"/>
        <v>-48.662975435153363</v>
      </c>
      <c r="AA20" s="250">
        <f t="shared" si="11"/>
        <v>-49.142471515998416</v>
      </c>
      <c r="AB20" s="250">
        <f t="shared" si="11"/>
        <v>-49.626692266666666</v>
      </c>
      <c r="AC20" s="378">
        <f t="shared" si="11"/>
        <v>-50.115684241250698</v>
      </c>
      <c r="AD20" s="350"/>
      <c r="AE20" s="346"/>
      <c r="AF20" s="294" t="s">
        <v>399</v>
      </c>
      <c r="AG20" s="294"/>
      <c r="AH20" s="294"/>
    </row>
    <row r="21" spans="1:34" ht="15.75" customHeight="1" x14ac:dyDescent="0.35">
      <c r="A21" s="2"/>
      <c r="B21" s="296"/>
      <c r="C21" s="50"/>
      <c r="D21" s="50"/>
      <c r="E21" s="50"/>
      <c r="F21" s="50"/>
      <c r="G21" s="50"/>
      <c r="H21" s="50"/>
      <c r="I21" s="50"/>
      <c r="J21" s="50"/>
      <c r="K21" s="50"/>
      <c r="L21" s="50"/>
      <c r="M21" s="50"/>
      <c r="N21" s="50"/>
      <c r="O21" s="309"/>
      <c r="P21" s="50"/>
      <c r="Q21" s="154"/>
      <c r="R21" s="154"/>
      <c r="S21" s="154"/>
      <c r="T21" s="154"/>
      <c r="U21" s="154"/>
      <c r="V21" s="154"/>
      <c r="W21" s="154"/>
      <c r="X21" s="154"/>
      <c r="Y21" s="154"/>
      <c r="Z21" s="154"/>
      <c r="AA21" s="154"/>
      <c r="AB21" s="154"/>
      <c r="AC21" s="154"/>
      <c r="AD21" s="154"/>
      <c r="AE21" s="300"/>
      <c r="AF21" s="294"/>
      <c r="AG21" s="294"/>
      <c r="AH21" s="294"/>
    </row>
    <row r="22" spans="1:34" ht="15.75" customHeight="1" x14ac:dyDescent="0.35">
      <c r="A22" s="2"/>
      <c r="B22" s="296"/>
      <c r="C22" s="50"/>
      <c r="D22" s="50"/>
      <c r="E22" s="50"/>
      <c r="F22" s="50"/>
      <c r="G22" s="50"/>
      <c r="H22" s="50"/>
      <c r="I22" s="50"/>
      <c r="J22" s="50"/>
      <c r="K22" s="50"/>
      <c r="L22" s="50"/>
      <c r="M22" s="50"/>
      <c r="N22" s="50"/>
      <c r="O22" s="309"/>
      <c r="P22" s="50"/>
      <c r="Q22" s="154"/>
      <c r="R22" s="154"/>
      <c r="S22" s="154"/>
      <c r="T22" s="154"/>
      <c r="U22" s="154"/>
      <c r="V22" s="154"/>
      <c r="W22" s="154"/>
      <c r="X22" s="154"/>
      <c r="Y22" s="154"/>
      <c r="Z22" s="154"/>
      <c r="AA22" s="154"/>
      <c r="AB22" s="154"/>
      <c r="AC22" s="154"/>
      <c r="AD22" s="154"/>
      <c r="AE22" s="300"/>
      <c r="AF22" s="294"/>
      <c r="AG22" s="294"/>
      <c r="AH22" s="294"/>
    </row>
    <row r="23" spans="1:34" ht="15.75" customHeight="1" x14ac:dyDescent="0.35">
      <c r="A23" s="2"/>
      <c r="B23" s="296"/>
      <c r="C23" s="50"/>
      <c r="D23" s="50"/>
      <c r="E23" s="50"/>
      <c r="F23" s="50"/>
      <c r="G23" s="50"/>
      <c r="H23" s="50"/>
      <c r="I23" s="50"/>
      <c r="J23" s="50"/>
      <c r="K23" s="50"/>
      <c r="L23" s="50"/>
      <c r="M23" s="50"/>
      <c r="N23" s="50"/>
      <c r="O23" s="309"/>
      <c r="P23" s="50"/>
      <c r="Q23" s="154"/>
      <c r="R23" s="154"/>
      <c r="S23" s="154"/>
      <c r="T23" s="154"/>
      <c r="U23" s="154"/>
      <c r="V23" s="154"/>
      <c r="W23" s="154"/>
      <c r="X23" s="154"/>
      <c r="Y23" s="154"/>
      <c r="Z23" s="154"/>
      <c r="AA23" s="154"/>
      <c r="AB23" s="154"/>
      <c r="AC23" s="154"/>
      <c r="AD23" s="154"/>
      <c r="AE23" s="300"/>
      <c r="AF23" s="294"/>
      <c r="AG23" s="294"/>
      <c r="AH23" s="294"/>
    </row>
    <row r="24" spans="1:34" ht="15.75" customHeight="1" x14ac:dyDescent="0.35">
      <c r="A24" s="2"/>
      <c r="B24" s="296"/>
      <c r="C24" s="50"/>
      <c r="D24" s="50"/>
      <c r="E24" s="50"/>
      <c r="F24" s="50"/>
      <c r="G24" s="50"/>
      <c r="H24" s="50"/>
      <c r="I24" s="50"/>
      <c r="J24" s="50"/>
      <c r="K24" s="50"/>
      <c r="L24" s="50"/>
      <c r="M24" s="50"/>
      <c r="N24" s="50"/>
      <c r="O24" s="309"/>
      <c r="P24" s="50"/>
      <c r="Q24" s="154"/>
      <c r="R24" s="154"/>
      <c r="S24" s="154"/>
      <c r="T24" s="154"/>
      <c r="U24" s="154"/>
      <c r="V24" s="154"/>
      <c r="W24" s="154"/>
      <c r="X24" s="154"/>
      <c r="Y24" s="154"/>
      <c r="Z24" s="154"/>
      <c r="AA24" s="154"/>
      <c r="AB24" s="154"/>
      <c r="AC24" s="154"/>
      <c r="AD24" s="154"/>
      <c r="AE24" s="300"/>
      <c r="AF24" s="294"/>
      <c r="AG24" s="294"/>
      <c r="AH24" s="294"/>
    </row>
    <row r="25" spans="1:34" ht="15.75" customHeight="1" x14ac:dyDescent="0.35">
      <c r="A25" s="2"/>
      <c r="B25" s="296"/>
      <c r="C25" s="50"/>
      <c r="D25" s="50"/>
      <c r="E25" s="50"/>
      <c r="F25" s="50"/>
      <c r="G25" s="50"/>
      <c r="H25" s="50"/>
      <c r="I25" s="50"/>
      <c r="J25" s="50"/>
      <c r="K25" s="50"/>
      <c r="L25" s="50"/>
      <c r="M25" s="50"/>
      <c r="N25" s="50"/>
      <c r="O25" s="309"/>
      <c r="P25" s="50"/>
      <c r="Q25" s="154"/>
      <c r="R25" s="154"/>
      <c r="S25" s="154"/>
      <c r="T25" s="154"/>
      <c r="U25" s="154"/>
      <c r="V25" s="154"/>
      <c r="W25" s="154"/>
      <c r="X25" s="154"/>
      <c r="Y25" s="154"/>
      <c r="Z25" s="154"/>
      <c r="AA25" s="154"/>
      <c r="AB25" s="154"/>
      <c r="AC25" s="154"/>
      <c r="AD25" s="154"/>
      <c r="AE25" s="300"/>
      <c r="AF25" s="294"/>
      <c r="AG25" s="294"/>
      <c r="AH25" s="294"/>
    </row>
    <row r="26" spans="1:34" ht="15.75" customHeight="1" x14ac:dyDescent="0.35">
      <c r="A26" s="2"/>
      <c r="B26" s="296"/>
      <c r="C26" s="50"/>
      <c r="D26" s="50"/>
      <c r="E26" s="50"/>
      <c r="F26" s="50"/>
      <c r="G26" s="50"/>
      <c r="H26" s="50"/>
      <c r="I26" s="50"/>
      <c r="J26" s="50"/>
      <c r="K26" s="50"/>
      <c r="L26" s="50"/>
      <c r="M26" s="50"/>
      <c r="N26" s="50"/>
      <c r="O26" s="309"/>
      <c r="P26" s="50"/>
      <c r="Q26" s="154"/>
      <c r="R26" s="154"/>
      <c r="S26" s="154"/>
      <c r="T26" s="154"/>
      <c r="U26" s="154"/>
      <c r="V26" s="154"/>
      <c r="W26" s="154"/>
      <c r="X26" s="154"/>
      <c r="Y26" s="154"/>
      <c r="Z26" s="154"/>
      <c r="AA26" s="154"/>
      <c r="AB26" s="154"/>
      <c r="AC26" s="154"/>
      <c r="AD26" s="154"/>
      <c r="AE26" s="300"/>
      <c r="AF26" s="294"/>
      <c r="AG26" s="294"/>
      <c r="AH26" s="294"/>
    </row>
    <row r="27" spans="1:34" ht="15.75" customHeight="1" x14ac:dyDescent="0.35">
      <c r="A27" s="2"/>
      <c r="B27" s="296"/>
      <c r="C27" s="50"/>
      <c r="D27" s="50"/>
      <c r="E27" s="50"/>
      <c r="F27" s="50"/>
      <c r="G27" s="50"/>
      <c r="H27" s="50"/>
      <c r="I27" s="50"/>
      <c r="J27" s="50"/>
      <c r="K27" s="50"/>
      <c r="L27" s="50"/>
      <c r="M27" s="50"/>
      <c r="N27" s="50"/>
      <c r="O27" s="309"/>
      <c r="P27" s="50"/>
      <c r="Q27" s="154"/>
      <c r="R27" s="154"/>
      <c r="S27" s="154"/>
      <c r="T27" s="154"/>
      <c r="U27" s="154"/>
      <c r="V27" s="154"/>
      <c r="W27" s="154"/>
      <c r="X27" s="154"/>
      <c r="Y27" s="154"/>
      <c r="Z27" s="154"/>
      <c r="AA27" s="154"/>
      <c r="AB27" s="154"/>
      <c r="AC27" s="154"/>
      <c r="AD27" s="154"/>
      <c r="AE27" s="300"/>
      <c r="AF27" s="294"/>
      <c r="AG27" s="294"/>
      <c r="AH27" s="294"/>
    </row>
    <row r="28" spans="1:34" ht="15.75" customHeight="1" x14ac:dyDescent="0.35">
      <c r="A28" s="2"/>
      <c r="B28" s="296"/>
      <c r="C28" s="50"/>
      <c r="D28" s="50"/>
      <c r="E28" s="50"/>
      <c r="F28" s="50"/>
      <c r="G28" s="50"/>
      <c r="H28" s="50"/>
      <c r="I28" s="50"/>
      <c r="J28" s="50"/>
      <c r="K28" s="50"/>
      <c r="L28" s="50"/>
      <c r="M28" s="50"/>
      <c r="N28" s="50"/>
      <c r="O28" s="309"/>
      <c r="P28" s="50"/>
      <c r="Q28" s="154"/>
      <c r="R28" s="154"/>
      <c r="S28" s="154"/>
      <c r="T28" s="154"/>
      <c r="U28" s="154"/>
      <c r="V28" s="154"/>
      <c r="W28" s="154"/>
      <c r="X28" s="154"/>
      <c r="Y28" s="154"/>
      <c r="Z28" s="154"/>
      <c r="AA28" s="154"/>
      <c r="AB28" s="154"/>
      <c r="AC28" s="154"/>
      <c r="AD28" s="154"/>
      <c r="AE28" s="300"/>
      <c r="AF28" s="294"/>
      <c r="AG28" s="294"/>
      <c r="AH28" s="294"/>
    </row>
    <row r="29" spans="1:34" ht="15.75" customHeight="1" x14ac:dyDescent="0.35">
      <c r="A29" s="2"/>
      <c r="B29" s="296"/>
      <c r="C29" s="50"/>
      <c r="D29" s="50"/>
      <c r="E29" s="50"/>
      <c r="F29" s="50"/>
      <c r="G29" s="50"/>
      <c r="H29" s="50"/>
      <c r="I29" s="50"/>
      <c r="J29" s="50"/>
      <c r="K29" s="50"/>
      <c r="L29" s="50"/>
      <c r="M29" s="50"/>
      <c r="N29" s="50"/>
      <c r="O29" s="309"/>
      <c r="P29" s="50"/>
      <c r="Q29" s="154"/>
      <c r="R29" s="154"/>
      <c r="S29" s="154"/>
      <c r="T29" s="154"/>
      <c r="U29" s="154"/>
      <c r="V29" s="154"/>
      <c r="W29" s="154"/>
      <c r="X29" s="154"/>
      <c r="Y29" s="154"/>
      <c r="Z29" s="154"/>
      <c r="AA29" s="154"/>
      <c r="AB29" s="154"/>
      <c r="AC29" s="154"/>
      <c r="AD29" s="154"/>
      <c r="AE29" s="300"/>
      <c r="AF29" s="294"/>
      <c r="AG29" s="294"/>
      <c r="AH29" s="294"/>
    </row>
    <row r="30" spans="1:34" ht="15.75" customHeight="1" x14ac:dyDescent="0.35">
      <c r="A30" s="2"/>
      <c r="B30" s="296"/>
      <c r="C30" s="50"/>
      <c r="D30" s="50"/>
      <c r="E30" s="50"/>
      <c r="F30" s="50"/>
      <c r="G30" s="50"/>
      <c r="H30" s="50"/>
      <c r="I30" s="50"/>
      <c r="J30" s="50"/>
      <c r="K30" s="50"/>
      <c r="L30" s="50"/>
      <c r="M30" s="50"/>
      <c r="N30" s="50"/>
      <c r="O30" s="309"/>
      <c r="P30" s="50"/>
      <c r="Q30" s="154"/>
      <c r="R30" s="154"/>
      <c r="S30" s="154"/>
      <c r="T30" s="154"/>
      <c r="U30" s="154"/>
      <c r="V30" s="154"/>
      <c r="W30" s="154"/>
      <c r="X30" s="154"/>
      <c r="Y30" s="154"/>
      <c r="Z30" s="154"/>
      <c r="AA30" s="154"/>
      <c r="AB30" s="154"/>
      <c r="AC30" s="154"/>
      <c r="AD30" s="154"/>
      <c r="AE30" s="300"/>
      <c r="AF30" s="294"/>
      <c r="AG30" s="294"/>
      <c r="AH30" s="294"/>
    </row>
    <row r="31" spans="1:34" ht="15.75" customHeight="1" x14ac:dyDescent="0.35">
      <c r="A31" s="2"/>
      <c r="B31" s="296"/>
      <c r="C31" s="50"/>
      <c r="D31" s="50"/>
      <c r="E31" s="50"/>
      <c r="F31" s="50"/>
      <c r="G31" s="50"/>
      <c r="H31" s="50"/>
      <c r="I31" s="50"/>
      <c r="J31" s="50"/>
      <c r="K31" s="50"/>
      <c r="L31" s="50"/>
      <c r="M31" s="50"/>
      <c r="N31" s="50"/>
      <c r="O31" s="309"/>
      <c r="P31" s="50"/>
      <c r="Q31" s="154"/>
      <c r="R31" s="154"/>
      <c r="S31" s="154"/>
      <c r="T31" s="154"/>
      <c r="U31" s="154"/>
      <c r="V31" s="154"/>
      <c r="W31" s="154"/>
      <c r="X31" s="154"/>
      <c r="Y31" s="154"/>
      <c r="Z31" s="154"/>
      <c r="AA31" s="154"/>
      <c r="AB31" s="154"/>
      <c r="AC31" s="154"/>
      <c r="AD31" s="154"/>
      <c r="AE31" s="300"/>
      <c r="AF31" s="294"/>
      <c r="AG31" s="294"/>
      <c r="AH31" s="294"/>
    </row>
    <row r="32" spans="1:34" x14ac:dyDescent="0.35">
      <c r="C32" s="50"/>
      <c r="D32" s="50"/>
      <c r="E32" s="301"/>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5">
      <c r="B33" s="336"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5">
      <c r="B34" s="1156" t="s">
        <v>401</v>
      </c>
      <c r="C34" s="1157"/>
      <c r="D34" s="1158"/>
      <c r="E34" s="1158"/>
      <c r="F34" s="1158"/>
      <c r="G34" s="1158"/>
      <c r="H34" s="1158"/>
      <c r="I34" s="1158"/>
      <c r="J34" s="1158"/>
      <c r="K34" s="1158"/>
      <c r="L34" s="1158"/>
      <c r="M34" s="1158"/>
      <c r="N34" s="1158"/>
      <c r="O34" s="1158"/>
      <c r="P34" s="1158"/>
      <c r="Q34" s="1158"/>
      <c r="R34" s="1158"/>
      <c r="S34" s="1158"/>
      <c r="T34" s="1158"/>
      <c r="U34" s="1158"/>
      <c r="V34" s="1158"/>
      <c r="W34" s="1158"/>
      <c r="X34" s="1158"/>
      <c r="Y34" s="1158"/>
      <c r="Z34" s="1158"/>
      <c r="AA34" s="1158"/>
      <c r="AB34" s="1158"/>
      <c r="AC34" s="1159"/>
      <c r="AD34" s="348" t="s">
        <v>383</v>
      </c>
      <c r="AE34" s="347"/>
    </row>
    <row r="35" spans="2:32" ht="17.75" customHeight="1" x14ac:dyDescent="0.35">
      <c r="B35" s="357" t="s">
        <v>402</v>
      </c>
      <c r="C35" s="50"/>
      <c r="D35" s="374"/>
      <c r="E35" s="360"/>
      <c r="F35" s="360"/>
      <c r="G35" s="360"/>
      <c r="H35" s="353"/>
      <c r="I35" s="353"/>
      <c r="J35" s="281">
        <f>SUM(J36:J38)</f>
        <v>692.8</v>
      </c>
      <c r="K35" s="281">
        <f t="shared" ref="K35:P35" si="12">SUM(K36:K38)</f>
        <v>39.200000000000003</v>
      </c>
      <c r="L35" s="281">
        <f t="shared" si="12"/>
        <v>29</v>
      </c>
      <c r="M35" s="281">
        <f t="shared" si="12"/>
        <v>27</v>
      </c>
      <c r="N35" s="281">
        <f t="shared" si="12"/>
        <v>18</v>
      </c>
      <c r="O35" s="281">
        <f t="shared" si="12"/>
        <v>0</v>
      </c>
      <c r="P35" s="375">
        <f t="shared" si="12"/>
        <v>0</v>
      </c>
      <c r="Q35" s="281"/>
      <c r="R35" s="281"/>
      <c r="S35" s="281"/>
      <c r="T35" s="351"/>
      <c r="U35" s="351"/>
      <c r="V35" s="351"/>
      <c r="W35" s="351"/>
      <c r="X35" s="351"/>
      <c r="Y35" s="351"/>
      <c r="Z35" s="351"/>
      <c r="AA35" s="351"/>
      <c r="AB35" s="351"/>
      <c r="AC35" s="330"/>
      <c r="AD35" s="302">
        <f t="shared" ref="AD35:AD49" si="13">SUM(I35:Y35)/4</f>
        <v>201.5</v>
      </c>
      <c r="AE35" s="1155" t="s">
        <v>403</v>
      </c>
      <c r="AF35" s="1112"/>
    </row>
    <row r="36" spans="2:32" x14ac:dyDescent="0.35">
      <c r="B36" s="298" t="s">
        <v>149</v>
      </c>
      <c r="C36" s="50"/>
      <c r="D36" s="311"/>
      <c r="E36" s="50"/>
      <c r="F36" s="50"/>
      <c r="G36" s="50"/>
      <c r="H36" s="51"/>
      <c r="I36" s="51"/>
      <c r="J36" s="289">
        <f>C56*4</f>
        <v>600</v>
      </c>
      <c r="K36" s="289"/>
      <c r="L36" s="289"/>
      <c r="M36" s="289"/>
      <c r="N36" s="289"/>
      <c r="O36" s="289"/>
      <c r="P36" s="333"/>
      <c r="Q36" s="289"/>
      <c r="R36" s="289"/>
      <c r="S36" s="289"/>
      <c r="T36" s="285"/>
      <c r="U36" s="285"/>
      <c r="V36" s="285"/>
      <c r="W36" s="285"/>
      <c r="X36" s="285"/>
      <c r="Y36" s="285"/>
      <c r="Z36" s="285"/>
      <c r="AA36" s="285"/>
      <c r="AB36" s="285"/>
      <c r="AC36" s="358"/>
      <c r="AD36" s="302">
        <f t="shared" si="13"/>
        <v>150</v>
      </c>
      <c r="AE36" s="289"/>
    </row>
    <row r="37" spans="2:32" ht="15" customHeight="1" x14ac:dyDescent="0.35">
      <c r="B37" s="298" t="s">
        <v>150</v>
      </c>
      <c r="C37" s="50"/>
      <c r="D37" s="311"/>
      <c r="E37" s="50"/>
      <c r="F37" s="50"/>
      <c r="G37" s="50"/>
      <c r="H37" s="51"/>
      <c r="I37" s="51"/>
      <c r="J37" s="289">
        <v>28.4</v>
      </c>
      <c r="K37" s="289">
        <v>15.8</v>
      </c>
      <c r="L37" s="289">
        <v>15.2</v>
      </c>
      <c r="M37" s="289">
        <v>10.9</v>
      </c>
      <c r="N37" s="289">
        <v>18</v>
      </c>
      <c r="O37" s="289"/>
      <c r="P37" s="333"/>
      <c r="Q37" s="289"/>
      <c r="R37" s="289"/>
      <c r="S37" s="289">
        <v>20</v>
      </c>
      <c r="T37" s="283">
        <v>10</v>
      </c>
      <c r="U37" s="285"/>
      <c r="V37" s="285"/>
      <c r="W37" s="285"/>
      <c r="X37" s="285"/>
      <c r="Y37" s="285"/>
      <c r="Z37" s="285"/>
      <c r="AA37" s="285"/>
      <c r="AB37" s="285"/>
      <c r="AC37" s="358"/>
      <c r="AD37" s="302">
        <f t="shared" si="13"/>
        <v>29.575000000000003</v>
      </c>
      <c r="AE37" s="289"/>
    </row>
    <row r="38" spans="2:32" x14ac:dyDescent="0.35">
      <c r="B38" s="298" t="s">
        <v>152</v>
      </c>
      <c r="C38" s="50"/>
      <c r="D38" s="311"/>
      <c r="E38" s="50"/>
      <c r="F38" s="50"/>
      <c r="G38" s="50"/>
      <c r="H38" s="51"/>
      <c r="I38" s="51"/>
      <c r="J38" s="146">
        <v>64.400000000000006</v>
      </c>
      <c r="K38" s="146">
        <v>23.4</v>
      </c>
      <c r="L38" s="146">
        <v>13.8</v>
      </c>
      <c r="M38" s="146">
        <v>16.100000000000001</v>
      </c>
      <c r="N38" s="289"/>
      <c r="O38" s="289"/>
      <c r="P38" s="333"/>
      <c r="Q38" s="289"/>
      <c r="R38" s="289"/>
      <c r="S38" s="289"/>
      <c r="T38" s="285"/>
      <c r="U38" s="285"/>
      <c r="V38" s="285"/>
      <c r="W38" s="285"/>
      <c r="X38" s="285"/>
      <c r="Y38" s="285"/>
      <c r="Z38" s="285"/>
      <c r="AA38" s="285"/>
      <c r="AB38" s="285"/>
      <c r="AC38" s="358"/>
      <c r="AD38" s="302">
        <f t="shared" si="13"/>
        <v>29.425000000000004</v>
      </c>
      <c r="AE38" s="289"/>
    </row>
    <row r="39" spans="2:32" ht="16.5" customHeight="1" x14ac:dyDescent="0.35">
      <c r="B39" s="357" t="s">
        <v>404</v>
      </c>
      <c r="C39" s="50"/>
      <c r="D39" s="311"/>
      <c r="E39" s="50"/>
      <c r="F39" s="50"/>
      <c r="G39" s="50"/>
      <c r="H39" s="51"/>
      <c r="I39" s="51"/>
      <c r="J39" s="51"/>
      <c r="K39" s="51"/>
      <c r="L39" s="51"/>
      <c r="M39" s="289">
        <f>SUM(M40:M44)</f>
        <v>43</v>
      </c>
      <c r="N39" s="289">
        <f t="shared" ref="N39:AC39" si="14">SUM(N40:N44)</f>
        <v>70</v>
      </c>
      <c r="O39" s="289">
        <f t="shared" si="14"/>
        <v>59.999999999999964</v>
      </c>
      <c r="P39" s="333">
        <f t="shared" si="14"/>
        <v>50</v>
      </c>
      <c r="Q39" s="289">
        <f t="shared" si="14"/>
        <v>44.999999999999964</v>
      </c>
      <c r="R39" s="289">
        <f t="shared" si="14"/>
        <v>44.999999999999964</v>
      </c>
      <c r="S39" s="289">
        <f t="shared" si="14"/>
        <v>44.999999999999964</v>
      </c>
      <c r="T39" s="285">
        <f t="shared" si="14"/>
        <v>44.999999999999964</v>
      </c>
      <c r="U39" s="285">
        <f t="shared" si="14"/>
        <v>44.999999999999964</v>
      </c>
      <c r="V39" s="285">
        <f t="shared" si="14"/>
        <v>44.999999999999964</v>
      </c>
      <c r="W39" s="285">
        <f t="shared" si="14"/>
        <v>44.999999999999964</v>
      </c>
      <c r="X39" s="285">
        <f t="shared" si="14"/>
        <v>44.999999999999964</v>
      </c>
      <c r="Y39" s="285">
        <f t="shared" si="14"/>
        <v>19</v>
      </c>
      <c r="Z39" s="285">
        <f t="shared" si="14"/>
        <v>0</v>
      </c>
      <c r="AA39" s="285">
        <f t="shared" si="14"/>
        <v>0</v>
      </c>
      <c r="AB39" s="285">
        <f t="shared" si="14"/>
        <v>0</v>
      </c>
      <c r="AC39" s="358">
        <f t="shared" si="14"/>
        <v>0</v>
      </c>
      <c r="AD39" s="302">
        <f t="shared" si="13"/>
        <v>150.49999999999991</v>
      </c>
      <c r="AE39" s="1155" t="s">
        <v>405</v>
      </c>
      <c r="AF39" s="1112"/>
    </row>
    <row r="40" spans="2:32" x14ac:dyDescent="0.35">
      <c r="B40" s="298" t="s">
        <v>391</v>
      </c>
      <c r="C40" s="50"/>
      <c r="D40" s="311"/>
      <c r="E40" s="50"/>
      <c r="F40" s="50"/>
      <c r="G40" s="50"/>
      <c r="H40" s="51"/>
      <c r="I40" s="51"/>
      <c r="J40" s="51"/>
      <c r="K40" s="51"/>
      <c r="L40" s="51"/>
      <c r="M40" s="289">
        <f>C59/12*4</f>
        <v>9.6666666666666661</v>
      </c>
      <c r="N40" s="289">
        <f>M40</f>
        <v>9.6666666666666661</v>
      </c>
      <c r="O40" s="289">
        <f t="shared" ref="O40:X40" si="15">N40</f>
        <v>9.6666666666666661</v>
      </c>
      <c r="P40" s="333">
        <f t="shared" si="15"/>
        <v>9.6666666666666661</v>
      </c>
      <c r="Q40" s="289">
        <f t="shared" si="15"/>
        <v>9.6666666666666661</v>
      </c>
      <c r="R40" s="289">
        <f t="shared" si="15"/>
        <v>9.6666666666666661</v>
      </c>
      <c r="S40" s="289">
        <f t="shared" si="15"/>
        <v>9.6666666666666661</v>
      </c>
      <c r="T40" s="285">
        <f t="shared" si="15"/>
        <v>9.6666666666666661</v>
      </c>
      <c r="U40" s="285">
        <f t="shared" si="15"/>
        <v>9.6666666666666661</v>
      </c>
      <c r="V40" s="285">
        <f t="shared" si="15"/>
        <v>9.6666666666666661</v>
      </c>
      <c r="W40" s="285">
        <f t="shared" si="15"/>
        <v>9.6666666666666661</v>
      </c>
      <c r="X40" s="285">
        <f t="shared" si="15"/>
        <v>9.6666666666666661</v>
      </c>
      <c r="Y40" s="284"/>
      <c r="Z40" s="284"/>
      <c r="AA40" s="284"/>
      <c r="AB40" s="284"/>
      <c r="AC40" s="359"/>
      <c r="AD40" s="302">
        <f t="shared" si="13"/>
        <v>29.000000000000004</v>
      </c>
      <c r="AE40" s="1155"/>
      <c r="AF40" s="1112"/>
    </row>
    <row r="41" spans="2:32" ht="41.75" customHeight="1" x14ac:dyDescent="0.35">
      <c r="B41" s="298" t="s">
        <v>150</v>
      </c>
      <c r="C41" s="50"/>
      <c r="D41" s="311"/>
      <c r="E41" s="50"/>
      <c r="F41" s="50"/>
      <c r="G41" s="50"/>
      <c r="H41" s="51"/>
      <c r="I41" s="51"/>
      <c r="J41" s="51"/>
      <c r="K41" s="51"/>
      <c r="L41" s="51"/>
      <c r="M41" s="331">
        <f>C70/12*4 - 7</f>
        <v>20.333333333333332</v>
      </c>
      <c r="N41" s="331">
        <f>C70/12*4 + 20</f>
        <v>47.333333333333329</v>
      </c>
      <c r="O41" s="331">
        <v>37.3333333333333</v>
      </c>
      <c r="P41" s="376">
        <v>27.333333333333332</v>
      </c>
      <c r="Q41" s="331">
        <v>22.3333333333333</v>
      </c>
      <c r="R41" s="331">
        <v>22.3333333333333</v>
      </c>
      <c r="S41" s="331">
        <v>22.3333333333333</v>
      </c>
      <c r="T41" s="363">
        <v>22.3333333333333</v>
      </c>
      <c r="U41" s="363">
        <v>22.3333333333333</v>
      </c>
      <c r="V41" s="363">
        <v>22.3333333333333</v>
      </c>
      <c r="W41" s="363">
        <v>22.3333333333333</v>
      </c>
      <c r="X41" s="363">
        <v>22.3333333333333</v>
      </c>
      <c r="Y41" s="363">
        <v>19</v>
      </c>
      <c r="Z41" s="363"/>
      <c r="AA41" s="363"/>
      <c r="AB41" s="363"/>
      <c r="AC41" s="364"/>
      <c r="AD41" s="302">
        <f>SUM(I41:Y41)/4</f>
        <v>82.499999999999943</v>
      </c>
      <c r="AE41" s="370" t="s">
        <v>406</v>
      </c>
    </row>
    <row r="42" spans="2:32" x14ac:dyDescent="0.35">
      <c r="B42" s="298" t="s">
        <v>152</v>
      </c>
      <c r="C42" s="50"/>
      <c r="D42" s="311"/>
      <c r="E42" s="50"/>
      <c r="F42" s="50"/>
      <c r="G42" s="50"/>
      <c r="H42" s="51"/>
      <c r="I42" s="51"/>
      <c r="J42" s="51"/>
      <c r="K42" s="51"/>
      <c r="L42" s="51"/>
      <c r="M42" s="289">
        <f>C71/12*4</f>
        <v>1</v>
      </c>
      <c r="N42" s="289">
        <f>C71/12*4</f>
        <v>1</v>
      </c>
      <c r="O42" s="289">
        <f t="shared" ref="O42:X42" si="16">$C$71/12*4</f>
        <v>1</v>
      </c>
      <c r="P42" s="333">
        <f t="shared" si="16"/>
        <v>1</v>
      </c>
      <c r="Q42" s="289">
        <f t="shared" si="16"/>
        <v>1</v>
      </c>
      <c r="R42" s="289">
        <f t="shared" si="16"/>
        <v>1</v>
      </c>
      <c r="S42" s="289">
        <f t="shared" si="16"/>
        <v>1</v>
      </c>
      <c r="T42" s="285">
        <f t="shared" si="16"/>
        <v>1</v>
      </c>
      <c r="U42" s="285">
        <f t="shared" si="16"/>
        <v>1</v>
      </c>
      <c r="V42" s="285">
        <f t="shared" si="16"/>
        <v>1</v>
      </c>
      <c r="W42" s="285">
        <f t="shared" si="16"/>
        <v>1</v>
      </c>
      <c r="X42" s="285">
        <f t="shared" si="16"/>
        <v>1</v>
      </c>
      <c r="Y42" s="284"/>
      <c r="Z42" s="284"/>
      <c r="AA42" s="284"/>
      <c r="AB42" s="284"/>
      <c r="AC42" s="359"/>
      <c r="AD42" s="302">
        <f t="shared" si="13"/>
        <v>3</v>
      </c>
      <c r="AE42" s="51"/>
    </row>
    <row r="43" spans="2:32" ht="13.25" customHeight="1" x14ac:dyDescent="0.35">
      <c r="B43" s="298" t="s">
        <v>407</v>
      </c>
      <c r="C43" s="50"/>
      <c r="D43" s="311"/>
      <c r="E43" s="50"/>
      <c r="F43" s="50"/>
      <c r="G43" s="50"/>
      <c r="H43" s="51"/>
      <c r="I43" s="51"/>
      <c r="J43" s="51"/>
      <c r="K43" s="51"/>
      <c r="L43" s="51"/>
      <c r="M43" s="289">
        <f t="shared" ref="M43:X43" si="17">$C$72/12*4</f>
        <v>11.333333333333334</v>
      </c>
      <c r="N43" s="289">
        <f t="shared" si="17"/>
        <v>11.333333333333334</v>
      </c>
      <c r="O43" s="289">
        <f t="shared" si="17"/>
        <v>11.333333333333334</v>
      </c>
      <c r="P43" s="333">
        <f t="shared" si="17"/>
        <v>11.333333333333334</v>
      </c>
      <c r="Q43" s="289">
        <f t="shared" si="17"/>
        <v>11.333333333333334</v>
      </c>
      <c r="R43" s="289">
        <f t="shared" si="17"/>
        <v>11.333333333333334</v>
      </c>
      <c r="S43" s="289">
        <f t="shared" si="17"/>
        <v>11.333333333333334</v>
      </c>
      <c r="T43" s="285">
        <f t="shared" si="17"/>
        <v>11.333333333333334</v>
      </c>
      <c r="U43" s="285">
        <f t="shared" si="17"/>
        <v>11.333333333333334</v>
      </c>
      <c r="V43" s="285">
        <f t="shared" si="17"/>
        <v>11.333333333333334</v>
      </c>
      <c r="W43" s="285">
        <f t="shared" si="17"/>
        <v>11.333333333333334</v>
      </c>
      <c r="X43" s="285">
        <f t="shared" si="17"/>
        <v>11.333333333333334</v>
      </c>
      <c r="Y43" s="284"/>
      <c r="Z43" s="284"/>
      <c r="AA43" s="284"/>
      <c r="AB43" s="284"/>
      <c r="AC43" s="359"/>
      <c r="AD43" s="302">
        <f t="shared" si="13"/>
        <v>33.999999999999993</v>
      </c>
      <c r="AE43" s="51"/>
    </row>
    <row r="44" spans="2:32" ht="29.25" customHeight="1" x14ac:dyDescent="0.35">
      <c r="B44" s="298" t="s">
        <v>408</v>
      </c>
      <c r="C44" s="50"/>
      <c r="D44" s="311"/>
      <c r="E44" s="50"/>
      <c r="F44" s="50"/>
      <c r="G44" s="50"/>
      <c r="H44" s="51"/>
      <c r="I44" s="51"/>
      <c r="J44" s="51"/>
      <c r="K44" s="51"/>
      <c r="L44" s="51"/>
      <c r="M44" s="289">
        <f t="shared" ref="M44:X44" si="18">$C$73/12*4</f>
        <v>0.66666666666666663</v>
      </c>
      <c r="N44" s="289">
        <f t="shared" si="18"/>
        <v>0.66666666666666663</v>
      </c>
      <c r="O44" s="289">
        <f t="shared" si="18"/>
        <v>0.66666666666666663</v>
      </c>
      <c r="P44" s="333">
        <f t="shared" si="18"/>
        <v>0.66666666666666663</v>
      </c>
      <c r="Q44" s="289">
        <f t="shared" si="18"/>
        <v>0.66666666666666663</v>
      </c>
      <c r="R44" s="289">
        <f t="shared" si="18"/>
        <v>0.66666666666666663</v>
      </c>
      <c r="S44" s="289">
        <f t="shared" si="18"/>
        <v>0.66666666666666663</v>
      </c>
      <c r="T44" s="285">
        <f t="shared" si="18"/>
        <v>0.66666666666666663</v>
      </c>
      <c r="U44" s="285">
        <f t="shared" si="18"/>
        <v>0.66666666666666663</v>
      </c>
      <c r="V44" s="285">
        <f t="shared" si="18"/>
        <v>0.66666666666666663</v>
      </c>
      <c r="W44" s="285">
        <f t="shared" si="18"/>
        <v>0.66666666666666663</v>
      </c>
      <c r="X44" s="285">
        <f t="shared" si="18"/>
        <v>0.66666666666666663</v>
      </c>
      <c r="Y44" s="284"/>
      <c r="Z44" s="284"/>
      <c r="AA44" s="284"/>
      <c r="AB44" s="284"/>
      <c r="AC44" s="359"/>
      <c r="AD44" s="302">
        <f t="shared" si="13"/>
        <v>2</v>
      </c>
      <c r="AE44" s="51"/>
    </row>
    <row r="45" spans="2:32" ht="44.25" customHeight="1" x14ac:dyDescent="0.35">
      <c r="B45" s="357" t="s">
        <v>409</v>
      </c>
      <c r="C45" s="50"/>
      <c r="D45" s="311"/>
      <c r="E45" s="50"/>
      <c r="F45" s="50"/>
      <c r="G45" s="50"/>
      <c r="H45" s="51"/>
      <c r="I45" s="51"/>
      <c r="J45" s="51"/>
      <c r="K45" s="51"/>
      <c r="L45" s="51"/>
      <c r="M45" s="289"/>
      <c r="N45" s="289">
        <f t="shared" ref="N45:AC45" si="19">SUM(N46:N50)</f>
        <v>954.03959999999972</v>
      </c>
      <c r="O45" s="289">
        <f t="shared" si="19"/>
        <v>85.500399999999999</v>
      </c>
      <c r="P45" s="333">
        <f t="shared" si="19"/>
        <v>83.481000000000009</v>
      </c>
      <c r="Q45" s="289">
        <f t="shared" si="19"/>
        <v>662.76099999999997</v>
      </c>
      <c r="R45" s="289">
        <f t="shared" si="19"/>
        <v>83.481000000000009</v>
      </c>
      <c r="S45" s="289">
        <f t="shared" si="19"/>
        <v>83.481000000000009</v>
      </c>
      <c r="T45" s="285">
        <f t="shared" si="19"/>
        <v>62.811999999999998</v>
      </c>
      <c r="U45" s="285">
        <f t="shared" si="19"/>
        <v>62.811999999999998</v>
      </c>
      <c r="V45" s="285">
        <f t="shared" si="19"/>
        <v>62.811999999999998</v>
      </c>
      <c r="W45" s="285">
        <f t="shared" si="19"/>
        <v>62.811999999999998</v>
      </c>
      <c r="X45" s="285">
        <f t="shared" si="19"/>
        <v>41.554000000000002</v>
      </c>
      <c r="Y45" s="285">
        <f t="shared" si="19"/>
        <v>41.554000000000002</v>
      </c>
      <c r="Z45" s="285">
        <f t="shared" si="19"/>
        <v>41.554000000000002</v>
      </c>
      <c r="AA45" s="285">
        <f t="shared" si="19"/>
        <v>41.554000000000002</v>
      </c>
      <c r="AB45" s="285">
        <f t="shared" si="19"/>
        <v>27.678000000000001</v>
      </c>
      <c r="AC45" s="358">
        <f t="shared" si="19"/>
        <v>27.678000000000001</v>
      </c>
      <c r="AD45" s="302">
        <f t="shared" si="13"/>
        <v>571.77499999999986</v>
      </c>
      <c r="AE45" s="1155" t="s">
        <v>410</v>
      </c>
      <c r="AF45" s="1112"/>
    </row>
    <row r="46" spans="2:32" ht="17.75" customHeight="1" x14ac:dyDescent="0.35">
      <c r="B46" s="298" t="s">
        <v>396</v>
      </c>
      <c r="C46" s="50"/>
      <c r="D46" s="311"/>
      <c r="E46" s="50"/>
      <c r="F46" s="50"/>
      <c r="G46" s="50"/>
      <c r="H46" s="51"/>
      <c r="I46" s="51"/>
      <c r="J46" s="51"/>
      <c r="K46" s="51"/>
      <c r="L46" s="51"/>
      <c r="M46" s="289"/>
      <c r="N46" s="289">
        <f>0.6*C75*4</f>
        <v>868.91999999999985</v>
      </c>
      <c r="O46" s="289"/>
      <c r="P46" s="333"/>
      <c r="Q46" s="289">
        <f>0.4*C75*4</f>
        <v>579.28</v>
      </c>
      <c r="R46" s="289"/>
      <c r="S46" s="289"/>
      <c r="T46" s="285"/>
      <c r="U46" s="285"/>
      <c r="V46" s="285"/>
      <c r="W46" s="285"/>
      <c r="X46" s="285"/>
      <c r="Y46" s="285"/>
      <c r="Z46" s="285"/>
      <c r="AA46" s="285"/>
      <c r="AB46" s="285"/>
      <c r="AC46" s="358"/>
      <c r="AD46" s="302">
        <f t="shared" si="13"/>
        <v>362.04999999999995</v>
      </c>
      <c r="AE46" s="323" t="s">
        <v>411</v>
      </c>
      <c r="AF46" s="323"/>
    </row>
    <row r="47" spans="2:32" x14ac:dyDescent="0.35">
      <c r="B47" s="298" t="s">
        <v>150</v>
      </c>
      <c r="C47" s="50"/>
      <c r="D47" s="311"/>
      <c r="E47" s="50"/>
      <c r="F47" s="50"/>
      <c r="G47" s="50"/>
      <c r="H47" s="51"/>
      <c r="I47" s="51"/>
      <c r="J47" s="51"/>
      <c r="K47" s="51"/>
      <c r="L47" s="51"/>
      <c r="M47" s="289"/>
      <c r="N47" s="289">
        <f>'ARP Quarterly'!D9</f>
        <v>24.693999999999999</v>
      </c>
      <c r="O47" s="289">
        <f>'ARP Quarterly'!E9</f>
        <v>24.693999999999999</v>
      </c>
      <c r="P47" s="333">
        <f>'ARP Quarterly'!F9</f>
        <v>46.79</v>
      </c>
      <c r="Q47" s="289">
        <f>'ARP Quarterly'!G9</f>
        <v>46.79</v>
      </c>
      <c r="R47" s="289">
        <f>'ARP Quarterly'!H9</f>
        <v>46.79</v>
      </c>
      <c r="S47" s="289">
        <f>'ARP Quarterly'!I9</f>
        <v>46.79</v>
      </c>
      <c r="T47" s="285">
        <f>'ARP Quarterly'!J9</f>
        <v>38.595999999999997</v>
      </c>
      <c r="U47" s="285">
        <f>'ARP Quarterly'!K9</f>
        <v>38.595999999999997</v>
      </c>
      <c r="V47" s="285">
        <f>'ARP Quarterly'!L9</f>
        <v>38.595999999999997</v>
      </c>
      <c r="W47" s="285">
        <f>'ARP Quarterly'!M9</f>
        <v>38.595999999999997</v>
      </c>
      <c r="X47" s="285">
        <f>'ARP Quarterly'!N9</f>
        <v>31.911000000000001</v>
      </c>
      <c r="Y47" s="285">
        <f>'ARP Quarterly'!O9</f>
        <v>31.911000000000001</v>
      </c>
      <c r="Z47" s="285">
        <f>'ARP Quarterly'!P9</f>
        <v>31.911000000000001</v>
      </c>
      <c r="AA47" s="285">
        <f>'ARP Quarterly'!Q9</f>
        <v>31.911000000000001</v>
      </c>
      <c r="AB47" s="285">
        <f>'ARP Quarterly'!R9</f>
        <v>23.099</v>
      </c>
      <c r="AC47" s="358">
        <f>'ARP Quarterly'!S9</f>
        <v>23.099</v>
      </c>
      <c r="AD47" s="302">
        <f t="shared" si="13"/>
        <v>113.68849999999999</v>
      </c>
      <c r="AE47" s="289"/>
    </row>
    <row r="48" spans="2:32" x14ac:dyDescent="0.35">
      <c r="B48" s="298" t="s">
        <v>152</v>
      </c>
      <c r="C48" s="50"/>
      <c r="D48" s="311"/>
      <c r="E48" s="50"/>
      <c r="F48" s="50"/>
      <c r="G48" s="50"/>
      <c r="H48" s="51"/>
      <c r="I48" s="51"/>
      <c r="J48" s="51"/>
      <c r="K48" s="51"/>
      <c r="L48" s="51"/>
      <c r="M48" s="289"/>
      <c r="N48" s="289">
        <f>'ARP Quarterly'!D14</f>
        <v>1.1696</v>
      </c>
      <c r="O48" s="289">
        <f>'ARP Quarterly'!E14</f>
        <v>1.5503999999999998</v>
      </c>
      <c r="P48" s="333">
        <f>'ARP Quarterly'!F14</f>
        <v>1.02</v>
      </c>
      <c r="Q48" s="289">
        <f>'ARP Quarterly'!G14</f>
        <v>1.02</v>
      </c>
      <c r="R48" s="289">
        <f>'ARP Quarterly'!H14</f>
        <v>1.02</v>
      </c>
      <c r="S48" s="289">
        <f>'ARP Quarterly'!I14</f>
        <v>1.02</v>
      </c>
      <c r="T48" s="285">
        <f>'ARP Quarterly'!J14</f>
        <v>0</v>
      </c>
      <c r="U48" s="285">
        <f>'ARP Quarterly'!K14</f>
        <v>0</v>
      </c>
      <c r="V48" s="285">
        <f>'ARP Quarterly'!L14</f>
        <v>0</v>
      </c>
      <c r="W48" s="285">
        <f>'ARP Quarterly'!M14</f>
        <v>0</v>
      </c>
      <c r="X48" s="285">
        <f>'ARP Quarterly'!N14</f>
        <v>0</v>
      </c>
      <c r="Y48" s="285">
        <f>'ARP Quarterly'!O14</f>
        <v>0</v>
      </c>
      <c r="Z48" s="285">
        <f>'ARP Quarterly'!P14</f>
        <v>0</v>
      </c>
      <c r="AA48" s="285">
        <f>'ARP Quarterly'!Q14</f>
        <v>0</v>
      </c>
      <c r="AB48" s="285">
        <f>'ARP Quarterly'!R14</f>
        <v>0</v>
      </c>
      <c r="AC48" s="358">
        <f>'ARP Quarterly'!S14</f>
        <v>0</v>
      </c>
      <c r="AD48" s="302">
        <f t="shared" si="13"/>
        <v>1.6999999999999997</v>
      </c>
      <c r="AE48" s="289"/>
    </row>
    <row r="49" spans="1:88" x14ac:dyDescent="0.35">
      <c r="B49" s="298" t="s">
        <v>412</v>
      </c>
      <c r="C49" s="50"/>
      <c r="D49" s="311"/>
      <c r="E49" s="50"/>
      <c r="F49" s="50"/>
      <c r="G49" s="50"/>
      <c r="H49" s="51"/>
      <c r="I49" s="51"/>
      <c r="J49" s="51"/>
      <c r="K49" s="51"/>
      <c r="L49" s="51"/>
      <c r="M49" s="289"/>
      <c r="N49" s="289">
        <f>'ARP Quarterly'!D10</f>
        <v>59.256</v>
      </c>
      <c r="O49" s="289">
        <f>'ARP Quarterly'!E10</f>
        <v>59.256</v>
      </c>
      <c r="P49" s="333">
        <f>'ARP Quarterly'!F10</f>
        <v>35.671000000000006</v>
      </c>
      <c r="Q49" s="289">
        <f>'ARP Quarterly'!G10</f>
        <v>35.671000000000006</v>
      </c>
      <c r="R49" s="289">
        <f>'ARP Quarterly'!H10</f>
        <v>35.671000000000006</v>
      </c>
      <c r="S49" s="289">
        <f>'ARP Quarterly'!I10</f>
        <v>35.671000000000006</v>
      </c>
      <c r="T49" s="285">
        <f>'ARP Quarterly'!J10</f>
        <v>24.216000000000001</v>
      </c>
      <c r="U49" s="285">
        <f>'ARP Quarterly'!K10</f>
        <v>24.216000000000001</v>
      </c>
      <c r="V49" s="285">
        <f>'ARP Quarterly'!L10</f>
        <v>24.216000000000001</v>
      </c>
      <c r="W49" s="285">
        <f>'ARP Quarterly'!M10</f>
        <v>24.216000000000001</v>
      </c>
      <c r="X49" s="285">
        <f>'ARP Quarterly'!N10</f>
        <v>9.6430000000000007</v>
      </c>
      <c r="Y49" s="285">
        <f>'ARP Quarterly'!O10</f>
        <v>9.6430000000000007</v>
      </c>
      <c r="Z49" s="285">
        <f>'ARP Quarterly'!P10</f>
        <v>9.6430000000000007</v>
      </c>
      <c r="AA49" s="285">
        <f>'ARP Quarterly'!Q10</f>
        <v>9.6430000000000007</v>
      </c>
      <c r="AB49" s="285">
        <f>'ARP Quarterly'!R10</f>
        <v>4.5789999999999997</v>
      </c>
      <c r="AC49" s="358">
        <f>'ARP Quarterly'!S10</f>
        <v>4.5789999999999997</v>
      </c>
      <c r="AD49" s="302">
        <f t="shared" si="13"/>
        <v>94.336500000000001</v>
      </c>
      <c r="AE49" s="289"/>
    </row>
    <row r="50" spans="1:88" x14ac:dyDescent="0.35">
      <c r="A50" s="2"/>
      <c r="B50" s="318"/>
      <c r="C50" s="315"/>
      <c r="D50" s="313"/>
      <c r="E50" s="315"/>
      <c r="F50" s="315"/>
      <c r="G50" s="315"/>
      <c r="H50" s="320"/>
      <c r="I50" s="320"/>
      <c r="J50" s="320"/>
      <c r="K50" s="320"/>
      <c r="L50" s="320"/>
      <c r="M50" s="332"/>
      <c r="N50" s="332"/>
      <c r="O50" s="332"/>
      <c r="P50" s="349"/>
      <c r="Q50" s="332"/>
      <c r="R50" s="332"/>
      <c r="S50" s="332"/>
      <c r="T50" s="324"/>
      <c r="U50" s="324"/>
      <c r="V50" s="324"/>
      <c r="W50" s="324"/>
      <c r="X50" s="324"/>
      <c r="Y50" s="324"/>
      <c r="Z50" s="324"/>
      <c r="AA50" s="324"/>
      <c r="AB50" s="324"/>
      <c r="AC50" s="325"/>
      <c r="AD50" s="349"/>
      <c r="AE50" s="289"/>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5">
      <c r="B51" s="296"/>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5">
      <c r="B52" s="296"/>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5" customHeight="1" x14ac:dyDescent="0.35">
      <c r="B53" s="326"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5" customHeight="1" x14ac:dyDescent="0.35">
      <c r="B54" s="366" t="s">
        <v>414</v>
      </c>
      <c r="C54" s="367" t="s">
        <v>415</v>
      </c>
      <c r="D54" s="368" t="s">
        <v>416</v>
      </c>
      <c r="E54" s="342" t="s">
        <v>417</v>
      </c>
      <c r="F54" s="51"/>
      <c r="G54" s="51"/>
      <c r="H54" s="51"/>
      <c r="I54" s="51"/>
      <c r="J54" s="51"/>
      <c r="K54" s="51"/>
      <c r="L54" s="51"/>
      <c r="M54" s="51"/>
      <c r="N54" s="51"/>
      <c r="O54" s="51"/>
      <c r="P54" s="51"/>
      <c r="Q54" s="51"/>
      <c r="R54" s="51"/>
      <c r="S54" s="51"/>
      <c r="T54" s="51"/>
      <c r="U54" s="51"/>
      <c r="V54" s="51"/>
      <c r="W54" s="51"/>
    </row>
    <row r="55" spans="1:88" ht="18.75" customHeight="1" x14ac:dyDescent="0.35">
      <c r="B55" s="373" t="s">
        <v>418</v>
      </c>
      <c r="C55" s="321">
        <f>SUM(C56:C61)</f>
        <v>898.11599999999999</v>
      </c>
      <c r="D55" s="51">
        <f>SUM(D56:D60)</f>
        <v>202.36666666666667</v>
      </c>
      <c r="E55" s="147">
        <f>SUM(E56:E60)</f>
        <v>650.35233333333326</v>
      </c>
      <c r="F55" s="51"/>
      <c r="G55" s="51"/>
      <c r="H55" s="51"/>
      <c r="I55" s="51"/>
      <c r="J55" s="51"/>
      <c r="K55" s="51"/>
      <c r="L55" s="51"/>
      <c r="M55" s="51"/>
      <c r="N55" s="51"/>
      <c r="O55" s="51"/>
      <c r="P55" s="51"/>
      <c r="Q55" s="51"/>
      <c r="R55" s="51"/>
      <c r="S55" s="51"/>
      <c r="T55" s="51"/>
      <c r="U55" s="51"/>
      <c r="V55" s="51"/>
      <c r="W55" s="51"/>
    </row>
    <row r="56" spans="1:88" x14ac:dyDescent="0.35">
      <c r="B56" s="372" t="s">
        <v>149</v>
      </c>
      <c r="C56" s="321">
        <f>C65</f>
        <v>150</v>
      </c>
      <c r="D56" s="51">
        <f>SUM(H12:M12)/4</f>
        <v>149.47499999999999</v>
      </c>
      <c r="E56" s="302">
        <f>C56-D56</f>
        <v>0.52500000000000568</v>
      </c>
      <c r="F56" s="51"/>
      <c r="G56" s="51"/>
      <c r="H56" s="51"/>
      <c r="I56" s="310"/>
      <c r="J56" s="310"/>
      <c r="K56" s="310"/>
      <c r="L56" s="310"/>
      <c r="M56" s="310"/>
      <c r="N56" s="310"/>
      <c r="O56" s="310"/>
      <c r="P56" s="310"/>
      <c r="Q56" s="51"/>
      <c r="R56" s="51"/>
      <c r="S56" s="51"/>
      <c r="T56" s="51"/>
      <c r="U56" s="51"/>
      <c r="V56" s="51"/>
      <c r="W56" s="51"/>
    </row>
    <row r="57" spans="1:88" x14ac:dyDescent="0.35">
      <c r="B57" s="372" t="s">
        <v>150</v>
      </c>
      <c r="C57" s="377">
        <f>C66+C70+C76</f>
        <v>273.16899999999998</v>
      </c>
      <c r="D57" s="51">
        <f>SUM(H13:M13)/4</f>
        <v>22.075000000000003</v>
      </c>
      <c r="E57" s="302">
        <f>C57-D57</f>
        <v>251.09399999999999</v>
      </c>
      <c r="F57" s="51"/>
      <c r="G57" s="51"/>
      <c r="H57" s="51"/>
      <c r="I57" s="310"/>
      <c r="J57" s="310"/>
      <c r="K57" s="310"/>
      <c r="L57" s="310"/>
      <c r="M57" s="310"/>
      <c r="N57" s="310"/>
      <c r="O57" s="310"/>
      <c r="P57" s="310"/>
      <c r="Q57" s="51"/>
      <c r="R57" s="51"/>
      <c r="S57" s="51"/>
      <c r="T57" s="51"/>
      <c r="U57" s="51"/>
      <c r="V57" s="51"/>
      <c r="W57" s="51"/>
    </row>
    <row r="58" spans="1:88" x14ac:dyDescent="0.35">
      <c r="B58" s="372" t="s">
        <v>152</v>
      </c>
      <c r="C58" s="262">
        <f>C67+C77+C71</f>
        <v>38.5</v>
      </c>
      <c r="D58" s="51">
        <f>SUM(H14:M14)/4</f>
        <v>28.400000000000002</v>
      </c>
      <c r="E58" s="302">
        <f>C58-D58</f>
        <v>10.099999999999998</v>
      </c>
      <c r="F58" s="51"/>
      <c r="G58" s="51"/>
      <c r="H58" s="51"/>
      <c r="I58" s="310"/>
      <c r="J58" s="310"/>
      <c r="K58" s="310"/>
      <c r="L58" s="310"/>
      <c r="M58" s="310"/>
      <c r="N58" s="310"/>
      <c r="O58" s="310"/>
      <c r="P58" s="310"/>
      <c r="Q58" s="1160"/>
      <c r="R58" s="1160"/>
      <c r="S58" s="1160"/>
      <c r="T58" s="1160"/>
      <c r="U58" s="1160"/>
      <c r="V58" s="1160"/>
      <c r="W58" s="1160"/>
      <c r="X58" s="1160"/>
      <c r="Y58" s="1160"/>
      <c r="Z58" s="1160"/>
      <c r="AA58" s="1160"/>
      <c r="AB58" s="1160"/>
      <c r="AC58" s="1160"/>
      <c r="AD58" s="1160"/>
      <c r="AE58" s="1160"/>
      <c r="AF58" s="1160"/>
      <c r="AG58" s="1160"/>
      <c r="AH58" s="1160"/>
    </row>
    <row r="59" spans="1:88" ht="17.25" customHeight="1" x14ac:dyDescent="0.35">
      <c r="B59" s="372" t="s">
        <v>419</v>
      </c>
      <c r="C59" s="262">
        <f>C69</f>
        <v>29</v>
      </c>
      <c r="D59" s="51">
        <f>SUM(H15:M15)/4</f>
        <v>2.4166666666666665</v>
      </c>
      <c r="E59" s="302">
        <f>C59-D59</f>
        <v>26.583333333333332</v>
      </c>
      <c r="F59" s="51"/>
      <c r="G59" s="51"/>
      <c r="H59" s="51"/>
      <c r="I59" s="310"/>
      <c r="J59" s="310"/>
      <c r="K59" s="310"/>
      <c r="L59" s="310"/>
      <c r="M59" s="310"/>
      <c r="N59" s="310"/>
      <c r="O59" s="310"/>
      <c r="P59" s="310"/>
      <c r="Q59" s="1111"/>
      <c r="R59" s="1111"/>
      <c r="S59" s="1111"/>
      <c r="T59" s="1111"/>
      <c r="U59" s="1111"/>
      <c r="V59" s="1111"/>
      <c r="W59" s="1111"/>
      <c r="X59" s="1111"/>
      <c r="Y59" s="1111"/>
      <c r="Z59" s="137"/>
      <c r="AA59" s="137"/>
      <c r="AB59" s="137"/>
      <c r="AC59" s="137"/>
      <c r="AD59" s="1111"/>
      <c r="AE59" s="1111"/>
      <c r="AF59" s="1111"/>
      <c r="AG59" s="1111"/>
      <c r="AH59" s="137"/>
    </row>
    <row r="60" spans="1:88" ht="15.75" customHeight="1" x14ac:dyDescent="0.35">
      <c r="B60" s="372" t="s">
        <v>396</v>
      </c>
      <c r="C60" s="262">
        <f>C75</f>
        <v>362.04999999999995</v>
      </c>
      <c r="D60" s="51">
        <v>0</v>
      </c>
      <c r="E60" s="302">
        <f>C60-D60</f>
        <v>362.04999999999995</v>
      </c>
      <c r="F60" s="51"/>
      <c r="G60" s="51"/>
      <c r="H60" s="51"/>
      <c r="I60" s="310"/>
      <c r="J60" s="310"/>
      <c r="K60" s="310"/>
      <c r="L60" s="310"/>
      <c r="M60" s="310"/>
      <c r="N60" s="310"/>
      <c r="O60" s="310"/>
      <c r="P60" s="310"/>
      <c r="Q60" s="137"/>
      <c r="R60" s="137"/>
      <c r="S60" s="137"/>
      <c r="T60" s="137"/>
      <c r="U60" s="137"/>
      <c r="V60" s="137"/>
      <c r="W60" s="137"/>
      <c r="X60" s="137"/>
      <c r="Y60" s="137"/>
      <c r="Z60" s="137"/>
      <c r="AA60" s="137"/>
      <c r="AB60" s="137"/>
      <c r="AC60" s="137"/>
      <c r="AD60" s="137"/>
      <c r="AE60" s="137"/>
      <c r="AF60" s="137"/>
      <c r="AG60" s="137"/>
      <c r="AH60" s="137"/>
    </row>
    <row r="61" spans="1:88" ht="15" customHeight="1" x14ac:dyDescent="0.35">
      <c r="B61" s="371" t="s">
        <v>420</v>
      </c>
      <c r="C61" s="321">
        <f>C78+C79+C72+C73</f>
        <v>45.396999999999998</v>
      </c>
      <c r="D61" s="51"/>
      <c r="E61" s="302"/>
      <c r="F61" s="51"/>
      <c r="G61" s="51"/>
      <c r="H61" s="51"/>
      <c r="I61" s="310"/>
      <c r="J61" s="310"/>
      <c r="K61" s="310"/>
      <c r="L61" s="310"/>
      <c r="M61" s="310"/>
      <c r="N61" s="310"/>
      <c r="O61" s="310"/>
      <c r="P61" s="310"/>
      <c r="Q61" s="51"/>
      <c r="R61" s="51"/>
      <c r="S61" s="51"/>
      <c r="T61" s="51"/>
      <c r="U61" s="51"/>
      <c r="V61" s="51"/>
      <c r="W61" s="51"/>
    </row>
    <row r="62" spans="1:88" ht="5.25" customHeight="1" x14ac:dyDescent="0.35">
      <c r="B62" s="371"/>
      <c r="C62" s="321"/>
      <c r="D62" s="51"/>
      <c r="E62" s="302"/>
      <c r="F62" s="51"/>
      <c r="G62" s="51"/>
      <c r="H62" s="51"/>
      <c r="I62" s="310"/>
      <c r="J62" s="310"/>
      <c r="K62" s="310"/>
      <c r="L62" s="310"/>
      <c r="M62" s="310"/>
      <c r="N62" s="310"/>
      <c r="O62" s="310"/>
      <c r="P62" s="310"/>
      <c r="Q62" s="51"/>
      <c r="R62" s="51"/>
      <c r="S62" s="51"/>
      <c r="T62" s="51"/>
      <c r="U62" s="51"/>
      <c r="V62" s="51"/>
      <c r="W62" s="51"/>
    </row>
    <row r="63" spans="1:88" ht="18.75" customHeight="1" x14ac:dyDescent="0.35">
      <c r="B63" s="373" t="s">
        <v>421</v>
      </c>
      <c r="C63" s="262">
        <f>C64+C68+C74</f>
        <v>898.11599999999999</v>
      </c>
      <c r="D63" s="51"/>
      <c r="E63" s="302"/>
      <c r="F63" s="51"/>
      <c r="G63" s="51"/>
      <c r="H63" s="51"/>
      <c r="I63" s="310"/>
      <c r="J63" s="310"/>
      <c r="K63" s="310"/>
      <c r="L63" s="310"/>
      <c r="M63" s="310"/>
      <c r="N63" s="310"/>
      <c r="O63" s="310"/>
      <c r="P63" s="310"/>
      <c r="Q63" s="51"/>
      <c r="R63" s="51"/>
      <c r="S63" s="51"/>
      <c r="T63" s="51"/>
      <c r="U63" s="51"/>
      <c r="V63" s="51"/>
      <c r="W63" s="51"/>
    </row>
    <row r="64" spans="1:88" ht="16.25" customHeight="1" x14ac:dyDescent="0.35">
      <c r="B64" s="357" t="s">
        <v>402</v>
      </c>
      <c r="C64" s="262">
        <f>SUM(C65:C67)</f>
        <v>199</v>
      </c>
      <c r="D64" s="51"/>
      <c r="E64" s="302"/>
      <c r="F64" s="51"/>
      <c r="G64" s="51"/>
      <c r="H64" s="51"/>
      <c r="I64" s="310"/>
      <c r="J64" s="310"/>
      <c r="K64" s="310"/>
      <c r="L64" s="310"/>
      <c r="M64" s="310"/>
      <c r="N64" s="310"/>
      <c r="O64" s="310"/>
      <c r="P64" s="310"/>
      <c r="Q64" s="51"/>
      <c r="R64" s="51"/>
      <c r="S64" s="51"/>
      <c r="T64" s="51"/>
      <c r="U64" s="51"/>
      <c r="V64" s="51"/>
      <c r="W64" s="51"/>
    </row>
    <row r="65" spans="1:31" ht="20.75" customHeight="1" x14ac:dyDescent="0.35">
      <c r="B65" s="298" t="s">
        <v>149</v>
      </c>
      <c r="C65" s="262">
        <v>150</v>
      </c>
      <c r="D65" s="51"/>
      <c r="E65" s="302"/>
      <c r="F65" s="51"/>
      <c r="G65" s="51"/>
      <c r="H65" s="51"/>
      <c r="I65" s="310"/>
      <c r="J65" s="310"/>
      <c r="K65" s="310"/>
      <c r="L65" s="310"/>
      <c r="M65" s="310"/>
      <c r="N65" s="310"/>
      <c r="O65" s="310"/>
      <c r="P65" s="310"/>
      <c r="Q65" s="51"/>
      <c r="R65" s="51"/>
      <c r="S65" s="51"/>
      <c r="T65" s="51"/>
      <c r="U65" s="51"/>
      <c r="V65" s="51"/>
      <c r="W65" s="51"/>
    </row>
    <row r="66" spans="1:31" ht="16.5" customHeight="1" x14ac:dyDescent="0.35">
      <c r="B66" s="298" t="s">
        <v>150</v>
      </c>
      <c r="C66" s="377">
        <v>22</v>
      </c>
      <c r="D66" s="146"/>
      <c r="E66" s="302"/>
      <c r="F66" s="51"/>
      <c r="G66" s="51"/>
      <c r="H66" s="51"/>
      <c r="I66" s="310"/>
      <c r="J66" s="310"/>
      <c r="K66" s="310"/>
      <c r="L66" s="310"/>
      <c r="M66" s="310"/>
      <c r="N66" s="310"/>
      <c r="O66" s="310"/>
      <c r="P66" s="310"/>
      <c r="Q66" s="51"/>
      <c r="R66" s="51"/>
      <c r="S66" s="51"/>
      <c r="T66" s="51"/>
      <c r="U66" s="51"/>
      <c r="V66" s="51"/>
      <c r="W66" s="51"/>
    </row>
    <row r="67" spans="1:31" x14ac:dyDescent="0.35">
      <c r="B67" s="298" t="s">
        <v>152</v>
      </c>
      <c r="C67" s="262">
        <v>27</v>
      </c>
      <c r="D67" s="51"/>
      <c r="E67" s="302"/>
      <c r="F67" s="50"/>
      <c r="G67" s="51"/>
      <c r="H67" s="51"/>
      <c r="I67" s="310"/>
      <c r="J67" s="310"/>
      <c r="K67" s="310"/>
      <c r="L67" s="310"/>
      <c r="M67" s="310"/>
      <c r="N67" s="310"/>
      <c r="P67" s="310"/>
      <c r="Q67" s="51"/>
      <c r="R67" s="51"/>
      <c r="S67" s="51"/>
      <c r="T67" s="51"/>
      <c r="U67" s="51"/>
      <c r="V67" s="51"/>
      <c r="W67" s="51"/>
    </row>
    <row r="68" spans="1:31" ht="15" customHeight="1" x14ac:dyDescent="0.35">
      <c r="B68" s="357" t="s">
        <v>404</v>
      </c>
      <c r="C68" s="262">
        <f>SUM(C69:C73)</f>
        <v>150</v>
      </c>
      <c r="D68" s="51"/>
      <c r="E68" s="302"/>
      <c r="F68" s="51"/>
      <c r="G68" s="51"/>
      <c r="H68" s="51"/>
      <c r="I68" s="51"/>
      <c r="J68" s="51"/>
      <c r="K68" s="51"/>
      <c r="L68" s="51"/>
      <c r="M68" s="51"/>
      <c r="N68" s="51"/>
      <c r="P68" s="51"/>
      <c r="Q68" s="51"/>
      <c r="R68" s="51"/>
      <c r="S68" s="51"/>
      <c r="T68" s="51"/>
      <c r="U68" s="51"/>
      <c r="V68" s="51"/>
      <c r="W68" s="51"/>
    </row>
    <row r="69" spans="1:31" ht="17.25" customHeight="1" x14ac:dyDescent="0.35">
      <c r="B69" s="298" t="s">
        <v>391</v>
      </c>
      <c r="C69" s="262">
        <f>'Response and Relief Act Score'!F7</f>
        <v>29</v>
      </c>
      <c r="D69" s="51"/>
      <c r="E69" s="302"/>
      <c r="F69" s="51"/>
      <c r="G69" s="51"/>
      <c r="H69" s="51"/>
      <c r="I69" s="51"/>
    </row>
    <row r="70" spans="1:31" x14ac:dyDescent="0.35">
      <c r="B70" s="298" t="s">
        <v>150</v>
      </c>
      <c r="C70" s="262">
        <f>'Response and Relief Act Score'!F5</f>
        <v>82</v>
      </c>
      <c r="D70" s="51"/>
      <c r="E70" s="302"/>
      <c r="F70" s="51"/>
      <c r="G70" s="51"/>
      <c r="H70" s="51"/>
      <c r="I70" s="51"/>
      <c r="J70" s="51"/>
      <c r="K70" s="51"/>
      <c r="L70" s="51"/>
      <c r="M70" s="51"/>
      <c r="N70" s="51"/>
      <c r="P70" s="51"/>
      <c r="Q70" s="51"/>
      <c r="R70" s="51"/>
      <c r="S70" s="51"/>
      <c r="T70" s="51"/>
      <c r="U70" s="51"/>
      <c r="V70" s="51"/>
      <c r="W70" s="51"/>
    </row>
    <row r="71" spans="1:31" x14ac:dyDescent="0.35">
      <c r="B71" s="298" t="s">
        <v>152</v>
      </c>
      <c r="C71" s="262">
        <f>'Response and Relief Act Score'!F6</f>
        <v>3</v>
      </c>
      <c r="D71" s="51"/>
      <c r="E71" s="302"/>
      <c r="F71" s="51"/>
      <c r="G71" s="51"/>
      <c r="H71" s="51"/>
      <c r="I71" s="51"/>
      <c r="J71" s="51"/>
      <c r="K71" s="51"/>
      <c r="L71" s="51"/>
      <c r="M71" s="51"/>
      <c r="N71" s="51"/>
      <c r="P71" s="51"/>
      <c r="Q71" s="51"/>
      <c r="R71" s="51"/>
      <c r="S71" s="51"/>
      <c r="T71" s="51"/>
      <c r="U71" s="51"/>
      <c r="V71" s="51"/>
      <c r="W71" s="51"/>
    </row>
    <row r="72" spans="1:31" ht="29.25" customHeight="1" x14ac:dyDescent="0.35">
      <c r="B72" s="298" t="s">
        <v>407</v>
      </c>
      <c r="C72" s="262">
        <f>'Response and Relief Act Score'!F9</f>
        <v>34</v>
      </c>
      <c r="D72" s="51"/>
      <c r="E72" s="302"/>
      <c r="F72" s="51"/>
      <c r="G72" s="51"/>
      <c r="H72" s="51"/>
      <c r="I72" s="327"/>
      <c r="J72" s="51"/>
      <c r="K72" s="51"/>
      <c r="L72" s="51"/>
      <c r="M72" s="51"/>
      <c r="N72" s="51"/>
      <c r="O72" s="310"/>
      <c r="P72" s="51"/>
      <c r="Q72" s="51"/>
      <c r="R72" s="51"/>
      <c r="S72" s="51"/>
      <c r="T72" s="51"/>
      <c r="U72" s="51"/>
      <c r="V72" s="51"/>
      <c r="W72" s="51"/>
    </row>
    <row r="73" spans="1:31" ht="12.75" customHeight="1" x14ac:dyDescent="0.35">
      <c r="B73" s="298" t="s">
        <v>408</v>
      </c>
      <c r="C73" s="262">
        <f>'Response and Relief Act Score'!F8</f>
        <v>2</v>
      </c>
      <c r="D73" s="51"/>
      <c r="E73" s="302"/>
      <c r="F73" s="51"/>
      <c r="G73" s="51"/>
      <c r="H73" s="51"/>
      <c r="I73" s="51"/>
      <c r="J73" s="51"/>
      <c r="K73" s="51"/>
      <c r="L73" s="51"/>
      <c r="M73" s="51"/>
      <c r="N73" s="51"/>
      <c r="O73" s="51"/>
      <c r="P73" s="51"/>
      <c r="Q73" s="51"/>
      <c r="R73" s="51"/>
      <c r="S73" s="51"/>
      <c r="T73" s="51"/>
      <c r="U73" s="51"/>
      <c r="V73" s="51"/>
      <c r="W73" s="51"/>
    </row>
    <row r="74" spans="1:31" x14ac:dyDescent="0.35">
      <c r="A74" s="317"/>
      <c r="B74" s="314" t="s">
        <v>409</v>
      </c>
      <c r="C74" s="321">
        <f>SUM(C75:C79)</f>
        <v>549.11599999999999</v>
      </c>
      <c r="D74" s="51"/>
      <c r="E74" s="302"/>
      <c r="F74" s="51"/>
      <c r="G74" s="51"/>
      <c r="H74" s="51"/>
      <c r="I74" s="51"/>
      <c r="J74" s="51"/>
      <c r="K74" s="51"/>
      <c r="L74" s="51"/>
      <c r="M74" s="51"/>
      <c r="N74" s="51"/>
      <c r="P74" s="51"/>
      <c r="Q74" s="51"/>
      <c r="R74" s="51"/>
      <c r="S74" s="51"/>
      <c r="T74" s="51"/>
      <c r="U74" s="51"/>
      <c r="V74" s="51"/>
      <c r="W74" s="51"/>
    </row>
    <row r="75" spans="1:31" ht="16.25" customHeight="1" x14ac:dyDescent="0.35">
      <c r="A75" s="317"/>
      <c r="B75" s="316" t="s">
        <v>396</v>
      </c>
      <c r="C75" s="321">
        <f>'ARP Score'!AJ16</f>
        <v>362.04999999999995</v>
      </c>
      <c r="D75" s="51"/>
      <c r="E75" s="302"/>
      <c r="F75" s="51"/>
      <c r="G75" s="51"/>
      <c r="H75" s="51"/>
      <c r="I75" s="51"/>
      <c r="J75" s="51"/>
      <c r="K75" s="51"/>
      <c r="L75" s="51"/>
      <c r="M75" s="51"/>
      <c r="N75" s="51"/>
      <c r="O75" s="51"/>
      <c r="P75" s="51"/>
      <c r="Q75" s="51"/>
      <c r="R75" s="51"/>
      <c r="S75" s="51"/>
      <c r="T75" s="51"/>
      <c r="U75" s="51"/>
      <c r="V75" s="51"/>
      <c r="W75" s="51"/>
    </row>
    <row r="76" spans="1:31" ht="15" customHeight="1" x14ac:dyDescent="0.35">
      <c r="A76" s="1152"/>
      <c r="B76" s="316" t="s">
        <v>150</v>
      </c>
      <c r="C76" s="321">
        <f>'ARP Score'!AL16</f>
        <v>169.16899999999998</v>
      </c>
      <c r="D76" s="51"/>
      <c r="E76" s="302"/>
      <c r="F76" s="51"/>
      <c r="G76" s="51"/>
      <c r="H76" s="51"/>
      <c r="I76" s="51"/>
      <c r="J76" s="51"/>
      <c r="K76" s="51"/>
      <c r="L76" s="51"/>
      <c r="M76" s="51"/>
      <c r="N76" s="51"/>
      <c r="O76" s="51"/>
      <c r="P76" s="51"/>
      <c r="Q76" s="319"/>
      <c r="R76" s="51"/>
      <c r="S76" s="51"/>
      <c r="T76" s="51"/>
      <c r="U76" s="51"/>
      <c r="V76" s="51"/>
      <c r="W76" s="51"/>
    </row>
    <row r="77" spans="1:31" x14ac:dyDescent="0.35">
      <c r="A77" s="1152"/>
      <c r="B77" s="316" t="s">
        <v>152</v>
      </c>
      <c r="C77" s="321">
        <f>'ARP Score'!AK16</f>
        <v>8.5</v>
      </c>
      <c r="D77" s="51"/>
      <c r="E77" s="302"/>
      <c r="F77" s="51"/>
      <c r="G77" s="51"/>
      <c r="H77" s="51"/>
      <c r="I77" s="51"/>
      <c r="J77" s="51"/>
      <c r="K77" s="51"/>
      <c r="L77" s="51"/>
      <c r="M77" s="51"/>
      <c r="N77" s="51"/>
      <c r="O77" s="51"/>
      <c r="P77" s="51"/>
      <c r="Q77" s="51"/>
      <c r="R77" s="51"/>
      <c r="S77" s="51"/>
      <c r="T77" s="51"/>
      <c r="U77" s="51"/>
      <c r="V77" s="51"/>
      <c r="W77" s="51"/>
    </row>
    <row r="78" spans="1:31" ht="17.25" customHeight="1" x14ac:dyDescent="0.35">
      <c r="A78" s="317"/>
      <c r="B78" s="316" t="s">
        <v>412</v>
      </c>
      <c r="C78" s="321">
        <f>'ARP Score'!AM16</f>
        <v>0.79700000000000004</v>
      </c>
      <c r="D78" s="51"/>
      <c r="E78" s="302"/>
      <c r="F78" s="51"/>
      <c r="G78" s="51"/>
      <c r="H78" s="51"/>
      <c r="I78" s="51"/>
      <c r="J78" s="51"/>
      <c r="K78" s="51"/>
      <c r="L78" s="51"/>
      <c r="M78" s="51"/>
      <c r="N78" s="51"/>
      <c r="O78" s="51"/>
      <c r="P78" s="51"/>
      <c r="Q78" s="51"/>
      <c r="R78" s="51"/>
      <c r="S78" s="51"/>
      <c r="T78" s="51"/>
      <c r="U78" s="51"/>
      <c r="V78" s="51"/>
      <c r="W78" s="51"/>
    </row>
    <row r="79" spans="1:31" ht="17.25" customHeight="1" x14ac:dyDescent="0.35">
      <c r="A79" s="317"/>
      <c r="B79" s="318" t="s">
        <v>422</v>
      </c>
      <c r="C79" s="322">
        <f>'ARP Score'!AN16</f>
        <v>8.6</v>
      </c>
      <c r="D79" s="320"/>
      <c r="E79" s="303"/>
      <c r="F79" s="51"/>
      <c r="G79" s="51"/>
      <c r="H79" s="51"/>
      <c r="I79" s="51"/>
      <c r="J79" s="51"/>
      <c r="K79" s="51"/>
      <c r="L79" s="51"/>
      <c r="M79" s="51"/>
      <c r="N79" s="51"/>
      <c r="O79" s="51"/>
      <c r="P79" s="51"/>
      <c r="Q79" s="51"/>
      <c r="R79" s="51"/>
      <c r="S79" s="51"/>
      <c r="T79" s="51"/>
      <c r="U79" s="51"/>
      <c r="V79" s="51"/>
      <c r="W79" s="51"/>
    </row>
    <row r="80" spans="1:31" ht="17.25" customHeight="1" x14ac:dyDescent="0.35">
      <c r="B80" s="316"/>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5">
      <c r="B81" s="299"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5" customHeight="1" x14ac:dyDescent="0.35">
      <c r="B82" s="1142" t="s">
        <v>424</v>
      </c>
      <c r="C82" s="1126"/>
      <c r="D82" s="1292" t="s">
        <v>325</v>
      </c>
      <c r="E82" s="1293"/>
      <c r="F82" s="1293"/>
      <c r="G82" s="1293"/>
      <c r="H82" s="1293"/>
      <c r="I82" s="1293"/>
      <c r="J82" s="1293"/>
      <c r="K82" s="1293"/>
      <c r="L82" s="1293"/>
      <c r="M82" s="1293"/>
      <c r="N82" s="1293"/>
      <c r="O82" s="1293"/>
      <c r="P82" s="1293"/>
      <c r="Q82" s="1293"/>
      <c r="R82" s="1293"/>
      <c r="S82" s="1293"/>
      <c r="T82" s="1294"/>
      <c r="U82" s="1295" t="s">
        <v>326</v>
      </c>
      <c r="V82" s="1296"/>
      <c r="W82" s="1296"/>
      <c r="X82" s="1296"/>
      <c r="Y82" s="1296"/>
      <c r="Z82" s="1296"/>
      <c r="AA82" s="1296"/>
      <c r="AB82" s="1296"/>
      <c r="AC82" s="1297"/>
      <c r="AD82" s="135"/>
      <c r="AE82" s="135"/>
    </row>
    <row r="83" spans="2:31" x14ac:dyDescent="0.35">
      <c r="B83" s="1143"/>
      <c r="C83" s="1144"/>
      <c r="D83" s="140">
        <v>2018</v>
      </c>
      <c r="E83" s="1114">
        <v>2019</v>
      </c>
      <c r="F83" s="1115"/>
      <c r="G83" s="1115"/>
      <c r="H83" s="1122"/>
      <c r="I83" s="1114">
        <v>2020</v>
      </c>
      <c r="J83" s="1115"/>
      <c r="K83" s="1115"/>
      <c r="L83" s="1115"/>
      <c r="M83" s="1114">
        <v>2021</v>
      </c>
      <c r="N83" s="1115"/>
      <c r="O83" s="1115"/>
      <c r="P83" s="1115"/>
      <c r="Q83" s="1290">
        <v>2022</v>
      </c>
      <c r="R83" s="1100"/>
      <c r="S83" s="1040"/>
      <c r="T83" s="1298"/>
      <c r="U83" s="1277">
        <v>2023</v>
      </c>
      <c r="V83" s="1146"/>
      <c r="W83" s="1146"/>
      <c r="X83" s="1146"/>
      <c r="Y83" s="1145">
        <v>2024</v>
      </c>
      <c r="Z83" s="1146"/>
      <c r="AA83" s="1146"/>
      <c r="AB83" s="1147"/>
      <c r="AC83" s="239">
        <v>2025</v>
      </c>
      <c r="AD83" s="137"/>
      <c r="AE83" s="137"/>
    </row>
    <row r="84" spans="2:31" x14ac:dyDescent="0.35">
      <c r="B84" s="1153"/>
      <c r="C84" s="1154"/>
      <c r="D84" s="149" t="s">
        <v>327</v>
      </c>
      <c r="E84" s="149" t="s">
        <v>328</v>
      </c>
      <c r="F84" s="148" t="s">
        <v>329</v>
      </c>
      <c r="G84" s="148" t="s">
        <v>238</v>
      </c>
      <c r="H84" s="198" t="s">
        <v>327</v>
      </c>
      <c r="I84" s="148" t="s">
        <v>328</v>
      </c>
      <c r="J84" s="148" t="s">
        <v>329</v>
      </c>
      <c r="K84" s="148" t="s">
        <v>238</v>
      </c>
      <c r="L84" s="148" t="s">
        <v>327</v>
      </c>
      <c r="M84" s="149" t="s">
        <v>328</v>
      </c>
      <c r="N84" s="148" t="s">
        <v>329</v>
      </c>
      <c r="O84" s="148" t="s">
        <v>238</v>
      </c>
      <c r="P84" s="148" t="s">
        <v>327</v>
      </c>
      <c r="Q84" s="1051" t="s">
        <v>328</v>
      </c>
      <c r="R84" s="1039" t="s">
        <v>329</v>
      </c>
      <c r="S84" s="1039" t="s">
        <v>238</v>
      </c>
      <c r="T84" s="1052" t="s">
        <v>327</v>
      </c>
      <c r="U84" s="1282" t="s">
        <v>328</v>
      </c>
      <c r="V84" s="329" t="s">
        <v>329</v>
      </c>
      <c r="W84" s="329" t="s">
        <v>238</v>
      </c>
      <c r="X84" s="329" t="s">
        <v>327</v>
      </c>
      <c r="Y84" s="328" t="s">
        <v>328</v>
      </c>
      <c r="Z84" s="230" t="s">
        <v>329</v>
      </c>
      <c r="AA84" s="329" t="s">
        <v>238</v>
      </c>
      <c r="AB84" s="341" t="s">
        <v>327</v>
      </c>
      <c r="AC84" s="356" t="s">
        <v>328</v>
      </c>
      <c r="AD84" s="137"/>
      <c r="AE84" s="137"/>
    </row>
    <row r="85" spans="2:31" ht="29.25" customHeight="1" x14ac:dyDescent="0.35">
      <c r="B85" s="343" t="s">
        <v>425</v>
      </c>
      <c r="C85" s="362"/>
      <c r="D85" s="1340"/>
      <c r="E85" s="1341"/>
      <c r="F85" s="1341"/>
      <c r="G85" s="1341"/>
      <c r="H85" s="1325">
        <f t="shared" ref="H85:O85" si="20">SUM(H87:H95)</f>
        <v>205.80500000000001</v>
      </c>
      <c r="I85" s="1325">
        <f t="shared" si="20"/>
        <v>210.29200000000003</v>
      </c>
      <c r="J85" s="1325">
        <f t="shared" si="20"/>
        <v>325.28399999999999</v>
      </c>
      <c r="K85" s="1325">
        <f t="shared" si="20"/>
        <v>297.32000000000005</v>
      </c>
      <c r="L85" s="1325">
        <f t="shared" si="20"/>
        <v>289.54199999999997</v>
      </c>
      <c r="M85" s="1325">
        <f t="shared" si="20"/>
        <v>315.67900000000003</v>
      </c>
      <c r="N85" s="1325">
        <f t="shared" si="20"/>
        <v>361.52700000000004</v>
      </c>
      <c r="O85" s="1325">
        <f t="shared" si="20"/>
        <v>374.99100000000004</v>
      </c>
      <c r="P85" s="1325">
        <f>SUM(P87:P96)</f>
        <v>401.58485200000007</v>
      </c>
      <c r="Q85" s="1325">
        <f>SUM(Q87:Q96)</f>
        <v>438.45827479999997</v>
      </c>
      <c r="R85" s="1325">
        <f>SUM(R87:R96)</f>
        <v>505.04903199999995</v>
      </c>
      <c r="S85" s="1325">
        <f>SUM(S87:S96)</f>
        <v>492.38786800000003</v>
      </c>
      <c r="T85" s="1326">
        <f t="shared" ref="T85:AC85" si="21">SUM(T87:T96)</f>
        <v>106.390928</v>
      </c>
      <c r="U85" s="1315">
        <f t="shared" si="21"/>
        <v>151.0389119651158</v>
      </c>
      <c r="V85" s="304">
        <f t="shared" si="21"/>
        <v>152.45432146619868</v>
      </c>
      <c r="W85" s="304">
        <f t="shared" si="21"/>
        <v>148.36827954230918</v>
      </c>
      <c r="X85" s="304">
        <f t="shared" si="21"/>
        <v>145.78741066666663</v>
      </c>
      <c r="Y85" s="304">
        <f t="shared" si="21"/>
        <v>131.40695407572048</v>
      </c>
      <c r="Z85" s="304">
        <f t="shared" si="21"/>
        <v>108.54513356484662</v>
      </c>
      <c r="AA85" s="304">
        <f t="shared" si="21"/>
        <v>109.97585848400158</v>
      </c>
      <c r="AB85" s="304">
        <f t="shared" si="21"/>
        <v>111.66763343333332</v>
      </c>
      <c r="AC85" s="305">
        <f t="shared" si="21"/>
        <v>91.747312758749317</v>
      </c>
      <c r="AD85" s="287"/>
      <c r="AE85" s="287"/>
    </row>
    <row r="86" spans="2:31" ht="19.25" customHeight="1" x14ac:dyDescent="0.35">
      <c r="B86" s="373" t="s">
        <v>426</v>
      </c>
      <c r="C86" s="286"/>
      <c r="D86" s="382"/>
      <c r="E86" s="1338"/>
      <c r="F86" s="1338"/>
      <c r="G86" s="1338"/>
      <c r="H86" s="1316"/>
      <c r="I86" s="1316"/>
      <c r="J86" s="1316"/>
      <c r="K86" s="1316"/>
      <c r="L86" s="1316"/>
      <c r="M86" s="1316"/>
      <c r="N86" s="1316"/>
      <c r="O86" s="1316"/>
      <c r="P86" s="1316"/>
      <c r="Q86" s="1316"/>
      <c r="R86" s="1316"/>
      <c r="S86" s="1316"/>
      <c r="T86" s="1321"/>
      <c r="U86" s="288"/>
      <c r="V86" s="288"/>
      <c r="W86" s="288"/>
      <c r="X86" s="288"/>
      <c r="Y86" s="288"/>
      <c r="Z86" s="288"/>
      <c r="AA86" s="288"/>
      <c r="AB86" s="288"/>
      <c r="AC86" s="337"/>
      <c r="AD86" s="287"/>
      <c r="AE86" s="287"/>
    </row>
    <row r="87" spans="2:31" x14ac:dyDescent="0.35">
      <c r="B87" s="369" t="s">
        <v>152</v>
      </c>
      <c r="C87" s="50"/>
      <c r="D87" s="311"/>
      <c r="E87" s="1004"/>
      <c r="F87" s="1004"/>
      <c r="G87" s="1004"/>
      <c r="H87" s="1317"/>
      <c r="I87" s="1317"/>
      <c r="J87" s="1317">
        <f t="shared" ref="J87:AC87" si="22">J14</f>
        <v>64.400000000000006</v>
      </c>
      <c r="K87" s="1317">
        <f t="shared" si="22"/>
        <v>23.4</v>
      </c>
      <c r="L87" s="1317">
        <f t="shared" si="22"/>
        <v>13.8</v>
      </c>
      <c r="M87" s="1317">
        <f t="shared" si="22"/>
        <v>12</v>
      </c>
      <c r="N87" s="1317">
        <f t="shared" si="22"/>
        <v>7.5</v>
      </c>
      <c r="O87" s="1317">
        <f t="shared" si="22"/>
        <v>10.5</v>
      </c>
      <c r="P87" s="1317">
        <f t="shared" si="22"/>
        <v>18</v>
      </c>
      <c r="Q87" s="1317">
        <f t="shared" si="22"/>
        <v>15</v>
      </c>
      <c r="R87" s="1317">
        <f t="shared" si="22"/>
        <v>11.2</v>
      </c>
      <c r="S87" s="1317">
        <f t="shared" si="22"/>
        <v>7.5</v>
      </c>
      <c r="T87" s="1322">
        <f t="shared" si="22"/>
        <v>0</v>
      </c>
      <c r="U87" s="290">
        <f t="shared" si="22"/>
        <v>0</v>
      </c>
      <c r="V87" s="290">
        <f t="shared" si="22"/>
        <v>0</v>
      </c>
      <c r="W87" s="290">
        <f t="shared" si="22"/>
        <v>0</v>
      </c>
      <c r="X87" s="290">
        <f t="shared" si="22"/>
        <v>0</v>
      </c>
      <c r="Y87" s="290">
        <f t="shared" si="22"/>
        <v>0</v>
      </c>
      <c r="Z87" s="290">
        <f t="shared" si="22"/>
        <v>0</v>
      </c>
      <c r="AA87" s="290">
        <f t="shared" si="22"/>
        <v>0</v>
      </c>
      <c r="AB87" s="290">
        <f t="shared" si="22"/>
        <v>0</v>
      </c>
      <c r="AC87" s="340">
        <f t="shared" si="22"/>
        <v>0</v>
      </c>
      <c r="AD87" s="289"/>
      <c r="AE87" s="289"/>
    </row>
    <row r="88" spans="2:31" x14ac:dyDescent="0.35">
      <c r="B88" s="369" t="s">
        <v>391</v>
      </c>
      <c r="C88" s="50"/>
      <c r="D88" s="311"/>
      <c r="E88" s="1004"/>
      <c r="F88" s="1004"/>
      <c r="G88" s="1004"/>
      <c r="H88" s="1317"/>
      <c r="I88" s="1317"/>
      <c r="J88" s="1317"/>
      <c r="K88" s="1317"/>
      <c r="L88" s="1317"/>
      <c r="M88" s="1317">
        <f>M40</f>
        <v>9.6666666666666661</v>
      </c>
      <c r="N88" s="1317">
        <f t="shared" ref="N88:AC88" si="23">N40</f>
        <v>9.6666666666666661</v>
      </c>
      <c r="O88" s="1317">
        <f t="shared" si="23"/>
        <v>9.6666666666666661</v>
      </c>
      <c r="P88" s="1317">
        <f t="shared" si="23"/>
        <v>9.6666666666666661</v>
      </c>
      <c r="Q88" s="1317">
        <f>Q40</f>
        <v>9.6666666666666661</v>
      </c>
      <c r="R88" s="1317">
        <f>R40</f>
        <v>9.6666666666666661</v>
      </c>
      <c r="S88" s="1317">
        <f>S40</f>
        <v>9.6666666666666661</v>
      </c>
      <c r="T88" s="1322">
        <f t="shared" si="23"/>
        <v>9.6666666666666661</v>
      </c>
      <c r="U88" s="290">
        <f t="shared" si="23"/>
        <v>9.6666666666666661</v>
      </c>
      <c r="V88" s="290">
        <f t="shared" si="23"/>
        <v>9.6666666666666661</v>
      </c>
      <c r="W88" s="290">
        <f t="shared" si="23"/>
        <v>9.6666666666666661</v>
      </c>
      <c r="X88" s="290">
        <f t="shared" si="23"/>
        <v>9.6666666666666661</v>
      </c>
      <c r="Y88" s="290">
        <f t="shared" si="23"/>
        <v>0</v>
      </c>
      <c r="Z88" s="290">
        <f t="shared" si="23"/>
        <v>0</v>
      </c>
      <c r="AA88" s="290">
        <f t="shared" si="23"/>
        <v>0</v>
      </c>
      <c r="AB88" s="290">
        <f t="shared" si="23"/>
        <v>0</v>
      </c>
      <c r="AC88" s="340">
        <f t="shared" si="23"/>
        <v>0</v>
      </c>
      <c r="AD88" s="289"/>
      <c r="AE88" s="289"/>
    </row>
    <row r="89" spans="2:31" x14ac:dyDescent="0.35">
      <c r="B89" s="369" t="s">
        <v>427</v>
      </c>
      <c r="C89" s="50"/>
      <c r="D89" s="311"/>
      <c r="E89" s="1004"/>
      <c r="F89" s="1004"/>
      <c r="G89" s="1004"/>
      <c r="H89" s="1317"/>
      <c r="I89" s="1317"/>
      <c r="J89" s="1317"/>
      <c r="K89" s="1317"/>
      <c r="L89" s="1317"/>
      <c r="M89" s="1317">
        <f t="shared" ref="M89:AC89" si="24">M16</f>
        <v>12</v>
      </c>
      <c r="N89" s="1317">
        <f t="shared" si="24"/>
        <v>12</v>
      </c>
      <c r="O89" s="1317">
        <f t="shared" si="24"/>
        <v>12</v>
      </c>
      <c r="P89" s="1317">
        <f t="shared" si="24"/>
        <v>12</v>
      </c>
      <c r="Q89" s="1317">
        <f t="shared" si="24"/>
        <v>12</v>
      </c>
      <c r="R89" s="1317">
        <f t="shared" si="24"/>
        <v>12</v>
      </c>
      <c r="S89" s="1317">
        <f t="shared" si="24"/>
        <v>12</v>
      </c>
      <c r="T89" s="1322">
        <f t="shared" si="24"/>
        <v>12</v>
      </c>
      <c r="U89" s="290">
        <f t="shared" si="24"/>
        <v>12</v>
      </c>
      <c r="V89" s="290">
        <f t="shared" si="24"/>
        <v>12</v>
      </c>
      <c r="W89" s="290">
        <f t="shared" si="24"/>
        <v>12</v>
      </c>
      <c r="X89" s="290">
        <f t="shared" si="24"/>
        <v>12</v>
      </c>
      <c r="Y89" s="290">
        <f t="shared" si="24"/>
        <v>0</v>
      </c>
      <c r="Z89" s="290">
        <f t="shared" si="24"/>
        <v>0</v>
      </c>
      <c r="AA89" s="290">
        <f t="shared" si="24"/>
        <v>0</v>
      </c>
      <c r="AB89" s="290">
        <f t="shared" si="24"/>
        <v>0</v>
      </c>
      <c r="AC89" s="340">
        <f t="shared" si="24"/>
        <v>0</v>
      </c>
      <c r="AD89" s="289"/>
      <c r="AE89" s="289"/>
    </row>
    <row r="90" spans="2:31" x14ac:dyDescent="0.35">
      <c r="B90" s="369" t="s">
        <v>428</v>
      </c>
      <c r="C90" s="50"/>
      <c r="D90" s="311"/>
      <c r="E90" s="1004"/>
      <c r="F90" s="1004"/>
      <c r="G90" s="1004"/>
      <c r="H90" s="1318">
        <f t="shared" ref="H90:AC90" si="25">H20</f>
        <v>205.80500000000001</v>
      </c>
      <c r="I90" s="1318">
        <f t="shared" si="25"/>
        <v>210.29200000000003</v>
      </c>
      <c r="J90" s="1318">
        <f t="shared" si="25"/>
        <v>197.48400000000004</v>
      </c>
      <c r="K90" s="1318">
        <f t="shared" si="25"/>
        <v>213.12000000000006</v>
      </c>
      <c r="L90" s="1318">
        <f t="shared" si="25"/>
        <v>215.54199999999997</v>
      </c>
      <c r="M90" s="1318">
        <f t="shared" si="25"/>
        <v>213.11233333333337</v>
      </c>
      <c r="N90" s="1318">
        <f t="shared" si="25"/>
        <v>224.76033333333339</v>
      </c>
      <c r="O90" s="1318">
        <f t="shared" si="25"/>
        <v>222.12433333333337</v>
      </c>
      <c r="P90" s="1318">
        <f t="shared" si="25"/>
        <v>250.09733333333338</v>
      </c>
      <c r="Q90" s="1318">
        <f t="shared" si="25"/>
        <v>253.39533333333327</v>
      </c>
      <c r="R90" s="1318">
        <f t="shared" si="25"/>
        <v>266.9323333333333</v>
      </c>
      <c r="S90" s="1318">
        <f t="shared" si="25"/>
        <v>265.62533333333334</v>
      </c>
      <c r="T90" s="1323">
        <f t="shared" si="25"/>
        <v>-45.882666666666665</v>
      </c>
      <c r="U90" s="291">
        <f t="shared" si="25"/>
        <v>-46.334767234884154</v>
      </c>
      <c r="V90" s="291">
        <f t="shared" si="25"/>
        <v>-46.791322533801306</v>
      </c>
      <c r="W90" s="291">
        <f t="shared" si="25"/>
        <v>-47.252376457690779</v>
      </c>
      <c r="X90" s="291">
        <f t="shared" si="25"/>
        <v>-47.717973333333333</v>
      </c>
      <c r="Y90" s="291">
        <f t="shared" si="25"/>
        <v>-48.188157924279523</v>
      </c>
      <c r="Z90" s="291">
        <f t="shared" si="25"/>
        <v>-48.662975435153363</v>
      </c>
      <c r="AA90" s="291">
        <f t="shared" si="25"/>
        <v>-49.142471515998416</v>
      </c>
      <c r="AB90" s="291">
        <f t="shared" si="25"/>
        <v>-49.626692266666666</v>
      </c>
      <c r="AC90" s="338">
        <f t="shared" si="25"/>
        <v>-50.115684241250698</v>
      </c>
      <c r="AD90" s="53"/>
      <c r="AE90" s="53"/>
    </row>
    <row r="91" spans="2:31" x14ac:dyDescent="0.35">
      <c r="B91" s="352" t="s">
        <v>1282</v>
      </c>
      <c r="C91" s="50"/>
      <c r="D91" s="311"/>
      <c r="E91" s="1004"/>
      <c r="F91" s="1004"/>
      <c r="G91" s="1004"/>
      <c r="H91" s="1318"/>
      <c r="I91" s="1318"/>
      <c r="J91" s="1318"/>
      <c r="K91" s="1318"/>
      <c r="L91" s="1318"/>
      <c r="M91" s="1318"/>
      <c r="N91" s="1318"/>
      <c r="O91" s="1318"/>
      <c r="P91" s="1318"/>
      <c r="Q91" s="1318"/>
      <c r="R91" s="1318"/>
      <c r="S91" s="1319">
        <f>'IRA and CHIPS'!E184</f>
        <v>0</v>
      </c>
      <c r="T91" s="1324">
        <f>'IRA and CHIPS'!F184</f>
        <v>6.8000000000000005E-2</v>
      </c>
      <c r="U91" s="292">
        <f>'IRA and CHIPS'!G184</f>
        <v>6.8000000000000005E-2</v>
      </c>
      <c r="V91" s="292">
        <f>'IRA and CHIPS'!H184</f>
        <v>6.8000000000000005E-2</v>
      </c>
      <c r="W91" s="292">
        <f>'IRA and CHIPS'!I184</f>
        <v>6.8000000000000005E-2</v>
      </c>
      <c r="X91" s="292">
        <f>'IRA and CHIPS'!J184</f>
        <v>1.363</v>
      </c>
      <c r="Y91" s="292">
        <f>'IRA and CHIPS'!K184</f>
        <v>1.363</v>
      </c>
      <c r="Z91" s="292">
        <f>'IRA and CHIPS'!L184</f>
        <v>1.363</v>
      </c>
      <c r="AA91" s="292">
        <f>'IRA and CHIPS'!M184</f>
        <v>1.363</v>
      </c>
      <c r="AB91" s="292">
        <f>'IRA and CHIPS'!N184</f>
        <v>2.4329999999999998</v>
      </c>
      <c r="AC91" s="292">
        <f>'IRA and CHIPS'!O184</f>
        <v>2.4329999999999998</v>
      </c>
      <c r="AD91" s="53"/>
      <c r="AE91" s="53"/>
    </row>
    <row r="92" spans="2:31" ht="14.75" customHeight="1" x14ac:dyDescent="0.35">
      <c r="B92" s="339" t="s">
        <v>429</v>
      </c>
      <c r="C92" s="50"/>
      <c r="D92" s="311"/>
      <c r="E92" s="1004"/>
      <c r="F92" s="1004"/>
      <c r="G92" s="1004"/>
      <c r="H92" s="1317"/>
      <c r="I92" s="1317"/>
      <c r="J92" s="1317"/>
      <c r="K92" s="1317"/>
      <c r="L92" s="1317"/>
      <c r="M92" s="1317"/>
      <c r="N92" s="1317"/>
      <c r="O92" s="1317"/>
      <c r="P92" s="1317"/>
      <c r="Q92" s="1317"/>
      <c r="R92" s="1317"/>
      <c r="S92" s="1317"/>
      <c r="T92" s="1322"/>
      <c r="U92" s="290"/>
      <c r="V92" s="290"/>
      <c r="W92" s="290"/>
      <c r="X92" s="290"/>
      <c r="Y92" s="290"/>
      <c r="Z92" s="290"/>
      <c r="AA92" s="290"/>
      <c r="AB92" s="290"/>
      <c r="AC92" s="340"/>
      <c r="AD92" s="289"/>
      <c r="AE92" s="289"/>
    </row>
    <row r="93" spans="2:31" ht="14.75" customHeight="1" x14ac:dyDescent="0.35">
      <c r="B93" s="369" t="s">
        <v>150</v>
      </c>
      <c r="C93" s="50"/>
      <c r="D93" s="311"/>
      <c r="E93" s="1004"/>
      <c r="F93" s="1004"/>
      <c r="G93" s="1004"/>
      <c r="H93" s="1317"/>
      <c r="I93" s="1317"/>
      <c r="J93" s="1317">
        <f t="shared" ref="J93:T93" si="26">J13</f>
        <v>28.4</v>
      </c>
      <c r="K93" s="1317">
        <f t="shared" si="26"/>
        <v>15.8</v>
      </c>
      <c r="L93" s="1317">
        <f t="shared" si="26"/>
        <v>15.2</v>
      </c>
      <c r="M93" s="1317">
        <f t="shared" si="26"/>
        <v>28.9</v>
      </c>
      <c r="N93" s="1317">
        <f t="shared" si="26"/>
        <v>67.599999999999994</v>
      </c>
      <c r="O93" s="1317">
        <f t="shared" si="26"/>
        <v>80.7</v>
      </c>
      <c r="P93" s="1317">
        <f t="shared" si="26"/>
        <v>87.2</v>
      </c>
      <c r="Q93" s="1317">
        <f t="shared" si="26"/>
        <v>72.400000000000006</v>
      </c>
      <c r="R93" s="1317">
        <f t="shared" si="26"/>
        <v>85.9</v>
      </c>
      <c r="S93" s="1320">
        <f t="shared" si="26"/>
        <v>68.3</v>
      </c>
      <c r="T93" s="277">
        <f t="shared" si="26"/>
        <v>0</v>
      </c>
      <c r="U93" s="290">
        <f>U37+U41+'ARP Quarterly'!K28</f>
        <v>55.516469333333305</v>
      </c>
      <c r="V93" s="290">
        <f>V37+V41+'ARP Quarterly'!L28</f>
        <v>58.594257333333303</v>
      </c>
      <c r="W93" s="290">
        <f>W37+W41+'ARP Quarterly'!M28</f>
        <v>61.672045333333294</v>
      </c>
      <c r="X93" s="290">
        <f>X37+X41+'ARP Quarterly'!N28</f>
        <v>63.261773333333295</v>
      </c>
      <c r="Y93" s="290">
        <f>Y37+Y41+'ARP Quarterly'!O28</f>
        <v>61.518167999999996</v>
      </c>
      <c r="Z93" s="290">
        <f>Z37+Z41+'ARP Quarterly'!P28</f>
        <v>44.428388999999996</v>
      </c>
      <c r="AA93" s="290">
        <f>AA37+AA41+'ARP Quarterly'!Q28</f>
        <v>46.338610000000003</v>
      </c>
      <c r="AB93" s="290">
        <f>AB37+AB41+'ARP Quarterly'!R28</f>
        <v>47.279744500000007</v>
      </c>
      <c r="AC93" s="340">
        <f>AC37+AC41+'ARP Quarterly'!S28</f>
        <v>46.283419000000009</v>
      </c>
      <c r="AD93" s="289"/>
      <c r="AE93" s="289"/>
    </row>
    <row r="94" spans="2:31" x14ac:dyDescent="0.35">
      <c r="B94" s="369" t="s">
        <v>149</v>
      </c>
      <c r="C94" s="53"/>
      <c r="D94" s="383"/>
      <c r="E94" s="1318"/>
      <c r="F94" s="1318"/>
      <c r="G94" s="1318"/>
      <c r="H94" s="1317"/>
      <c r="I94" s="1317"/>
      <c r="J94" s="1317">
        <v>35</v>
      </c>
      <c r="K94" s="1317">
        <v>45</v>
      </c>
      <c r="L94" s="1317">
        <v>45</v>
      </c>
      <c r="M94" s="1317">
        <v>40</v>
      </c>
      <c r="N94" s="1317">
        <v>40</v>
      </c>
      <c r="O94" s="1317">
        <v>40</v>
      </c>
      <c r="P94" s="1317">
        <v>40</v>
      </c>
      <c r="Q94" s="1317">
        <v>50</v>
      </c>
      <c r="R94" s="1317">
        <v>50</v>
      </c>
      <c r="S94" s="1317">
        <v>50</v>
      </c>
      <c r="T94" s="1322">
        <v>50</v>
      </c>
      <c r="U94" s="290">
        <v>40</v>
      </c>
      <c r="V94" s="290">
        <v>30</v>
      </c>
      <c r="W94" s="290">
        <v>20</v>
      </c>
      <c r="X94" s="290">
        <v>15</v>
      </c>
      <c r="Y94" s="290">
        <v>10</v>
      </c>
      <c r="Z94" s="290"/>
      <c r="AA94" s="290"/>
      <c r="AB94" s="290"/>
      <c r="AC94" s="340"/>
      <c r="AD94" s="197">
        <f>SUM(O94:AC94)</f>
        <v>395</v>
      </c>
    </row>
    <row r="95" spans="2:31" ht="28.5" customHeight="1" x14ac:dyDescent="0.35">
      <c r="B95" s="295" t="s">
        <v>430</v>
      </c>
      <c r="C95" s="315"/>
      <c r="D95" s="311"/>
      <c r="E95" s="1004"/>
      <c r="F95" s="1004"/>
      <c r="G95" s="1004"/>
      <c r="H95" s="1317"/>
      <c r="I95" s="1317"/>
      <c r="J95" s="1317"/>
      <c r="K95" s="1317"/>
      <c r="L95" s="1317"/>
      <c r="M95" s="1317"/>
      <c r="N95" s="1317">
        <f>'ARP Quarterly'!D47</f>
        <v>0</v>
      </c>
      <c r="O95" s="1317">
        <f>'ARP Quarterly'!E47</f>
        <v>0</v>
      </c>
      <c r="P95" s="1317">
        <f>'ARP Quarterly'!F47</f>
        <v>34.620851999999999</v>
      </c>
      <c r="Q95" s="1317">
        <f>'ARP Quarterly'!G47</f>
        <v>50.996274799999995</v>
      </c>
      <c r="R95" s="1317">
        <f>'ARP Quarterly'!H47</f>
        <v>69.350031999999999</v>
      </c>
      <c r="S95" s="1317">
        <f>'ARP Quarterly'!I47</f>
        <v>79.295867999999999</v>
      </c>
      <c r="T95" s="1322">
        <f>'ARP Quarterly'!J47</f>
        <v>80.538927999999999</v>
      </c>
      <c r="U95" s="354">
        <f>'ARP Quarterly'!K47</f>
        <v>80.122543199999996</v>
      </c>
      <c r="V95" s="354">
        <f>'ARP Quarterly'!L47</f>
        <v>88.916719999999998</v>
      </c>
      <c r="W95" s="354">
        <f>'ARP Quarterly'!M47</f>
        <v>92.213943999999998</v>
      </c>
      <c r="X95" s="354">
        <f>'ARP Quarterly'!N47</f>
        <v>92.213943999999998</v>
      </c>
      <c r="Y95" s="354">
        <f>'ARP Quarterly'!O47</f>
        <v>94.213943999999998</v>
      </c>
      <c r="Z95" s="354">
        <f>'ARP Quarterly'!P47</f>
        <v>98.916719999999998</v>
      </c>
      <c r="AA95" s="354">
        <f>'ARP Quarterly'!Q47</f>
        <v>98.916719999999998</v>
      </c>
      <c r="AB95" s="354">
        <f>'ARP Quarterly'!R47</f>
        <v>99.081581199999988</v>
      </c>
      <c r="AC95" s="355">
        <f>'ARP Quarterly'!S47</f>
        <v>93.146578000000005</v>
      </c>
      <c r="AD95" s="334"/>
    </row>
    <row r="96" spans="2:31" ht="55.25" customHeight="1" x14ac:dyDescent="0.35">
      <c r="B96" s="306" t="s">
        <v>900</v>
      </c>
      <c r="C96" s="307"/>
      <c r="D96" s="145"/>
      <c r="E96" s="245"/>
      <c r="F96" s="245"/>
      <c r="G96" s="245"/>
      <c r="H96" s="245"/>
      <c r="I96" s="245"/>
      <c r="J96" s="245"/>
      <c r="K96" s="245"/>
      <c r="L96" s="245"/>
      <c r="M96" s="245"/>
      <c r="N96" s="245"/>
      <c r="O96" s="245"/>
      <c r="P96" s="245">
        <v>-50</v>
      </c>
      <c r="Q96" s="245">
        <v>-25</v>
      </c>
      <c r="R96" s="245"/>
      <c r="S96" s="245"/>
      <c r="T96" s="514"/>
      <c r="U96" s="307"/>
      <c r="V96" s="307"/>
      <c r="W96" s="307"/>
      <c r="X96" s="307"/>
      <c r="Y96" s="307">
        <v>12.5</v>
      </c>
      <c r="Z96" s="307">
        <v>12.5</v>
      </c>
      <c r="AA96" s="307">
        <v>12.5</v>
      </c>
      <c r="AB96" s="307">
        <v>12.5</v>
      </c>
      <c r="AC96" s="308"/>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113" t="s">
        <v>134</v>
      </c>
      <c r="C110" s="1113"/>
      <c r="D110" s="1113"/>
      <c r="E110" s="1113"/>
      <c r="F110" s="1113"/>
      <c r="G110" s="1113"/>
      <c r="H110" s="1113"/>
      <c r="I110" s="1113"/>
      <c r="J110" s="1113"/>
      <c r="K110" s="1113"/>
      <c r="L110" s="1113"/>
      <c r="M110" s="1113"/>
      <c r="N110" s="1113"/>
      <c r="O110" s="1113"/>
      <c r="P110" s="1113"/>
      <c r="Q110" s="1113"/>
      <c r="R110" s="1113"/>
      <c r="S110" s="1113"/>
      <c r="T110" s="1113"/>
      <c r="U110" s="1113"/>
      <c r="V110" s="1113"/>
      <c r="W110" s="1113"/>
      <c r="X110" s="1113"/>
      <c r="Y110" s="1113"/>
      <c r="Z110" s="139"/>
      <c r="AA110" s="139"/>
      <c r="AB110" s="139"/>
      <c r="AC110" s="139"/>
      <c r="AD110" s="135"/>
      <c r="AE110" s="135"/>
    </row>
    <row r="111" spans="2:31" ht="19.25" customHeight="1" x14ac:dyDescent="0.35">
      <c r="B111" s="1141" t="s">
        <v>431</v>
      </c>
      <c r="C111" s="1141"/>
      <c r="D111" s="1141"/>
      <c r="E111" s="1141"/>
      <c r="F111" s="1141"/>
      <c r="G111" s="1141"/>
      <c r="H111" s="1141"/>
      <c r="I111" s="1141"/>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224"/>
      <c r="AE111" s="224"/>
    </row>
    <row r="112" spans="2:31" ht="11.75" customHeight="1" x14ac:dyDescent="0.35">
      <c r="B112" s="138"/>
      <c r="C112" s="138"/>
      <c r="D112" s="138"/>
      <c r="E112" s="138"/>
      <c r="F112" s="138"/>
      <c r="G112" s="138"/>
      <c r="H112" s="138"/>
      <c r="I112" s="138"/>
      <c r="J112" s="138"/>
      <c r="K112" s="138"/>
      <c r="L112" s="138"/>
      <c r="M112" s="138"/>
      <c r="V112" s="137"/>
      <c r="W112" s="137"/>
      <c r="X112" s="137"/>
      <c r="Y112" s="137"/>
      <c r="Z112" s="137"/>
      <c r="AA112" s="137"/>
      <c r="AB112" s="137"/>
      <c r="AC112" s="137"/>
      <c r="AD112" s="137"/>
      <c r="AE112" s="137"/>
    </row>
    <row r="113" spans="2:31" ht="14.75" customHeight="1" x14ac:dyDescent="0.35">
      <c r="B113" s="1142" t="s">
        <v>324</v>
      </c>
      <c r="C113" s="1126"/>
      <c r="D113" s="1292" t="s">
        <v>325</v>
      </c>
      <c r="E113" s="1293"/>
      <c r="F113" s="1293"/>
      <c r="G113" s="1293"/>
      <c r="H113" s="1293"/>
      <c r="I113" s="1293"/>
      <c r="J113" s="1293"/>
      <c r="K113" s="1293"/>
      <c r="L113" s="1293"/>
      <c r="M113" s="1293"/>
      <c r="N113" s="1293"/>
      <c r="O113" s="1293"/>
      <c r="P113" s="1293"/>
      <c r="Q113" s="1279"/>
      <c r="R113" s="1279"/>
      <c r="S113" s="1279"/>
      <c r="T113" s="1280"/>
      <c r="U113" s="1296" t="s">
        <v>326</v>
      </c>
      <c r="V113" s="1296"/>
      <c r="W113" s="1296"/>
      <c r="X113" s="1296"/>
      <c r="Y113" s="1296"/>
      <c r="Z113" s="1296"/>
      <c r="AA113" s="1296"/>
      <c r="AB113" s="1296"/>
      <c r="AC113" s="1297"/>
      <c r="AD113" s="135"/>
      <c r="AE113" s="135"/>
    </row>
    <row r="114" spans="2:31" x14ac:dyDescent="0.35">
      <c r="B114" s="1143"/>
      <c r="C114" s="1144"/>
      <c r="D114" s="141">
        <v>2018</v>
      </c>
      <c r="E114" s="1114">
        <v>2019</v>
      </c>
      <c r="F114" s="1115"/>
      <c r="G114" s="1115"/>
      <c r="H114" s="1122"/>
      <c r="I114" s="1114">
        <v>2020</v>
      </c>
      <c r="J114" s="1115"/>
      <c r="K114" s="1115"/>
      <c r="L114" s="1115"/>
      <c r="M114" s="1114">
        <v>2021</v>
      </c>
      <c r="N114" s="1115"/>
      <c r="O114" s="1115"/>
      <c r="P114" s="1115"/>
      <c r="Q114" s="1098">
        <v>2022</v>
      </c>
      <c r="R114" s="1099"/>
      <c r="S114" s="1099"/>
      <c r="T114" s="1308"/>
      <c r="U114" s="1277">
        <v>2023</v>
      </c>
      <c r="V114" s="1146"/>
      <c r="W114" s="1146"/>
      <c r="X114" s="1146"/>
      <c r="Y114" s="1145">
        <v>2024</v>
      </c>
      <c r="Z114" s="1146"/>
      <c r="AA114" s="1146"/>
      <c r="AB114" s="1147"/>
      <c r="AC114" s="239">
        <v>2025</v>
      </c>
      <c r="AD114" s="137"/>
      <c r="AE114" s="137"/>
    </row>
    <row r="115" spans="2:31" x14ac:dyDescent="0.35">
      <c r="B115" s="1143"/>
      <c r="C115" s="1144"/>
      <c r="D115" s="1039" t="s">
        <v>327</v>
      </c>
      <c r="E115" s="1051" t="s">
        <v>328</v>
      </c>
      <c r="F115" s="1039" t="s">
        <v>329</v>
      </c>
      <c r="G115" s="1039" t="s">
        <v>238</v>
      </c>
      <c r="H115" s="1052" t="s">
        <v>327</v>
      </c>
      <c r="I115" s="1039" t="s">
        <v>328</v>
      </c>
      <c r="J115" s="1039" t="s">
        <v>329</v>
      </c>
      <c r="K115" s="1039" t="s">
        <v>238</v>
      </c>
      <c r="L115" s="1039" t="s">
        <v>327</v>
      </c>
      <c r="M115" s="1051" t="s">
        <v>328</v>
      </c>
      <c r="N115" s="1039" t="s">
        <v>329</v>
      </c>
      <c r="O115" s="1039" t="s">
        <v>238</v>
      </c>
      <c r="P115" s="1039" t="s">
        <v>327</v>
      </c>
      <c r="Q115" s="1051" t="s">
        <v>328</v>
      </c>
      <c r="R115" s="1039" t="s">
        <v>329</v>
      </c>
      <c r="S115" s="1039" t="s">
        <v>238</v>
      </c>
      <c r="T115" s="1052" t="s">
        <v>327</v>
      </c>
      <c r="U115" s="255" t="s">
        <v>328</v>
      </c>
      <c r="V115" s="255" t="s">
        <v>329</v>
      </c>
      <c r="W115" s="255" t="s">
        <v>238</v>
      </c>
      <c r="X115" s="255" t="s">
        <v>327</v>
      </c>
      <c r="Y115" s="254" t="s">
        <v>328</v>
      </c>
      <c r="Z115" s="250" t="s">
        <v>329</v>
      </c>
      <c r="AA115" s="255" t="s">
        <v>238</v>
      </c>
      <c r="AB115" s="256" t="s">
        <v>327</v>
      </c>
      <c r="AC115" s="258" t="s">
        <v>328</v>
      </c>
      <c r="AD115" s="137"/>
      <c r="AE115" s="137"/>
    </row>
    <row r="116" spans="2:31" ht="14.75" customHeight="1" x14ac:dyDescent="0.35">
      <c r="B116" s="379" t="s">
        <v>432</v>
      </c>
      <c r="C116" s="1330" t="s">
        <v>433</v>
      </c>
      <c r="D116" s="1331"/>
      <c r="E116" s="1332"/>
      <c r="F116" s="1332"/>
      <c r="G116" s="1332"/>
      <c r="H116" s="1333">
        <f>'Haver Pivoted'!GS41</f>
        <v>72.367000000000004</v>
      </c>
      <c r="I116" s="1333">
        <f>'Haver Pivoted'!GT41</f>
        <v>75.578999999999994</v>
      </c>
      <c r="J116" s="1333">
        <f>'Haver Pivoted'!GU41</f>
        <v>76.015000000000001</v>
      </c>
      <c r="K116" s="1333">
        <f>'Haver Pivoted'!GV41</f>
        <v>78.872</v>
      </c>
      <c r="L116" s="1333">
        <f>'Haver Pivoted'!GW41</f>
        <v>75.819000000000003</v>
      </c>
      <c r="M116" s="1333">
        <f>'Haver Pivoted'!GX41</f>
        <v>73.662000000000006</v>
      </c>
      <c r="N116" s="1333">
        <f>'Haver Pivoted'!GY41</f>
        <v>75.066000000000003</v>
      </c>
      <c r="O116" s="1333">
        <f>'Haver Pivoted'!GZ41</f>
        <v>69.344999999999999</v>
      </c>
      <c r="P116" s="1333">
        <f>'Haver Pivoted'!HA41</f>
        <v>72.477000000000004</v>
      </c>
      <c r="Q116" s="1333">
        <f>'Haver Pivoted'!HB41</f>
        <v>72.528999999999996</v>
      </c>
      <c r="R116" s="1333">
        <f t="shared" ref="R116:S116" si="27">AVERAGE($H$116:$N$116)</f>
        <v>75.340000000000018</v>
      </c>
      <c r="S116" s="1333">
        <f t="shared" si="27"/>
        <v>75.340000000000018</v>
      </c>
      <c r="T116" s="1334">
        <f t="shared" ref="T116:AC116" si="28">AVERAGE($H$116:$N$116)+T117</f>
        <v>76.15900000000002</v>
      </c>
      <c r="U116" s="380">
        <f t="shared" si="28"/>
        <v>76.15900000000002</v>
      </c>
      <c r="V116" s="380">
        <f t="shared" si="28"/>
        <v>76.15900000000002</v>
      </c>
      <c r="W116" s="380">
        <f t="shared" si="28"/>
        <v>76.15900000000002</v>
      </c>
      <c r="X116" s="380">
        <f t="shared" si="28"/>
        <v>77.818000000000012</v>
      </c>
      <c r="Y116" s="380">
        <f t="shared" si="28"/>
        <v>77.818000000000012</v>
      </c>
      <c r="Z116" s="380">
        <f t="shared" si="28"/>
        <v>77.818000000000012</v>
      </c>
      <c r="AA116" s="380">
        <f t="shared" si="28"/>
        <v>77.818000000000012</v>
      </c>
      <c r="AB116" s="380">
        <f t="shared" si="28"/>
        <v>79.41200000000002</v>
      </c>
      <c r="AC116" s="380">
        <f t="shared" si="28"/>
        <v>79.41200000000002</v>
      </c>
      <c r="AD116" s="229"/>
      <c r="AE116" s="229"/>
    </row>
    <row r="117" spans="2:31" x14ac:dyDescent="0.35">
      <c r="B117" s="381" t="s">
        <v>1281</v>
      </c>
      <c r="C117" s="37"/>
      <c r="D117" s="381"/>
      <c r="E117" s="37"/>
      <c r="F117" s="37"/>
      <c r="G117" s="37"/>
      <c r="H117" s="37"/>
      <c r="I117" s="37"/>
      <c r="J117" s="37"/>
      <c r="K117" s="37"/>
      <c r="L117" s="37"/>
      <c r="M117" s="37"/>
      <c r="N117" s="37"/>
      <c r="O117" s="37"/>
      <c r="P117" s="37"/>
      <c r="Q117" s="37"/>
      <c r="R117" s="37"/>
      <c r="S117" s="282">
        <f>'IRA and CHIPS'!E185</f>
        <v>0</v>
      </c>
      <c r="T117" s="1335">
        <f>'IRA and CHIPS'!F185</f>
        <v>0.81899999999999995</v>
      </c>
      <c r="U117" s="293">
        <f>'IRA and CHIPS'!G185</f>
        <v>0.81899999999999995</v>
      </c>
      <c r="V117" s="293">
        <f>'IRA and CHIPS'!H185</f>
        <v>0.81899999999999995</v>
      </c>
      <c r="W117" s="293">
        <f>'IRA and CHIPS'!I185</f>
        <v>0.81899999999999995</v>
      </c>
      <c r="X117" s="293">
        <f>'IRA and CHIPS'!J185</f>
        <v>2.4780000000000002</v>
      </c>
      <c r="Y117" s="293">
        <f>'IRA and CHIPS'!K185</f>
        <v>2.4780000000000002</v>
      </c>
      <c r="Z117" s="293">
        <f>'IRA and CHIPS'!L185</f>
        <v>2.4780000000000002</v>
      </c>
      <c r="AA117" s="293">
        <f>'IRA and CHIPS'!M185</f>
        <v>2.4780000000000002</v>
      </c>
      <c r="AB117" s="293">
        <f>'IRA and CHIPS'!N185</f>
        <v>4.0720000000000001</v>
      </c>
      <c r="AC117" s="293">
        <f>'IRA and CHIPS'!O185</f>
        <v>4.0720000000000001</v>
      </c>
    </row>
    <row r="118" spans="2:31" ht="18.75" customHeight="1" x14ac:dyDescent="0.35"/>
    <row r="119"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AE35:AF35"/>
    <mergeCell ref="AE39:AF40"/>
    <mergeCell ref="AE45:AF45"/>
    <mergeCell ref="B34:AC34"/>
    <mergeCell ref="Q83:R83"/>
    <mergeCell ref="Q58:AH58"/>
    <mergeCell ref="Q59:S59"/>
    <mergeCell ref="T59:Y59"/>
    <mergeCell ref="AD59:AG59"/>
    <mergeCell ref="D82:T82"/>
    <mergeCell ref="U82:AC82"/>
    <mergeCell ref="E114:H114"/>
    <mergeCell ref="Y114:AB114"/>
    <mergeCell ref="M114:P114"/>
    <mergeCell ref="U114:X114"/>
    <mergeCell ref="D113:T113"/>
    <mergeCell ref="U113:AC113"/>
    <mergeCell ref="Q114:T114"/>
    <mergeCell ref="A76:A77"/>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C1" zoomScale="85" zoomScaleNormal="85" workbookViewId="0">
      <selection activeCell="M62" sqref="M62"/>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113" t="s">
        <v>434</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39" ht="14.25" customHeight="1" x14ac:dyDescent="0.35">
      <c r="B2" s="1112" t="s">
        <v>435</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39" ht="9" customHeight="1"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39" ht="27" customHeight="1"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c r="AE4" s="409"/>
      <c r="AF4" s="409"/>
      <c r="AG4" s="409"/>
      <c r="AH4" s="409"/>
      <c r="AI4" s="409"/>
      <c r="AJ4" s="409"/>
      <c r="AK4" s="409"/>
      <c r="AL4" s="409"/>
      <c r="AM4" s="409"/>
    </row>
    <row r="5" spans="2:39" x14ac:dyDescent="0.35">
      <c r="B5" s="173"/>
      <c r="AC5" s="253"/>
      <c r="AD5" s="253"/>
      <c r="AE5" s="253"/>
      <c r="AF5" s="253"/>
    </row>
    <row r="6" spans="2:39" ht="14.75" customHeight="1" x14ac:dyDescent="0.35">
      <c r="B6" s="1142" t="s">
        <v>324</v>
      </c>
      <c r="C6" s="1126"/>
      <c r="D6" s="1292" t="s">
        <v>325</v>
      </c>
      <c r="E6" s="1293"/>
      <c r="F6" s="1293"/>
      <c r="G6" s="1293"/>
      <c r="H6" s="1293"/>
      <c r="I6" s="1293"/>
      <c r="J6" s="1293"/>
      <c r="K6" s="1293"/>
      <c r="L6" s="1293"/>
      <c r="M6" s="1293"/>
      <c r="N6" s="1293"/>
      <c r="O6" s="1293"/>
      <c r="P6" s="1293"/>
      <c r="Q6" s="1293"/>
      <c r="R6" s="1293"/>
      <c r="S6" s="1293"/>
      <c r="T6" s="1294"/>
      <c r="U6" s="1296" t="s">
        <v>326</v>
      </c>
      <c r="V6" s="1296"/>
      <c r="W6" s="1296"/>
      <c r="X6" s="1296"/>
      <c r="Y6" s="1296"/>
      <c r="Z6" s="1296"/>
      <c r="AA6" s="1296"/>
      <c r="AB6" s="1296"/>
      <c r="AC6" s="1297"/>
    </row>
    <row r="7" spans="2:39" ht="14.75" customHeight="1" x14ac:dyDescent="0.35">
      <c r="B7" s="1143"/>
      <c r="C7" s="1144"/>
      <c r="D7" s="140">
        <v>2018</v>
      </c>
      <c r="E7" s="1114">
        <v>2019</v>
      </c>
      <c r="F7" s="1115"/>
      <c r="G7" s="1115"/>
      <c r="H7" s="1122"/>
      <c r="I7" s="1114">
        <v>2020</v>
      </c>
      <c r="J7" s="1115"/>
      <c r="K7" s="1115"/>
      <c r="L7" s="1115"/>
      <c r="M7" s="1114">
        <v>2021</v>
      </c>
      <c r="N7" s="1115"/>
      <c r="O7" s="1115"/>
      <c r="P7" s="1115"/>
      <c r="Q7" s="1098">
        <v>2022</v>
      </c>
      <c r="R7" s="1099"/>
      <c r="S7" s="1099"/>
      <c r="T7" s="1308"/>
      <c r="U7" s="1277">
        <v>2023</v>
      </c>
      <c r="V7" s="1146"/>
      <c r="W7" s="1146"/>
      <c r="X7" s="1146"/>
      <c r="Y7" s="1145">
        <v>2024</v>
      </c>
      <c r="Z7" s="1146"/>
      <c r="AA7" s="1146"/>
      <c r="AB7" s="1147"/>
      <c r="AC7" s="239">
        <v>2025</v>
      </c>
    </row>
    <row r="8" spans="2:39" x14ac:dyDescent="0.35">
      <c r="B8" s="1153"/>
      <c r="C8" s="1154"/>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1" t="s">
        <v>328</v>
      </c>
      <c r="R8" s="1039" t="s">
        <v>329</v>
      </c>
      <c r="S8" s="1039" t="s">
        <v>238</v>
      </c>
      <c r="T8" s="1052" t="s">
        <v>327</v>
      </c>
      <c r="U8" s="255" t="s">
        <v>328</v>
      </c>
      <c r="V8" s="255" t="s">
        <v>329</v>
      </c>
      <c r="W8" s="255" t="s">
        <v>238</v>
      </c>
      <c r="X8" s="255" t="s">
        <v>327</v>
      </c>
      <c r="Y8" s="254" t="s">
        <v>328</v>
      </c>
      <c r="Z8" s="250" t="s">
        <v>329</v>
      </c>
      <c r="AA8" s="255" t="s">
        <v>238</v>
      </c>
      <c r="AB8" s="256" t="s">
        <v>327</v>
      </c>
      <c r="AC8" s="258" t="s">
        <v>328</v>
      </c>
    </row>
    <row r="9" spans="2:39" ht="18" customHeight="1" x14ac:dyDescent="0.35">
      <c r="B9" s="434" t="s">
        <v>969</v>
      </c>
      <c r="C9" s="177"/>
      <c r="D9" s="1350"/>
      <c r="E9" s="1351"/>
      <c r="F9" s="1351"/>
      <c r="G9" s="1351"/>
      <c r="H9" s="1351"/>
      <c r="I9" s="1351"/>
      <c r="J9" s="1351"/>
      <c r="K9" s="1351"/>
      <c r="L9" s="1351"/>
      <c r="M9" s="1351"/>
      <c r="N9" s="1351"/>
      <c r="O9" s="1351"/>
      <c r="P9" s="1351"/>
      <c r="Q9" s="1312">
        <v>1575</v>
      </c>
      <c r="R9" s="1312">
        <v>1591.4</v>
      </c>
      <c r="S9" s="1312">
        <f>1607.9</f>
        <v>1607.9</v>
      </c>
      <c r="T9" s="1352">
        <v>1622.9</v>
      </c>
      <c r="U9" s="411">
        <v>1639</v>
      </c>
      <c r="V9" s="411">
        <v>1653.9</v>
      </c>
      <c r="W9" s="411">
        <v>1667.4</v>
      </c>
      <c r="X9" s="411">
        <v>1679.6</v>
      </c>
      <c r="Y9" s="411">
        <v>1693.3</v>
      </c>
      <c r="Z9" s="411">
        <v>1706.4</v>
      </c>
      <c r="AA9" s="411">
        <v>1719.6</v>
      </c>
      <c r="AB9" s="411">
        <v>1732.8</v>
      </c>
      <c r="AC9" s="411">
        <v>1743.7</v>
      </c>
    </row>
    <row r="10" spans="2:39" ht="18" customHeight="1" x14ac:dyDescent="0.35">
      <c r="B10" s="435" t="s">
        <v>1282</v>
      </c>
      <c r="C10" s="177"/>
      <c r="D10" s="159"/>
      <c r="E10" s="1284"/>
      <c r="F10" s="1284"/>
      <c r="G10" s="1284"/>
      <c r="H10" s="1284"/>
      <c r="I10" s="1284"/>
      <c r="J10" s="1284"/>
      <c r="K10" s="1284"/>
      <c r="L10" s="1284"/>
      <c r="M10" s="1284"/>
      <c r="N10" s="1284"/>
      <c r="O10" s="1284"/>
      <c r="P10" s="1284"/>
      <c r="Q10" s="1302"/>
      <c r="R10" s="1302"/>
      <c r="S10" s="1289">
        <f>'IRA and CHIPS'!E186</f>
        <v>0</v>
      </c>
      <c r="T10" s="586">
        <f>'IRA and CHIPS'!F186</f>
        <v>4.5430000000000001</v>
      </c>
      <c r="U10" s="391">
        <f>'IRA and CHIPS'!G186</f>
        <v>4.5430000000000001</v>
      </c>
      <c r="V10" s="391">
        <f>'IRA and CHIPS'!H186</f>
        <v>4.5430000000000001</v>
      </c>
      <c r="W10" s="391">
        <f>'IRA and CHIPS'!I186</f>
        <v>4.5430000000000001</v>
      </c>
      <c r="X10" s="391">
        <f>'IRA and CHIPS'!J186</f>
        <v>5.6079999999999997</v>
      </c>
      <c r="Y10" s="391">
        <f>'IRA and CHIPS'!K186</f>
        <v>5.6079999999999997</v>
      </c>
      <c r="Z10" s="391">
        <f>'IRA and CHIPS'!L186</f>
        <v>5.6079999999999997</v>
      </c>
      <c r="AA10" s="391">
        <f>'IRA and CHIPS'!M186</f>
        <v>5.6079999999999997</v>
      </c>
      <c r="AB10" s="391">
        <f>'IRA and CHIPS'!N186</f>
        <v>8.16</v>
      </c>
      <c r="AC10" s="391">
        <f>'IRA and CHIPS'!O186</f>
        <v>8.16</v>
      </c>
    </row>
    <row r="11" spans="2:39" ht="17.25" customHeight="1" x14ac:dyDescent="0.35">
      <c r="B11" s="433" t="s">
        <v>970</v>
      </c>
      <c r="C11" s="244"/>
      <c r="D11" s="1057"/>
      <c r="E11" s="1347"/>
      <c r="F11" s="1347"/>
      <c r="G11" s="1347"/>
      <c r="H11" s="1288"/>
      <c r="I11" s="1288"/>
      <c r="J11" s="1288"/>
      <c r="K11" s="1288"/>
      <c r="L11" s="1288"/>
      <c r="M11" s="1288"/>
      <c r="N11" s="1288"/>
      <c r="O11" s="1288"/>
      <c r="P11" s="1288"/>
      <c r="Q11" s="1289">
        <v>2.298</v>
      </c>
      <c r="R11" s="1289">
        <v>4.2320000000000002</v>
      </c>
      <c r="S11" s="1289">
        <v>4.1929999999999996</v>
      </c>
      <c r="T11" s="586">
        <v>3.786</v>
      </c>
      <c r="U11" s="391">
        <v>4.0339999999999998</v>
      </c>
      <c r="V11" s="391">
        <v>3.6819999999999999</v>
      </c>
      <c r="W11" s="391">
        <v>3.3159999999999998</v>
      </c>
      <c r="X11" s="391">
        <v>2.9569999999999999</v>
      </c>
      <c r="Y11" s="391">
        <v>3.2949999999999999</v>
      </c>
      <c r="Z11" s="391">
        <v>3.1269999999999998</v>
      </c>
      <c r="AA11" s="391">
        <v>3.125</v>
      </c>
      <c r="AB11" s="391">
        <v>3.113</v>
      </c>
      <c r="AC11" s="391">
        <v>2.5430000000000001</v>
      </c>
    </row>
    <row r="12" spans="2:39" ht="17.25" customHeight="1" x14ac:dyDescent="0.35">
      <c r="B12" s="433"/>
      <c r="C12" s="244" t="s">
        <v>1000</v>
      </c>
      <c r="D12" s="1057"/>
      <c r="E12" s="1347"/>
      <c r="F12" s="1347"/>
      <c r="G12" s="1347"/>
      <c r="H12" s="1289">
        <f>'Haver Pivoted'!GS23</f>
        <v>1437.7</v>
      </c>
      <c r="I12" s="1289">
        <f>'Haver Pivoted'!GT23</f>
        <v>1455.6</v>
      </c>
      <c r="J12" s="1289">
        <f>'Haver Pivoted'!GU23</f>
        <v>1560</v>
      </c>
      <c r="K12" s="1289">
        <f>'Haver Pivoted'!GV23</f>
        <v>1525.3</v>
      </c>
      <c r="L12" s="1289">
        <f>'Haver Pivoted'!GW23</f>
        <v>1541.3</v>
      </c>
      <c r="M12" s="1289">
        <f>'Haver Pivoted'!GX23</f>
        <v>1620.3</v>
      </c>
      <c r="N12" s="1289">
        <f>'Haver Pivoted'!GY23</f>
        <v>1608</v>
      </c>
      <c r="O12" s="1289">
        <f>'Haver Pivoted'!GZ23</f>
        <v>1595.5</v>
      </c>
      <c r="P12" s="1289">
        <f>'Haver Pivoted'!HA23</f>
        <v>1612.8</v>
      </c>
      <c r="Q12" s="1289">
        <f>'Haver Pivoted'!HB23</f>
        <v>1613.1</v>
      </c>
      <c r="R12" s="1289">
        <f>'Haver Pivoted'!HC23</f>
        <v>1622.7</v>
      </c>
      <c r="S12" s="1348">
        <f>'Haver Pivoted'!HD23</f>
        <v>1657.1</v>
      </c>
      <c r="T12" s="386">
        <f>'Haver Pivoted'!HE23</f>
        <v>0</v>
      </c>
      <c r="U12" s="392">
        <f t="shared" ref="T12:AC12" si="0">(U9/T9)*T12</f>
        <v>0</v>
      </c>
      <c r="V12" s="392">
        <f t="shared" si="0"/>
        <v>0</v>
      </c>
      <c r="W12" s="392">
        <f t="shared" si="0"/>
        <v>0</v>
      </c>
      <c r="X12" s="392">
        <f t="shared" si="0"/>
        <v>0</v>
      </c>
      <c r="Y12" s="392">
        <f t="shared" si="0"/>
        <v>0</v>
      </c>
      <c r="Z12" s="392">
        <f t="shared" si="0"/>
        <v>0</v>
      </c>
      <c r="AA12" s="392">
        <f t="shared" si="0"/>
        <v>0</v>
      </c>
      <c r="AB12" s="392">
        <f t="shared" si="0"/>
        <v>0</v>
      </c>
      <c r="AC12" s="392">
        <f t="shared" si="0"/>
        <v>0</v>
      </c>
    </row>
    <row r="13" spans="2:39" ht="29" customHeight="1" x14ac:dyDescent="0.35">
      <c r="B13" s="252" t="s">
        <v>436</v>
      </c>
      <c r="C13" s="244" t="s">
        <v>1000</v>
      </c>
      <c r="D13" s="252"/>
      <c r="E13" s="1349"/>
      <c r="F13" s="1349"/>
      <c r="G13" s="1349"/>
      <c r="H13" s="1284">
        <f>'Haver Pivoted'!GS23</f>
        <v>1437.7</v>
      </c>
      <c r="I13" s="1284">
        <f>'Haver Pivoted'!GT23</f>
        <v>1455.6</v>
      </c>
      <c r="J13" s="1284">
        <f>'Haver Pivoted'!GU23</f>
        <v>1560</v>
      </c>
      <c r="K13" s="1284">
        <f>'Haver Pivoted'!GV23</f>
        <v>1525.3</v>
      </c>
      <c r="L13" s="1284">
        <f>'Haver Pivoted'!GW23</f>
        <v>1541.3</v>
      </c>
      <c r="M13" s="1284">
        <f>'Haver Pivoted'!GX23</f>
        <v>1620.3</v>
      </c>
      <c r="N13" s="1284">
        <f>'Haver Pivoted'!GY23</f>
        <v>1608</v>
      </c>
      <c r="O13" s="1284">
        <f>'Haver Pivoted'!GZ23</f>
        <v>1595.5</v>
      </c>
      <c r="P13" s="1284">
        <f>'Haver Pivoted'!HA23</f>
        <v>1612.8</v>
      </c>
      <c r="Q13" s="1284">
        <f>'Haver Pivoted'!HB23</f>
        <v>1613.1</v>
      </c>
      <c r="R13" s="1284">
        <f>'Haver Pivoted'!HC23</f>
        <v>1622.7</v>
      </c>
      <c r="S13" s="1299">
        <f>'Haver Pivoted'!HD23</f>
        <v>1657.1</v>
      </c>
      <c r="T13" s="387">
        <f>'Haver Pivoted'!HE23</f>
        <v>0</v>
      </c>
      <c r="U13" s="231">
        <f t="shared" ref="T13:AC13" si="1">U12+U10</f>
        <v>4.5430000000000001</v>
      </c>
      <c r="V13" s="231">
        <f t="shared" si="1"/>
        <v>4.5430000000000001</v>
      </c>
      <c r="W13" s="231">
        <f t="shared" si="1"/>
        <v>4.5430000000000001</v>
      </c>
      <c r="X13" s="231">
        <f t="shared" si="1"/>
        <v>5.6079999999999997</v>
      </c>
      <c r="Y13" s="231">
        <f t="shared" si="1"/>
        <v>5.6079999999999997</v>
      </c>
      <c r="Z13" s="231">
        <f t="shared" si="1"/>
        <v>5.6079999999999997</v>
      </c>
      <c r="AA13" s="231">
        <f t="shared" si="1"/>
        <v>5.6079999999999997</v>
      </c>
      <c r="AB13" s="231">
        <f t="shared" si="1"/>
        <v>8.16</v>
      </c>
      <c r="AC13" s="231">
        <f t="shared" si="1"/>
        <v>8.16</v>
      </c>
      <c r="AD13" s="238" t="s">
        <v>437</v>
      </c>
    </row>
    <row r="14" spans="2:39" x14ac:dyDescent="0.35">
      <c r="B14" s="399" t="s">
        <v>438</v>
      </c>
      <c r="C14" s="400"/>
      <c r="D14" s="1055"/>
      <c r="E14" s="1056"/>
      <c r="F14" s="1056"/>
      <c r="G14" s="1056"/>
      <c r="H14" s="408">
        <f t="shared" ref="H14:AC14" si="2">H13+H58</f>
        <v>1715.8720000000001</v>
      </c>
      <c r="I14" s="408">
        <f t="shared" si="2"/>
        <v>1741.471</v>
      </c>
      <c r="J14" s="408">
        <f t="shared" si="2"/>
        <v>1961.299</v>
      </c>
      <c r="K14" s="408">
        <f t="shared" si="2"/>
        <v>1901.492</v>
      </c>
      <c r="L14" s="408">
        <f t="shared" si="2"/>
        <v>1906.6610000000001</v>
      </c>
      <c r="M14" s="408">
        <f t="shared" si="2"/>
        <v>2009.6410000000001</v>
      </c>
      <c r="N14" s="408">
        <f t="shared" si="2"/>
        <v>2044.5930000000001</v>
      </c>
      <c r="O14" s="408">
        <f t="shared" si="2"/>
        <v>2039.836</v>
      </c>
      <c r="P14" s="408">
        <f t="shared" si="2"/>
        <v>2086.861852</v>
      </c>
      <c r="Q14" s="408">
        <f t="shared" si="2"/>
        <v>2124.0872747999997</v>
      </c>
      <c r="R14" s="408">
        <f t="shared" si="2"/>
        <v>2203.0890319999999</v>
      </c>
      <c r="S14" s="408">
        <f t="shared" si="2"/>
        <v>2224.8278679999999</v>
      </c>
      <c r="T14" s="378">
        <f t="shared" si="2"/>
        <v>182.54992800000002</v>
      </c>
      <c r="U14" s="250">
        <f t="shared" si="2"/>
        <v>231.74091196511583</v>
      </c>
      <c r="V14" s="250">
        <f t="shared" si="2"/>
        <v>233.1563214661987</v>
      </c>
      <c r="W14" s="250">
        <f t="shared" si="2"/>
        <v>229.07027954230921</v>
      </c>
      <c r="X14" s="250">
        <f t="shared" si="2"/>
        <v>229.21341066666665</v>
      </c>
      <c r="Y14" s="250">
        <f t="shared" si="2"/>
        <v>214.83295407572049</v>
      </c>
      <c r="Z14" s="250">
        <f t="shared" si="2"/>
        <v>191.97113356484664</v>
      </c>
      <c r="AA14" s="250">
        <f t="shared" si="2"/>
        <v>193.40185848400159</v>
      </c>
      <c r="AB14" s="250">
        <f t="shared" si="2"/>
        <v>199.23963343333335</v>
      </c>
      <c r="AC14" s="378">
        <f t="shared" si="2"/>
        <v>179.31931275874933</v>
      </c>
      <c r="AD14" s="151" t="s">
        <v>439</v>
      </c>
    </row>
    <row r="15" spans="2:39" ht="15.75" customHeight="1" x14ac:dyDescent="0.35">
      <c r="B15" s="244"/>
      <c r="C15" s="244"/>
      <c r="D15" s="244"/>
      <c r="E15" s="244"/>
      <c r="F15" s="244"/>
      <c r="G15" s="244"/>
      <c r="H15" s="154"/>
      <c r="I15" s="154"/>
      <c r="J15" s="154"/>
      <c r="K15" s="154"/>
      <c r="L15" s="154"/>
      <c r="M15" s="154"/>
      <c r="N15" s="154"/>
      <c r="O15" s="154"/>
      <c r="AD15" s="151"/>
    </row>
    <row r="16" spans="2:39" x14ac:dyDescent="0.35">
      <c r="B16" s="244"/>
      <c r="C16" s="244"/>
      <c r="D16" s="244"/>
      <c r="E16" s="244"/>
      <c r="F16" s="244"/>
      <c r="G16" s="244"/>
      <c r="H16" s="154"/>
      <c r="I16" s="154"/>
      <c r="J16" s="154"/>
      <c r="K16" s="154"/>
      <c r="L16" s="154"/>
      <c r="M16" s="154"/>
      <c r="N16" s="154"/>
      <c r="O16" s="154"/>
    </row>
    <row r="17" spans="2:31" x14ac:dyDescent="0.35">
      <c r="B17" s="244"/>
      <c r="C17" s="244"/>
      <c r="D17" s="244"/>
      <c r="E17" s="244"/>
      <c r="F17" s="244"/>
      <c r="G17" s="244"/>
      <c r="H17" s="154"/>
      <c r="I17" s="154"/>
      <c r="J17" s="154"/>
      <c r="K17" s="154"/>
      <c r="L17" s="154"/>
      <c r="M17" s="154"/>
      <c r="N17" s="154"/>
      <c r="O17" s="154"/>
    </row>
    <row r="18" spans="2:31" x14ac:dyDescent="0.35">
      <c r="B18" s="244"/>
      <c r="C18" s="244"/>
      <c r="D18" s="244"/>
      <c r="E18" s="244"/>
      <c r="F18" s="244"/>
      <c r="G18" s="244"/>
      <c r="H18" s="154"/>
      <c r="I18" s="154"/>
      <c r="J18" s="154"/>
      <c r="K18" s="154"/>
      <c r="L18" s="154"/>
      <c r="M18" s="154"/>
      <c r="N18" s="154"/>
      <c r="O18" s="154"/>
    </row>
    <row r="19" spans="2:31" x14ac:dyDescent="0.35">
      <c r="B19" s="244"/>
      <c r="C19" s="244"/>
      <c r="D19" s="244"/>
      <c r="E19" s="244"/>
      <c r="F19" s="244"/>
      <c r="G19" s="244"/>
      <c r="H19" s="154"/>
      <c r="I19" s="154"/>
      <c r="J19" s="154"/>
      <c r="K19" s="154"/>
      <c r="L19" s="154"/>
      <c r="M19" s="154"/>
      <c r="N19" s="154"/>
      <c r="O19" s="154"/>
    </row>
    <row r="20" spans="2:31" x14ac:dyDescent="0.35">
      <c r="B20" s="244"/>
      <c r="C20" s="244"/>
      <c r="D20" s="244"/>
      <c r="E20" s="244"/>
      <c r="F20" s="244"/>
      <c r="G20" s="244"/>
      <c r="H20" s="154"/>
      <c r="I20" s="154"/>
      <c r="J20" s="154"/>
      <c r="K20" s="154"/>
      <c r="L20" s="154"/>
      <c r="M20" s="154"/>
      <c r="N20" s="154"/>
      <c r="O20" s="154"/>
    </row>
    <row r="21" spans="2:31" x14ac:dyDescent="0.35">
      <c r="B21" s="244"/>
      <c r="C21" s="244"/>
      <c r="D21" s="244"/>
      <c r="E21" s="244"/>
      <c r="F21" s="244"/>
      <c r="G21" s="244"/>
      <c r="H21" s="154"/>
      <c r="I21" s="154"/>
      <c r="J21" s="154"/>
      <c r="K21" s="154"/>
      <c r="L21" s="154"/>
      <c r="M21" s="154"/>
      <c r="N21" s="154"/>
      <c r="O21" s="154"/>
      <c r="AD21" s="151"/>
    </row>
    <row r="22" spans="2:31" x14ac:dyDescent="0.35">
      <c r="B22" s="244"/>
      <c r="C22" s="244"/>
      <c r="D22" s="244"/>
      <c r="E22" s="244"/>
      <c r="F22" s="244"/>
      <c r="G22" s="244"/>
      <c r="H22" s="154"/>
      <c r="I22" s="154"/>
      <c r="J22" s="154"/>
      <c r="K22" s="154"/>
      <c r="L22" s="154"/>
      <c r="M22" s="154"/>
      <c r="N22" s="154"/>
      <c r="O22" s="154"/>
      <c r="AD22" s="151"/>
    </row>
    <row r="23" spans="2:31" x14ac:dyDescent="0.35">
      <c r="B23" s="244"/>
      <c r="C23" s="244"/>
      <c r="D23" s="244"/>
      <c r="E23" s="244"/>
      <c r="F23" s="244"/>
      <c r="G23" s="244"/>
      <c r="H23" s="154"/>
      <c r="I23" s="154"/>
      <c r="J23" s="154"/>
      <c r="K23" s="154"/>
      <c r="L23" s="154"/>
      <c r="M23" s="154"/>
      <c r="N23" s="154"/>
      <c r="O23" s="154"/>
      <c r="P23" s="397"/>
      <c r="Q23" s="397"/>
      <c r="R23" s="397"/>
      <c r="S23" s="397"/>
      <c r="T23" s="397"/>
      <c r="U23" s="397"/>
      <c r="V23" s="397"/>
      <c r="W23" s="397"/>
      <c r="X23" s="397"/>
      <c r="Y23" s="397"/>
      <c r="Z23" s="397"/>
      <c r="AA23" s="397"/>
      <c r="AB23" s="397"/>
      <c r="AC23" s="397"/>
    </row>
    <row r="24" spans="2:31" ht="21.75" customHeight="1" x14ac:dyDescent="0.35">
      <c r="B24" s="1113" t="s">
        <v>165</v>
      </c>
      <c r="C24" s="1113"/>
      <c r="D24" s="1113"/>
      <c r="E24" s="1113"/>
      <c r="F24" s="1113"/>
      <c r="G24" s="1113"/>
      <c r="H24" s="1113"/>
      <c r="I24" s="1113"/>
      <c r="J24" s="1113"/>
      <c r="K24" s="1113"/>
      <c r="L24" s="1113"/>
      <c r="M24" s="1113"/>
      <c r="N24" s="1113"/>
      <c r="O24" s="1113"/>
      <c r="P24" s="1113"/>
      <c r="Q24" s="1113"/>
      <c r="R24" s="1113"/>
      <c r="S24" s="1113"/>
      <c r="T24" s="1113"/>
      <c r="U24" s="1113"/>
      <c r="V24" s="1113"/>
      <c r="W24" s="1113"/>
      <c r="X24" s="1113"/>
      <c r="Y24" s="1113"/>
      <c r="Z24" s="1113"/>
      <c r="AA24" s="1113"/>
      <c r="AB24" s="1113"/>
      <c r="AC24" s="1113"/>
      <c r="AE24" s="394"/>
    </row>
    <row r="25" spans="2:31" ht="14.25" customHeight="1" x14ac:dyDescent="0.35">
      <c r="B25" s="1141" t="s">
        <v>440</v>
      </c>
      <c r="C25" s="1141"/>
      <c r="D25" s="1141"/>
      <c r="E25" s="1141"/>
      <c r="F25" s="1141"/>
      <c r="G25" s="1141"/>
      <c r="H25" s="1141"/>
      <c r="I25" s="1141"/>
      <c r="J25" s="1141"/>
      <c r="K25" s="1141"/>
      <c r="L25" s="1141"/>
      <c r="M25" s="1141"/>
      <c r="N25" s="1141"/>
      <c r="O25" s="1141"/>
      <c r="P25" s="1141"/>
      <c r="Q25" s="1141"/>
      <c r="R25" s="1141"/>
      <c r="S25" s="1141"/>
      <c r="T25" s="1141"/>
      <c r="U25" s="1141"/>
      <c r="V25" s="1141"/>
      <c r="W25" s="1141"/>
      <c r="X25" s="1141"/>
      <c r="Y25" s="1141"/>
      <c r="Z25" s="1141"/>
      <c r="AA25" s="1141"/>
      <c r="AB25" s="1141"/>
      <c r="AC25" s="1141"/>
      <c r="AE25" s="394"/>
    </row>
    <row r="26" spans="2:31" x14ac:dyDescent="0.35">
      <c r="B26" s="1141"/>
      <c r="C26" s="1141"/>
      <c r="D26" s="1141"/>
      <c r="E26" s="1141"/>
      <c r="F26" s="1141"/>
      <c r="G26" s="1141"/>
      <c r="H26" s="1141"/>
      <c r="I26" s="1141"/>
      <c r="J26" s="1141"/>
      <c r="K26" s="1141"/>
      <c r="L26" s="1141"/>
      <c r="M26" s="1141"/>
      <c r="N26" s="1141"/>
      <c r="O26" s="1141"/>
      <c r="P26" s="1141"/>
      <c r="Q26" s="1141"/>
      <c r="R26" s="1141"/>
      <c r="S26" s="1141"/>
      <c r="T26" s="1141"/>
      <c r="U26" s="1141"/>
      <c r="V26" s="1141"/>
      <c r="W26" s="1141"/>
      <c r="X26" s="1141"/>
      <c r="Y26" s="1141"/>
      <c r="Z26" s="1141"/>
      <c r="AA26" s="1141"/>
      <c r="AB26" s="1141"/>
      <c r="AC26" s="1141"/>
    </row>
    <row r="27" spans="2:31" x14ac:dyDescent="0.35">
      <c r="B27" s="1141"/>
      <c r="C27" s="1141"/>
      <c r="D27" s="1141"/>
      <c r="E27" s="1141"/>
      <c r="F27" s="1141"/>
      <c r="G27" s="1141"/>
      <c r="H27" s="1141"/>
      <c r="I27" s="1141"/>
      <c r="J27" s="1141"/>
      <c r="K27" s="1141"/>
      <c r="L27" s="1141"/>
      <c r="M27" s="1141"/>
      <c r="N27" s="1141"/>
      <c r="O27" s="1141"/>
      <c r="P27" s="1141"/>
      <c r="Q27" s="1141"/>
      <c r="R27" s="1141"/>
      <c r="S27" s="1141"/>
      <c r="T27" s="1141"/>
      <c r="U27" s="1141"/>
      <c r="V27" s="1141"/>
      <c r="W27" s="1141"/>
      <c r="X27" s="1141"/>
      <c r="Y27" s="1141"/>
      <c r="Z27" s="1141"/>
      <c r="AA27" s="1141"/>
      <c r="AB27" s="1141"/>
      <c r="AC27" s="1141"/>
    </row>
    <row r="29" spans="2:31" x14ac:dyDescent="0.35">
      <c r="B29" s="1142" t="s">
        <v>324</v>
      </c>
      <c r="C29" s="1126"/>
      <c r="D29" s="1292" t="s">
        <v>325</v>
      </c>
      <c r="E29" s="1293"/>
      <c r="F29" s="1293"/>
      <c r="G29" s="1293"/>
      <c r="H29" s="1293"/>
      <c r="I29" s="1293"/>
      <c r="J29" s="1293"/>
      <c r="K29" s="1293"/>
      <c r="L29" s="1293"/>
      <c r="M29" s="1293"/>
      <c r="N29" s="1293"/>
      <c r="O29" s="1293"/>
      <c r="P29" s="1293"/>
      <c r="Q29" s="1279"/>
      <c r="R29" s="1279"/>
      <c r="S29" s="1279"/>
      <c r="T29" s="1280"/>
      <c r="U29" s="1296" t="s">
        <v>326</v>
      </c>
      <c r="V29" s="1296"/>
      <c r="W29" s="1296"/>
      <c r="X29" s="1296"/>
      <c r="Y29" s="1296"/>
      <c r="Z29" s="1296"/>
      <c r="AA29" s="1296"/>
      <c r="AB29" s="1296"/>
      <c r="AC29" s="1297"/>
    </row>
    <row r="30" spans="2:31" x14ac:dyDescent="0.35">
      <c r="B30" s="1143"/>
      <c r="C30" s="1144"/>
      <c r="D30" s="140">
        <v>2018</v>
      </c>
      <c r="E30" s="1114">
        <v>2019</v>
      </c>
      <c r="F30" s="1115"/>
      <c r="G30" s="1115"/>
      <c r="H30" s="1122"/>
      <c r="I30" s="1114">
        <v>2020</v>
      </c>
      <c r="J30" s="1115"/>
      <c r="K30" s="1115"/>
      <c r="L30" s="1115"/>
      <c r="M30" s="1114">
        <v>2021</v>
      </c>
      <c r="N30" s="1115"/>
      <c r="O30" s="1115"/>
      <c r="P30" s="1115"/>
      <c r="Q30" s="1098">
        <v>2022</v>
      </c>
      <c r="R30" s="1099"/>
      <c r="S30" s="1099"/>
      <c r="T30" s="1308"/>
      <c r="U30" s="1277">
        <v>2023</v>
      </c>
      <c r="V30" s="1146"/>
      <c r="W30" s="1146"/>
      <c r="X30" s="1146"/>
      <c r="Y30" s="1145">
        <v>2024</v>
      </c>
      <c r="Z30" s="1146"/>
      <c r="AA30" s="1146"/>
      <c r="AB30" s="1147"/>
      <c r="AC30" s="239">
        <v>2025</v>
      </c>
    </row>
    <row r="31" spans="2:31" x14ac:dyDescent="0.35">
      <c r="B31" s="1153"/>
      <c r="C31" s="1154"/>
      <c r="D31" s="149" t="s">
        <v>327</v>
      </c>
      <c r="E31" s="149" t="s">
        <v>328</v>
      </c>
      <c r="F31" s="148" t="s">
        <v>329</v>
      </c>
      <c r="G31" s="148" t="s">
        <v>238</v>
      </c>
      <c r="H31" s="198" t="s">
        <v>327</v>
      </c>
      <c r="I31" s="148" t="s">
        <v>328</v>
      </c>
      <c r="J31" s="148" t="s">
        <v>329</v>
      </c>
      <c r="K31" s="148" t="s">
        <v>238</v>
      </c>
      <c r="L31" s="148" t="s">
        <v>327</v>
      </c>
      <c r="M31" s="149" t="s">
        <v>328</v>
      </c>
      <c r="N31" s="148" t="s">
        <v>329</v>
      </c>
      <c r="O31" s="148" t="s">
        <v>238</v>
      </c>
      <c r="P31" s="148" t="s">
        <v>327</v>
      </c>
      <c r="Q31" s="1051" t="s">
        <v>328</v>
      </c>
      <c r="R31" s="1039" t="s">
        <v>329</v>
      </c>
      <c r="S31" s="1039" t="s">
        <v>238</v>
      </c>
      <c r="T31" s="1052" t="s">
        <v>327</v>
      </c>
      <c r="U31" s="1282" t="s">
        <v>328</v>
      </c>
      <c r="V31" s="329" t="s">
        <v>329</v>
      </c>
      <c r="W31" s="329" t="s">
        <v>238</v>
      </c>
      <c r="X31" s="329" t="s">
        <v>327</v>
      </c>
      <c r="Y31" s="328" t="s">
        <v>328</v>
      </c>
      <c r="Z31" s="230" t="s">
        <v>329</v>
      </c>
      <c r="AA31" s="329" t="s">
        <v>238</v>
      </c>
      <c r="AB31" s="341" t="s">
        <v>327</v>
      </c>
      <c r="AC31" s="356" t="s">
        <v>328</v>
      </c>
    </row>
    <row r="32" spans="2:31" x14ac:dyDescent="0.35">
      <c r="B32" s="423" t="s">
        <v>111</v>
      </c>
      <c r="C32" s="260" t="s">
        <v>441</v>
      </c>
      <c r="D32" s="1358"/>
      <c r="E32" s="1359"/>
      <c r="F32" s="1359"/>
      <c r="G32" s="1359"/>
      <c r="H32" s="1351">
        <f>'Haver Pivoted'!GS24</f>
        <v>2384.1999999999998</v>
      </c>
      <c r="I32" s="1351">
        <f>'Haver Pivoted'!GT24</f>
        <v>2427.4</v>
      </c>
      <c r="J32" s="1351">
        <f>'Haver Pivoted'!GU24</f>
        <v>2391.8000000000002</v>
      </c>
      <c r="K32" s="1351">
        <f>'Haver Pivoted'!GV24</f>
        <v>2397.6</v>
      </c>
      <c r="L32" s="1351">
        <f>'Haver Pivoted'!GW24</f>
        <v>2416.5</v>
      </c>
      <c r="M32" s="1351">
        <f>'Haver Pivoted'!GX24</f>
        <v>2468.4</v>
      </c>
      <c r="N32" s="1351">
        <f>'Haver Pivoted'!GY24</f>
        <v>2516.4</v>
      </c>
      <c r="O32" s="1351">
        <f>'Haver Pivoted'!GZ24</f>
        <v>2587.6</v>
      </c>
      <c r="P32" s="1351">
        <f>'Haver Pivoted'!HA24</f>
        <v>2633.9</v>
      </c>
      <c r="Q32" s="1351">
        <f>'Haver Pivoted'!HB24</f>
        <v>2698.2</v>
      </c>
      <c r="R32" s="1351">
        <f>'Haver Pivoted'!HC24</f>
        <v>2790</v>
      </c>
      <c r="S32" s="1360">
        <f>'Haver Pivoted'!HD24</f>
        <v>2836</v>
      </c>
      <c r="T32" s="1361">
        <f>'Haver Pivoted'!HE24</f>
        <v>0</v>
      </c>
      <c r="U32" s="414"/>
      <c r="V32" s="414"/>
      <c r="W32" s="414"/>
      <c r="X32" s="414"/>
      <c r="Y32" s="414"/>
      <c r="Z32" s="414"/>
      <c r="AA32" s="414"/>
      <c r="AB32" s="414"/>
      <c r="AC32" s="404"/>
    </row>
    <row r="33" spans="2:33" ht="29.25" customHeight="1" x14ac:dyDescent="0.35">
      <c r="B33" s="433" t="s">
        <v>1013</v>
      </c>
      <c r="C33" s="177"/>
      <c r="D33" s="406"/>
      <c r="E33" s="1353"/>
      <c r="F33" s="1353"/>
      <c r="G33" s="1353"/>
      <c r="H33" s="1284"/>
      <c r="I33" s="1284"/>
      <c r="J33" s="1284"/>
      <c r="K33" s="1284"/>
      <c r="L33" s="1284"/>
      <c r="M33" s="1284"/>
      <c r="N33" s="1284"/>
      <c r="O33" s="1284"/>
      <c r="P33" s="1284"/>
      <c r="Q33" s="1354">
        <v>2625.2</v>
      </c>
      <c r="R33" s="1354">
        <v>2687.5</v>
      </c>
      <c r="S33" s="1355">
        <v>2737.7</v>
      </c>
      <c r="T33" s="1362">
        <v>2776</v>
      </c>
      <c r="U33" s="393">
        <v>2809.9</v>
      </c>
      <c r="V33" s="393">
        <v>2839.2</v>
      </c>
      <c r="W33" s="393">
        <v>2865.7</v>
      </c>
      <c r="X33" s="393">
        <v>2891.3</v>
      </c>
      <c r="Y33" s="393">
        <v>2916.4</v>
      </c>
      <c r="Z33" s="393">
        <v>2941.4</v>
      </c>
      <c r="AA33" s="393">
        <v>2967.1</v>
      </c>
      <c r="AB33" s="393">
        <v>2993.7</v>
      </c>
      <c r="AC33" s="393">
        <v>3022.3</v>
      </c>
    </row>
    <row r="34" spans="2:33" ht="21" customHeight="1" x14ac:dyDescent="0.35">
      <c r="B34" s="182" t="s">
        <v>442</v>
      </c>
      <c r="C34" s="244"/>
      <c r="D34" s="1057"/>
      <c r="E34" s="1347"/>
      <c r="F34" s="1347"/>
      <c r="G34" s="1347"/>
      <c r="H34" s="1288"/>
      <c r="I34" s="1288"/>
      <c r="J34" s="1288"/>
      <c r="K34" s="1288"/>
      <c r="L34" s="1288"/>
      <c r="M34" s="1356">
        <f>((M35/L35)^4-1)*100</f>
        <v>8.8716871433844435</v>
      </c>
      <c r="N34" s="1356">
        <f t="shared" ref="N34:Q34" si="3">((N35/M35)^4-1)*100</f>
        <v>8.0081568848658691</v>
      </c>
      <c r="O34" s="1356">
        <f t="shared" si="3"/>
        <v>11.807223761379305</v>
      </c>
      <c r="P34" s="1356">
        <f t="shared" si="3"/>
        <v>7.3516092986590564</v>
      </c>
      <c r="Q34" s="1356">
        <f t="shared" si="3"/>
        <v>10.128423587170188</v>
      </c>
      <c r="R34" s="1356">
        <f>((R35/Q35)^4-1)*100</f>
        <v>14.319485516488072</v>
      </c>
      <c r="S34" s="1357">
        <f>((S35/R35)^4-1)*100</f>
        <v>6.7598839303983915</v>
      </c>
      <c r="T34" s="385">
        <f>((T35/S35)^4-1)*100</f>
        <v>-100</v>
      </c>
      <c r="U34" s="232">
        <f t="shared" ref="U34:AB34" si="4">((U33/T33)^4-1)*100</f>
        <v>4.9749339639030277</v>
      </c>
      <c r="V34" s="232">
        <f t="shared" si="4"/>
        <v>4.2366602536129561</v>
      </c>
      <c r="W34" s="232">
        <f t="shared" si="4"/>
        <v>3.7860418668673734</v>
      </c>
      <c r="X34" s="232">
        <f t="shared" si="4"/>
        <v>3.6214654878406138</v>
      </c>
      <c r="Y34" s="232">
        <f t="shared" si="4"/>
        <v>3.5179667989197583</v>
      </c>
      <c r="Z34" s="232">
        <f t="shared" si="4"/>
        <v>3.4732271251420199</v>
      </c>
      <c r="AA34" s="232">
        <f t="shared" si="4"/>
        <v>3.541006398539448</v>
      </c>
      <c r="AB34" s="232">
        <f t="shared" si="4"/>
        <v>3.6345044609545463</v>
      </c>
      <c r="AC34" s="246"/>
      <c r="AD34" s="409" t="s">
        <v>443</v>
      </c>
    </row>
    <row r="35" spans="2:33" ht="17.75" customHeight="1" x14ac:dyDescent="0.35">
      <c r="B35" s="431" t="s">
        <v>444</v>
      </c>
      <c r="C35" s="259"/>
      <c r="D35" s="252"/>
      <c r="E35" s="1349"/>
      <c r="F35" s="1349"/>
      <c r="G35" s="1349"/>
      <c r="H35" s="1287">
        <f t="shared" ref="H35:T35" si="5">H32</f>
        <v>2384.1999999999998</v>
      </c>
      <c r="I35" s="1287">
        <f t="shared" si="5"/>
        <v>2427.4</v>
      </c>
      <c r="J35" s="1287">
        <f t="shared" si="5"/>
        <v>2391.8000000000002</v>
      </c>
      <c r="K35" s="1287">
        <f t="shared" si="5"/>
        <v>2397.6</v>
      </c>
      <c r="L35" s="1287">
        <f t="shared" si="5"/>
        <v>2416.5</v>
      </c>
      <c r="M35" s="1287">
        <f t="shared" si="5"/>
        <v>2468.4</v>
      </c>
      <c r="N35" s="1287">
        <f t="shared" si="5"/>
        <v>2516.4</v>
      </c>
      <c r="O35" s="1287">
        <f t="shared" si="5"/>
        <v>2587.6</v>
      </c>
      <c r="P35" s="1287">
        <f t="shared" si="5"/>
        <v>2633.9</v>
      </c>
      <c r="Q35" s="1287">
        <f t="shared" si="5"/>
        <v>2698.2</v>
      </c>
      <c r="R35" s="1287">
        <f t="shared" si="5"/>
        <v>2790</v>
      </c>
      <c r="S35" s="1002">
        <f t="shared" si="5"/>
        <v>2836</v>
      </c>
      <c r="T35" s="227">
        <f t="shared" si="5"/>
        <v>0</v>
      </c>
      <c r="U35" s="231">
        <f t="shared" ref="T35:AB35" si="6">T35*((1+U34/100)^0.25)</f>
        <v>0</v>
      </c>
      <c r="V35" s="231">
        <f t="shared" si="6"/>
        <v>0</v>
      </c>
      <c r="W35" s="231">
        <f t="shared" si="6"/>
        <v>0</v>
      </c>
      <c r="X35" s="231">
        <f t="shared" si="6"/>
        <v>0</v>
      </c>
      <c r="Y35" s="231">
        <f t="shared" si="6"/>
        <v>0</v>
      </c>
      <c r="Z35" s="231">
        <f t="shared" si="6"/>
        <v>0</v>
      </c>
      <c r="AA35" s="231">
        <f t="shared" si="6"/>
        <v>0</v>
      </c>
      <c r="AB35" s="231">
        <f t="shared" si="6"/>
        <v>0</v>
      </c>
      <c r="AC35" s="231">
        <f>(AC33/$R33)*$R35</f>
        <v>3137.5691162790699</v>
      </c>
    </row>
    <row r="36" spans="2:33" x14ac:dyDescent="0.35">
      <c r="B36" s="399" t="s">
        <v>445</v>
      </c>
      <c r="C36" s="400"/>
      <c r="D36" s="1055"/>
      <c r="E36" s="1056"/>
      <c r="F36" s="1056"/>
      <c r="G36" s="1056"/>
      <c r="H36" s="408">
        <f t="shared" ref="H36:P36" si="7">H32-H58</f>
        <v>2106.0279999999998</v>
      </c>
      <c r="I36" s="408">
        <f t="shared" si="7"/>
        <v>2141.529</v>
      </c>
      <c r="J36" s="408">
        <f t="shared" si="7"/>
        <v>1990.5010000000002</v>
      </c>
      <c r="K36" s="408">
        <f t="shared" si="7"/>
        <v>2021.4079999999999</v>
      </c>
      <c r="L36" s="408">
        <f t="shared" si="7"/>
        <v>2051.1390000000001</v>
      </c>
      <c r="M36" s="408">
        <f t="shared" si="7"/>
        <v>2079.0590000000002</v>
      </c>
      <c r="N36" s="408">
        <f t="shared" si="7"/>
        <v>2079.8069999999998</v>
      </c>
      <c r="O36" s="408">
        <f t="shared" si="7"/>
        <v>2143.2640000000001</v>
      </c>
      <c r="P36" s="408">
        <f t="shared" si="7"/>
        <v>2159.8381479999998</v>
      </c>
      <c r="Q36" s="408">
        <f t="shared" ref="Q36:AC36" si="8">Q35-Q58</f>
        <v>2187.2127252</v>
      </c>
      <c r="R36" s="408">
        <f t="shared" si="8"/>
        <v>2209.610968</v>
      </c>
      <c r="S36" s="408">
        <f t="shared" si="8"/>
        <v>2268.2721320000001</v>
      </c>
      <c r="T36" s="1363">
        <f t="shared" si="8"/>
        <v>-182.54992800000002</v>
      </c>
      <c r="U36" s="250">
        <f t="shared" si="8"/>
        <v>-227.19791196511582</v>
      </c>
      <c r="V36" s="250">
        <f t="shared" si="8"/>
        <v>-228.6133214661987</v>
      </c>
      <c r="W36" s="250">
        <f t="shared" si="8"/>
        <v>-224.5272795423092</v>
      </c>
      <c r="X36" s="250">
        <f t="shared" si="8"/>
        <v>-223.60541066666664</v>
      </c>
      <c r="Y36" s="250">
        <f t="shared" si="8"/>
        <v>-209.22495407572049</v>
      </c>
      <c r="Z36" s="250">
        <f t="shared" si="8"/>
        <v>-186.36313356484663</v>
      </c>
      <c r="AA36" s="250">
        <f t="shared" si="8"/>
        <v>-187.79385848400159</v>
      </c>
      <c r="AB36" s="250">
        <f t="shared" si="8"/>
        <v>-191.07963343333336</v>
      </c>
      <c r="AC36" s="378">
        <f t="shared" si="8"/>
        <v>2966.4098035203206</v>
      </c>
      <c r="AD36" s="151" t="s">
        <v>446</v>
      </c>
    </row>
    <row r="37" spans="2:33" x14ac:dyDescent="0.35">
      <c r="B37" s="36"/>
      <c r="C37" s="36"/>
      <c r="D37" s="36"/>
      <c r="E37" s="36"/>
      <c r="F37" s="36"/>
      <c r="G37" s="36"/>
      <c r="H37" s="36"/>
      <c r="I37" s="36"/>
      <c r="J37" s="36"/>
      <c r="K37" s="36"/>
      <c r="L37" s="36"/>
      <c r="M37" s="394"/>
      <c r="N37" s="394"/>
      <c r="O37" s="394"/>
      <c r="P37" s="394"/>
      <c r="Q37" s="394"/>
      <c r="R37" s="394"/>
      <c r="S37" s="395"/>
      <c r="T37" s="395"/>
      <c r="U37" s="395"/>
      <c r="V37" s="395"/>
      <c r="W37" s="395"/>
      <c r="X37" s="395"/>
      <c r="Y37" s="395"/>
      <c r="Z37" s="395"/>
      <c r="AA37" s="395"/>
      <c r="AB37" s="395"/>
      <c r="AC37" s="395"/>
    </row>
    <row r="38" spans="2:33" x14ac:dyDescent="0.35">
      <c r="B38" s="36"/>
      <c r="C38" s="36"/>
      <c r="D38" s="36"/>
      <c r="E38" s="36"/>
      <c r="F38" s="36"/>
      <c r="G38" s="36"/>
      <c r="H38" s="36"/>
      <c r="I38" s="36"/>
      <c r="J38" s="36"/>
      <c r="K38" s="36"/>
      <c r="L38" s="36"/>
      <c r="M38" s="394"/>
      <c r="N38" s="394"/>
      <c r="O38" s="394"/>
      <c r="P38" s="394"/>
      <c r="Q38" s="394"/>
      <c r="R38" s="394"/>
      <c r="S38" s="395"/>
      <c r="T38" s="395"/>
      <c r="U38" s="395"/>
      <c r="V38" s="395"/>
      <c r="W38" s="395"/>
      <c r="X38" s="395"/>
      <c r="Y38" s="395"/>
      <c r="Z38" s="395"/>
      <c r="AA38" s="395"/>
      <c r="AB38" s="395"/>
      <c r="AC38" s="395"/>
    </row>
    <row r="39" spans="2:33" x14ac:dyDescent="0.35">
      <c r="B39" s="36"/>
      <c r="C39" s="36"/>
      <c r="D39" s="36"/>
      <c r="E39" s="36"/>
      <c r="F39" s="36"/>
      <c r="G39" s="36"/>
      <c r="H39" s="36"/>
      <c r="I39" s="36"/>
      <c r="J39" s="36"/>
      <c r="K39" s="36"/>
      <c r="L39" s="36"/>
      <c r="M39" s="394"/>
      <c r="N39" s="394"/>
      <c r="O39" s="394"/>
      <c r="P39" s="394"/>
      <c r="Q39" s="394"/>
      <c r="R39" s="394"/>
      <c r="S39" s="395"/>
      <c r="T39" s="395"/>
      <c r="U39" s="395"/>
      <c r="V39" s="395"/>
      <c r="W39" s="395"/>
      <c r="X39" s="395"/>
      <c r="Y39" s="395"/>
      <c r="Z39" s="395"/>
      <c r="AA39" s="395"/>
      <c r="AB39" s="395"/>
      <c r="AC39" s="395"/>
    </row>
    <row r="40" spans="2:33" x14ac:dyDescent="0.35">
      <c r="B40" s="244"/>
      <c r="C40" s="244"/>
      <c r="D40" s="244"/>
      <c r="E40" s="244"/>
      <c r="F40" s="244"/>
      <c r="G40" s="244"/>
      <c r="H40" s="154"/>
      <c r="I40" s="154"/>
      <c r="J40" s="154"/>
      <c r="K40" s="154"/>
      <c r="L40" s="154"/>
      <c r="M40" s="154"/>
      <c r="N40" s="154"/>
      <c r="O40" s="154"/>
      <c r="P40" s="154"/>
      <c r="Q40" s="398"/>
      <c r="R40" s="154"/>
      <c r="S40" s="154"/>
      <c r="T40" s="154"/>
      <c r="U40" s="154"/>
      <c r="V40" s="154"/>
      <c r="W40" s="154"/>
      <c r="X40" s="154"/>
      <c r="Y40" s="154"/>
      <c r="Z40" s="154"/>
    </row>
    <row r="41" spans="2:33" ht="85.25" customHeight="1" x14ac:dyDescent="0.35">
      <c r="B41" s="418" t="s">
        <v>955</v>
      </c>
      <c r="C41" s="428" t="s">
        <v>954</v>
      </c>
      <c r="D41" s="426">
        <v>44197</v>
      </c>
      <c r="E41" s="427">
        <v>44228</v>
      </c>
      <c r="F41" s="427">
        <v>44256</v>
      </c>
      <c r="G41" s="427">
        <v>44287</v>
      </c>
      <c r="H41" s="427">
        <v>44317</v>
      </c>
      <c r="I41" s="427">
        <v>44348</v>
      </c>
      <c r="J41" s="427">
        <v>44378</v>
      </c>
      <c r="K41" s="427">
        <v>44409</v>
      </c>
      <c r="L41" s="427">
        <v>44440</v>
      </c>
      <c r="M41" s="427">
        <v>44470</v>
      </c>
      <c r="N41" s="427">
        <v>44501</v>
      </c>
      <c r="O41" s="427">
        <v>44531</v>
      </c>
      <c r="P41" s="403">
        <v>44562</v>
      </c>
      <c r="Q41" s="402">
        <v>44593</v>
      </c>
      <c r="R41" s="403">
        <v>44621</v>
      </c>
      <c r="S41" s="403">
        <v>44652</v>
      </c>
      <c r="T41" s="403">
        <v>44682</v>
      </c>
      <c r="U41" s="403">
        <v>44713</v>
      </c>
      <c r="V41" s="403">
        <v>44743</v>
      </c>
      <c r="W41" s="403">
        <v>44774</v>
      </c>
      <c r="X41" s="403">
        <v>44805</v>
      </c>
      <c r="Y41" s="403">
        <v>44835</v>
      </c>
      <c r="Z41" s="154"/>
    </row>
    <row r="42" spans="2:33" ht="19.5" customHeight="1" x14ac:dyDescent="0.35">
      <c r="B42" s="335" t="s">
        <v>447</v>
      </c>
      <c r="C42" s="396"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54"/>
    </row>
    <row r="43" spans="2:33" ht="18" customHeight="1" x14ac:dyDescent="0.35">
      <c r="B43" s="251" t="s">
        <v>449</v>
      </c>
      <c r="C43" s="151"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54"/>
      <c r="AG43" s="151"/>
    </row>
    <row r="44" spans="2:33" ht="19.5" customHeight="1" x14ac:dyDescent="0.35">
      <c r="B44" s="399" t="s">
        <v>451</v>
      </c>
      <c r="C44" s="245"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54"/>
      <c r="AG44" s="151"/>
    </row>
    <row r="45" spans="2:33" ht="15.65" customHeight="1" x14ac:dyDescent="0.35">
      <c r="B45" s="259"/>
      <c r="C45" s="244"/>
      <c r="D45" s="244"/>
      <c r="E45" s="244"/>
      <c r="F45" s="244"/>
      <c r="G45" s="244"/>
      <c r="H45" s="154"/>
      <c r="I45" s="154"/>
      <c r="J45" s="154"/>
      <c r="Q45" s="432"/>
      <c r="R45" s="154"/>
      <c r="S45" s="154"/>
      <c r="T45" s="154"/>
      <c r="U45" s="154"/>
      <c r="V45" s="154"/>
      <c r="W45" s="154"/>
      <c r="X45" s="154"/>
      <c r="Y45" s="154"/>
      <c r="Z45" s="154"/>
      <c r="AG45" s="151"/>
    </row>
    <row r="46" spans="2:33" ht="12.75" customHeight="1" x14ac:dyDescent="0.35">
      <c r="AG46" s="151"/>
    </row>
    <row r="47" spans="2:33" x14ac:dyDescent="0.35">
      <c r="B47" s="1113" t="s">
        <v>453</v>
      </c>
      <c r="C47" s="1113"/>
      <c r="D47" s="1113"/>
      <c r="E47" s="1113"/>
      <c r="F47" s="1113"/>
      <c r="G47" s="1113"/>
      <c r="H47" s="1113"/>
      <c r="I47" s="1113"/>
      <c r="J47" s="1113"/>
      <c r="K47" s="1113"/>
      <c r="L47" s="1113"/>
      <c r="M47" s="1113"/>
      <c r="N47" s="1113"/>
      <c r="O47" s="1113"/>
      <c r="P47" s="1113"/>
      <c r="Q47" s="1113"/>
      <c r="R47" s="1113"/>
      <c r="S47" s="1113"/>
      <c r="T47" s="1113"/>
      <c r="U47" s="1113"/>
      <c r="V47" s="1113"/>
      <c r="W47" s="1113"/>
      <c r="X47" s="1113"/>
      <c r="Y47" s="1113"/>
      <c r="Z47" s="1113"/>
      <c r="AA47" s="1113"/>
      <c r="AB47" s="1113"/>
      <c r="AC47" s="1113"/>
      <c r="AG47" s="151"/>
    </row>
    <row r="48" spans="2:33" ht="9" customHeight="1" x14ac:dyDescent="0.35">
      <c r="B48" s="1113"/>
      <c r="C48" s="1113"/>
      <c r="D48" s="1113"/>
      <c r="E48" s="1113"/>
      <c r="F48" s="1113"/>
      <c r="G48" s="1113"/>
      <c r="H48" s="1113"/>
      <c r="I48" s="1113"/>
      <c r="J48" s="1113"/>
      <c r="K48" s="1113"/>
      <c r="L48" s="1113"/>
      <c r="M48" s="1113"/>
      <c r="N48" s="1113"/>
      <c r="O48" s="1113"/>
      <c r="P48" s="1113"/>
      <c r="Q48" s="1113"/>
      <c r="R48" s="1113"/>
      <c r="S48" s="1113"/>
      <c r="T48" s="1113"/>
      <c r="U48" s="1113"/>
      <c r="V48" s="1113"/>
      <c r="W48" s="1113"/>
      <c r="X48" s="1113"/>
      <c r="Y48" s="1113"/>
      <c r="Z48" s="1113"/>
      <c r="AA48" s="1113"/>
      <c r="AB48" s="1113"/>
      <c r="AC48" s="1113"/>
      <c r="AG48" s="151"/>
    </row>
    <row r="49" spans="2:54" ht="14.25" customHeight="1" x14ac:dyDescent="0.35">
      <c r="B49" s="1178" t="s">
        <v>454</v>
      </c>
      <c r="C49" s="1178"/>
      <c r="D49" s="1178"/>
      <c r="E49" s="1178"/>
      <c r="F49" s="1178"/>
      <c r="G49" s="1178"/>
      <c r="H49" s="1178"/>
      <c r="I49" s="1178"/>
      <c r="J49" s="1178"/>
      <c r="K49" s="1178"/>
      <c r="L49" s="1178"/>
      <c r="M49" s="1178"/>
      <c r="N49" s="1178"/>
      <c r="O49" s="1178"/>
      <c r="P49" s="1178"/>
      <c r="Q49" s="1178"/>
      <c r="R49" s="1178"/>
      <c r="S49" s="1178"/>
      <c r="T49" s="1178"/>
      <c r="U49" s="1178"/>
      <c r="V49" s="1178"/>
      <c r="W49" s="1178"/>
      <c r="X49" s="1178"/>
      <c r="Y49" s="1178"/>
      <c r="Z49" s="1178"/>
      <c r="AA49" s="1178"/>
      <c r="AB49" s="1178"/>
      <c r="AC49" s="1178"/>
      <c r="AG49" s="151"/>
    </row>
    <row r="50" spans="2:54" x14ac:dyDescent="0.35">
      <c r="B50" s="1178"/>
      <c r="C50" s="1178"/>
      <c r="D50" s="1178"/>
      <c r="E50" s="1178"/>
      <c r="F50" s="1178"/>
      <c r="G50" s="1178"/>
      <c r="H50" s="1178"/>
      <c r="I50" s="1178"/>
      <c r="J50" s="1178"/>
      <c r="K50" s="1178"/>
      <c r="L50" s="1178"/>
      <c r="M50" s="1178"/>
      <c r="N50" s="1178"/>
      <c r="O50" s="1178"/>
      <c r="P50" s="1178"/>
      <c r="Q50" s="1178"/>
      <c r="R50" s="1178"/>
      <c r="S50" s="1178"/>
      <c r="T50" s="1178"/>
      <c r="U50" s="1178"/>
      <c r="V50" s="1178"/>
      <c r="W50" s="1178"/>
      <c r="X50" s="1178"/>
      <c r="Y50" s="1178"/>
      <c r="Z50" s="1178"/>
      <c r="AA50" s="1178"/>
      <c r="AB50" s="1178"/>
      <c r="AC50" s="1178"/>
      <c r="AG50" s="151"/>
    </row>
    <row r="51" spans="2:54" ht="8.75" customHeight="1" x14ac:dyDescent="0.35">
      <c r="B51" s="1178"/>
      <c r="C51" s="1178"/>
      <c r="D51" s="1178"/>
      <c r="E51" s="1178"/>
      <c r="F51" s="1178"/>
      <c r="G51" s="1178"/>
      <c r="H51" s="1178"/>
      <c r="I51" s="1178"/>
      <c r="J51" s="1178"/>
      <c r="K51" s="1178"/>
      <c r="L51" s="1178"/>
      <c r="M51" s="1178"/>
      <c r="N51" s="1178"/>
      <c r="O51" s="1178"/>
      <c r="P51" s="1178"/>
      <c r="Q51" s="1178"/>
      <c r="R51" s="1178"/>
      <c r="S51" s="1178"/>
      <c r="T51" s="1178"/>
      <c r="U51" s="1178"/>
      <c r="V51" s="1178"/>
      <c r="W51" s="1178"/>
      <c r="X51" s="1178"/>
      <c r="Y51" s="1178"/>
      <c r="Z51" s="1178"/>
      <c r="AA51" s="1178"/>
      <c r="AB51" s="1178"/>
      <c r="AC51" s="1178"/>
      <c r="AG51" s="151"/>
    </row>
    <row r="52" spans="2:54" ht="12.75" customHeight="1" x14ac:dyDescent="0.35">
      <c r="AG52" s="151"/>
    </row>
    <row r="53" spans="2:54" ht="30.75" customHeight="1" x14ac:dyDescent="0.35">
      <c r="B53" s="1142" t="s">
        <v>324</v>
      </c>
      <c r="C53" s="1125"/>
      <c r="D53" s="1292" t="s">
        <v>325</v>
      </c>
      <c r="E53" s="1293"/>
      <c r="F53" s="1293"/>
      <c r="G53" s="1293"/>
      <c r="H53" s="1293"/>
      <c r="I53" s="1293"/>
      <c r="J53" s="1293"/>
      <c r="K53" s="1293"/>
      <c r="L53" s="1293"/>
      <c r="M53" s="1293"/>
      <c r="N53" s="1293"/>
      <c r="O53" s="1293"/>
      <c r="P53" s="1293"/>
      <c r="Q53" s="1279"/>
      <c r="R53" s="1279"/>
      <c r="S53" s="1279"/>
      <c r="T53" s="1280"/>
      <c r="U53" s="1296" t="s">
        <v>326</v>
      </c>
      <c r="V53" s="1296"/>
      <c r="W53" s="1296"/>
      <c r="X53" s="1296"/>
      <c r="Y53" s="1296"/>
      <c r="Z53" s="1296"/>
      <c r="AA53" s="1296"/>
      <c r="AB53" s="1296"/>
      <c r="AC53" s="1297"/>
      <c r="AG53" s="151"/>
    </row>
    <row r="54" spans="2:54" x14ac:dyDescent="0.35">
      <c r="B54" s="1143"/>
      <c r="C54" s="1179"/>
      <c r="D54" s="140">
        <v>2018</v>
      </c>
      <c r="E54" s="1114">
        <v>2019</v>
      </c>
      <c r="F54" s="1115"/>
      <c r="G54" s="1115"/>
      <c r="H54" s="1122"/>
      <c r="I54" s="1114">
        <v>2020</v>
      </c>
      <c r="J54" s="1115"/>
      <c r="K54" s="1115"/>
      <c r="L54" s="1115"/>
      <c r="M54" s="1114">
        <v>2021</v>
      </c>
      <c r="N54" s="1115"/>
      <c r="O54" s="1115"/>
      <c r="P54" s="1115"/>
      <c r="Q54" s="1098">
        <v>2022</v>
      </c>
      <c r="R54" s="1099"/>
      <c r="S54" s="1099"/>
      <c r="T54" s="1308"/>
      <c r="U54" s="1277">
        <v>2023</v>
      </c>
      <c r="V54" s="1146"/>
      <c r="W54" s="1146"/>
      <c r="X54" s="1146"/>
      <c r="Y54" s="1145">
        <v>2024</v>
      </c>
      <c r="Z54" s="1146"/>
      <c r="AA54" s="1146"/>
      <c r="AB54" s="1147"/>
      <c r="AC54" s="239">
        <v>2025</v>
      </c>
      <c r="AG54" s="151"/>
    </row>
    <row r="55" spans="2:54" x14ac:dyDescent="0.35">
      <c r="B55" s="1153"/>
      <c r="C55" s="1180"/>
      <c r="D55" s="149" t="s">
        <v>327</v>
      </c>
      <c r="E55" s="149" t="s">
        <v>328</v>
      </c>
      <c r="F55" s="148" t="s">
        <v>329</v>
      </c>
      <c r="G55" s="148" t="s">
        <v>238</v>
      </c>
      <c r="H55" s="198" t="s">
        <v>327</v>
      </c>
      <c r="I55" s="148" t="s">
        <v>328</v>
      </c>
      <c r="J55" s="148" t="s">
        <v>329</v>
      </c>
      <c r="K55" s="148" t="s">
        <v>238</v>
      </c>
      <c r="L55" s="148" t="s">
        <v>327</v>
      </c>
      <c r="M55" s="149" t="s">
        <v>328</v>
      </c>
      <c r="N55" s="148" t="s">
        <v>329</v>
      </c>
      <c r="O55" s="148" t="s">
        <v>238</v>
      </c>
      <c r="P55" s="148" t="s">
        <v>327</v>
      </c>
      <c r="Q55" s="1051" t="s">
        <v>328</v>
      </c>
      <c r="R55" s="1039" t="s">
        <v>329</v>
      </c>
      <c r="S55" s="1039" t="s">
        <v>238</v>
      </c>
      <c r="T55" s="1052" t="s">
        <v>327</v>
      </c>
      <c r="U55" s="1282" t="s">
        <v>328</v>
      </c>
      <c r="V55" s="329" t="s">
        <v>329</v>
      </c>
      <c r="W55" s="329" t="s">
        <v>238</v>
      </c>
      <c r="X55" s="329" t="s">
        <v>327</v>
      </c>
      <c r="Y55" s="328" t="s">
        <v>328</v>
      </c>
      <c r="Z55" s="230" t="s">
        <v>329</v>
      </c>
      <c r="AA55" s="329" t="s">
        <v>238</v>
      </c>
      <c r="AB55" s="341" t="s">
        <v>327</v>
      </c>
      <c r="AC55" s="356" t="s">
        <v>328</v>
      </c>
      <c r="AG55" s="151"/>
    </row>
    <row r="56" spans="2:54" x14ac:dyDescent="0.35">
      <c r="B56" s="423" t="s">
        <v>134</v>
      </c>
      <c r="C56" s="260"/>
      <c r="D56" s="1358"/>
      <c r="E56" s="1359"/>
      <c r="F56" s="1359"/>
      <c r="G56" s="1359"/>
      <c r="H56" s="1364">
        <f>Grants!H116</f>
        <v>72.367000000000004</v>
      </c>
      <c r="I56" s="1364">
        <f>Grants!I116</f>
        <v>75.578999999999994</v>
      </c>
      <c r="J56" s="1364">
        <f>Grants!J116</f>
        <v>76.015000000000001</v>
      </c>
      <c r="K56" s="1364">
        <f>Grants!K116</f>
        <v>78.872</v>
      </c>
      <c r="L56" s="1364">
        <f>Grants!L116</f>
        <v>75.819000000000003</v>
      </c>
      <c r="M56" s="1364">
        <f>Grants!M116</f>
        <v>73.662000000000006</v>
      </c>
      <c r="N56" s="1364">
        <f>Grants!N116</f>
        <v>75.066000000000003</v>
      </c>
      <c r="O56" s="1364">
        <f>Grants!O116</f>
        <v>69.344999999999999</v>
      </c>
      <c r="P56" s="1364">
        <f>Grants!P116</f>
        <v>72.477000000000004</v>
      </c>
      <c r="Q56" s="1364">
        <f>Grants!Q116</f>
        <v>72.528999999999996</v>
      </c>
      <c r="R56" s="1365">
        <f>Grants!R116</f>
        <v>75.340000000000018</v>
      </c>
      <c r="S56" s="1366">
        <f>Grants!S116</f>
        <v>75.340000000000018</v>
      </c>
      <c r="T56" s="1367">
        <f>Grants!T116</f>
        <v>76.15900000000002</v>
      </c>
      <c r="U56" s="414">
        <f>Grants!U116</f>
        <v>76.15900000000002</v>
      </c>
      <c r="V56" s="414">
        <f>Grants!V116</f>
        <v>76.15900000000002</v>
      </c>
      <c r="W56" s="414">
        <f>Grants!W116</f>
        <v>76.15900000000002</v>
      </c>
      <c r="X56" s="414">
        <f>Grants!X116</f>
        <v>77.818000000000012</v>
      </c>
      <c r="Y56" s="414">
        <f>Grants!Y116</f>
        <v>77.818000000000012</v>
      </c>
      <c r="Z56" s="414">
        <f>Grants!Z116</f>
        <v>77.818000000000012</v>
      </c>
      <c r="AA56" s="414">
        <f>Grants!AA116</f>
        <v>77.818000000000012</v>
      </c>
      <c r="AB56" s="414">
        <f>Grants!AB116</f>
        <v>79.41200000000002</v>
      </c>
      <c r="AC56" s="404">
        <f>Grants!AC116</f>
        <v>79.41200000000002</v>
      </c>
    </row>
    <row r="57" spans="2:54" x14ac:dyDescent="0.35">
      <c r="B57" s="182" t="s">
        <v>192</v>
      </c>
      <c r="C57" s="177"/>
      <c r="D57" s="406"/>
      <c r="E57" s="1353"/>
      <c r="F57" s="1353"/>
      <c r="G57" s="1353"/>
      <c r="H57" s="1288">
        <f>Grants!H85</f>
        <v>205.80500000000001</v>
      </c>
      <c r="I57" s="1288">
        <f>Grants!I85</f>
        <v>210.29200000000003</v>
      </c>
      <c r="J57" s="1288">
        <f>Grants!J85</f>
        <v>325.28399999999999</v>
      </c>
      <c r="K57" s="1288">
        <f>Grants!K85</f>
        <v>297.32000000000005</v>
      </c>
      <c r="L57" s="1288">
        <f>Grants!L85</f>
        <v>289.54199999999997</v>
      </c>
      <c r="M57" s="1288">
        <f>Grants!M85</f>
        <v>315.67900000000003</v>
      </c>
      <c r="N57" s="1288">
        <f>Grants!N85</f>
        <v>361.52700000000004</v>
      </c>
      <c r="O57" s="1288">
        <f>Grants!O85</f>
        <v>374.99100000000004</v>
      </c>
      <c r="P57" s="1288">
        <f>Grants!P85</f>
        <v>401.58485200000007</v>
      </c>
      <c r="Q57" s="1288">
        <f>Grants!Q85</f>
        <v>438.45827479999997</v>
      </c>
      <c r="R57" s="1288">
        <f>Grants!R85</f>
        <v>505.04903199999995</v>
      </c>
      <c r="S57" s="1288">
        <f>Grants!S85</f>
        <v>492.38786800000003</v>
      </c>
      <c r="T57" s="1368">
        <f>Grants!T85</f>
        <v>106.390928</v>
      </c>
      <c r="U57" s="232">
        <f>Grants!U85</f>
        <v>151.0389119651158</v>
      </c>
      <c r="V57" s="232">
        <f>Grants!V85</f>
        <v>152.45432146619868</v>
      </c>
      <c r="W57" s="232">
        <f>Grants!W85</f>
        <v>148.36827954230918</v>
      </c>
      <c r="X57" s="232">
        <f>Grants!X85</f>
        <v>145.78741066666663</v>
      </c>
      <c r="Y57" s="232">
        <f>Grants!Y85</f>
        <v>131.40695407572048</v>
      </c>
      <c r="Z57" s="232">
        <f>Grants!Z85</f>
        <v>108.54513356484662</v>
      </c>
      <c r="AA57" s="232">
        <f>Grants!AA85</f>
        <v>109.97585848400158</v>
      </c>
      <c r="AB57" s="232">
        <f>Grants!AB85</f>
        <v>111.66763343333332</v>
      </c>
      <c r="AC57" s="246">
        <f>Grants!AC85</f>
        <v>91.747312758749317</v>
      </c>
    </row>
    <row r="58" spans="2:54" x14ac:dyDescent="0.35">
      <c r="B58" s="425" t="s">
        <v>455</v>
      </c>
      <c r="C58" s="400"/>
      <c r="D58" s="1055"/>
      <c r="E58" s="1056"/>
      <c r="F58" s="1056"/>
      <c r="G58" s="1056"/>
      <c r="H58" s="266">
        <f>H56+H57</f>
        <v>278.17200000000003</v>
      </c>
      <c r="I58" s="266">
        <f t="shared" ref="I58:AC58" si="9">I56+I57</f>
        <v>285.87100000000004</v>
      </c>
      <c r="J58" s="266">
        <f t="shared" si="9"/>
        <v>401.29899999999998</v>
      </c>
      <c r="K58" s="266">
        <f t="shared" si="9"/>
        <v>376.19200000000006</v>
      </c>
      <c r="L58" s="266">
        <f t="shared" si="9"/>
        <v>365.36099999999999</v>
      </c>
      <c r="M58" s="266">
        <f t="shared" si="9"/>
        <v>389.34100000000001</v>
      </c>
      <c r="N58" s="266">
        <f t="shared" si="9"/>
        <v>436.59300000000007</v>
      </c>
      <c r="O58" s="266">
        <f t="shared" si="9"/>
        <v>444.33600000000001</v>
      </c>
      <c r="P58" s="266">
        <f t="shared" si="9"/>
        <v>474.06185200000004</v>
      </c>
      <c r="Q58" s="266">
        <f t="shared" si="9"/>
        <v>510.98727479999997</v>
      </c>
      <c r="R58" s="266">
        <f t="shared" si="9"/>
        <v>580.38903199999993</v>
      </c>
      <c r="S58" s="266">
        <f t="shared" si="9"/>
        <v>567.72786800000006</v>
      </c>
      <c r="T58" s="1369">
        <f t="shared" si="9"/>
        <v>182.54992800000002</v>
      </c>
      <c r="U58" s="247">
        <f t="shared" si="9"/>
        <v>227.19791196511582</v>
      </c>
      <c r="V58" s="247">
        <f t="shared" si="9"/>
        <v>228.6133214661987</v>
      </c>
      <c r="W58" s="247">
        <f t="shared" si="9"/>
        <v>224.5272795423092</v>
      </c>
      <c r="X58" s="247">
        <f t="shared" si="9"/>
        <v>223.60541066666664</v>
      </c>
      <c r="Y58" s="247">
        <f t="shared" si="9"/>
        <v>209.22495407572049</v>
      </c>
      <c r="Z58" s="247">
        <f t="shared" si="9"/>
        <v>186.36313356484663</v>
      </c>
      <c r="AA58" s="247">
        <f t="shared" si="9"/>
        <v>187.79385848400159</v>
      </c>
      <c r="AB58" s="247">
        <f t="shared" si="9"/>
        <v>191.07963343333336</v>
      </c>
      <c r="AC58" s="257">
        <f t="shared" si="9"/>
        <v>171.15931275874934</v>
      </c>
    </row>
    <row r="59" spans="2:54" x14ac:dyDescent="0.35">
      <c r="AM59" s="1172" t="s">
        <v>456</v>
      </c>
      <c r="AN59" s="1173"/>
      <c r="AO59" s="1123" t="s">
        <v>325</v>
      </c>
      <c r="AP59" s="1124"/>
      <c r="AQ59" s="1124"/>
      <c r="AR59" s="1124"/>
      <c r="AS59" s="1124"/>
      <c r="AT59" s="1182"/>
      <c r="AU59" s="1181" t="s">
        <v>326</v>
      </c>
      <c r="AV59" s="1181"/>
      <c r="AW59" s="1181"/>
      <c r="AX59" s="1181"/>
      <c r="AY59" s="1181"/>
      <c r="AZ59" s="1181"/>
      <c r="BA59" s="1181"/>
      <c r="BB59" s="1181"/>
    </row>
    <row r="60" spans="2:54" x14ac:dyDescent="0.35">
      <c r="AM60" s="1174"/>
      <c r="AN60" s="1175"/>
      <c r="AO60" s="429">
        <v>2019</v>
      </c>
      <c r="AP60" s="1114">
        <v>2020</v>
      </c>
      <c r="AQ60" s="1115"/>
      <c r="AR60" s="1115"/>
      <c r="AS60" s="1122"/>
      <c r="AT60" s="429">
        <v>2021</v>
      </c>
      <c r="AU60" s="1145">
        <v>2021</v>
      </c>
      <c r="AV60" s="1146"/>
      <c r="AW60" s="1147"/>
      <c r="AX60" s="1145">
        <v>2022</v>
      </c>
      <c r="AY60" s="1146"/>
      <c r="AZ60" s="1146"/>
      <c r="BA60" s="1147"/>
      <c r="BB60" s="239">
        <v>2023</v>
      </c>
    </row>
    <row r="61" spans="2:54" x14ac:dyDescent="0.35">
      <c r="AM61" s="1174"/>
      <c r="AN61" s="1175"/>
      <c r="AO61" s="407" t="s">
        <v>327</v>
      </c>
      <c r="AP61" s="149" t="s">
        <v>328</v>
      </c>
      <c r="AQ61" s="148" t="s">
        <v>329</v>
      </c>
      <c r="AR61" s="148" t="s">
        <v>238</v>
      </c>
      <c r="AS61" s="198" t="s">
        <v>327</v>
      </c>
      <c r="AT61" s="407" t="s">
        <v>328</v>
      </c>
      <c r="AU61" s="328" t="s">
        <v>329</v>
      </c>
      <c r="AV61" s="329" t="s">
        <v>238</v>
      </c>
      <c r="AW61" s="341" t="s">
        <v>327</v>
      </c>
      <c r="AX61" s="328" t="s">
        <v>328</v>
      </c>
      <c r="AY61" s="329" t="s">
        <v>329</v>
      </c>
      <c r="AZ61" s="329" t="s">
        <v>238</v>
      </c>
      <c r="BA61" s="341" t="s">
        <v>327</v>
      </c>
      <c r="BB61" s="356" t="s">
        <v>328</v>
      </c>
    </row>
    <row r="62" spans="2:54" ht="27.65" customHeight="1" x14ac:dyDescent="0.35">
      <c r="AM62" s="423" t="s">
        <v>457</v>
      </c>
      <c r="AN62" s="417"/>
      <c r="AO62" s="424">
        <v>4.8</v>
      </c>
      <c r="AP62" s="401">
        <v>3.9</v>
      </c>
      <c r="AQ62" s="401">
        <v>3.2</v>
      </c>
      <c r="AR62" s="401">
        <v>3.8</v>
      </c>
      <c r="AS62" s="401">
        <v>3.7</v>
      </c>
      <c r="AT62" s="401">
        <v>3.7</v>
      </c>
      <c r="AU62" s="430">
        <v>3.7</v>
      </c>
      <c r="AV62" s="414">
        <v>3.7</v>
      </c>
      <c r="AW62" s="414">
        <v>3.8</v>
      </c>
      <c r="AX62" s="414">
        <v>3.8</v>
      </c>
      <c r="AY62" s="414">
        <v>3.9</v>
      </c>
      <c r="AZ62" s="414">
        <v>3.9</v>
      </c>
      <c r="BA62" s="414">
        <v>4</v>
      </c>
      <c r="BB62" s="404">
        <v>4</v>
      </c>
    </row>
    <row r="63" spans="2:54" ht="27.65" customHeight="1" x14ac:dyDescent="0.35">
      <c r="AM63" s="370" t="s">
        <v>458</v>
      </c>
      <c r="AN63" s="244"/>
      <c r="AO63" s="422">
        <v>3.3969999999999998</v>
      </c>
      <c r="AP63" s="144">
        <v>4.1660000000000004</v>
      </c>
      <c r="AQ63" s="144">
        <v>-7.6660000000000004</v>
      </c>
      <c r="AR63" s="144">
        <v>-0.84299999999999997</v>
      </c>
      <c r="AS63" s="144">
        <v>2.097</v>
      </c>
      <c r="AT63" s="144">
        <v>9.5879999999999992</v>
      </c>
      <c r="AU63" s="390">
        <v>14.488</v>
      </c>
      <c r="AV63" s="232">
        <v>9.7850000000000001</v>
      </c>
      <c r="AW63" s="232">
        <v>5.202</v>
      </c>
      <c r="AX63" s="232">
        <v>5.4939999999999998</v>
      </c>
      <c r="AY63" s="232">
        <v>5.7560000000000002</v>
      </c>
      <c r="AZ63" s="232">
        <v>4.133</v>
      </c>
      <c r="BA63" s="232">
        <v>3.5270000000000001</v>
      </c>
      <c r="BB63" s="246">
        <v>3.488</v>
      </c>
    </row>
    <row r="64" spans="2:54" x14ac:dyDescent="0.35">
      <c r="AM64" s="151" t="s">
        <v>459</v>
      </c>
      <c r="AO64" s="144">
        <f t="shared" ref="AO64:AT64" si="10">AO63</f>
        <v>3.3969999999999998</v>
      </c>
      <c r="AP64" s="144">
        <f t="shared" si="10"/>
        <v>4.1660000000000004</v>
      </c>
      <c r="AQ64" s="144">
        <f t="shared" si="10"/>
        <v>-7.6660000000000004</v>
      </c>
      <c r="AR64" s="144">
        <f t="shared" si="10"/>
        <v>-0.84299999999999997</v>
      </c>
      <c r="AS64" s="144">
        <f t="shared" si="10"/>
        <v>2.097</v>
      </c>
      <c r="AT64" s="144">
        <f t="shared" si="10"/>
        <v>9.5879999999999992</v>
      </c>
      <c r="AU64" s="421">
        <f t="shared" ref="AU64:BB64" si="11">N34</f>
        <v>8.0081568848658691</v>
      </c>
      <c r="AV64" s="421">
        <f t="shared" si="11"/>
        <v>11.807223761379305</v>
      </c>
      <c r="AW64" s="421">
        <f t="shared" si="11"/>
        <v>7.3516092986590564</v>
      </c>
      <c r="AX64" s="421">
        <f t="shared" si="11"/>
        <v>10.128423587170188</v>
      </c>
      <c r="AY64" s="421">
        <f t="shared" si="11"/>
        <v>14.319485516488072</v>
      </c>
      <c r="AZ64" s="421">
        <f t="shared" si="11"/>
        <v>6.7598839303983915</v>
      </c>
      <c r="BA64" s="421">
        <f t="shared" si="11"/>
        <v>-100</v>
      </c>
      <c r="BB64" s="421">
        <f t="shared" si="11"/>
        <v>4.9749339639030277</v>
      </c>
    </row>
    <row r="65" spans="39:58" x14ac:dyDescent="0.35">
      <c r="AM65" s="1176" t="s">
        <v>460</v>
      </c>
      <c r="AN65" s="1177"/>
      <c r="AO65" s="422"/>
      <c r="AP65" s="144"/>
      <c r="AQ65" s="144"/>
      <c r="AR65" s="144"/>
      <c r="AS65" s="144"/>
      <c r="AT65" s="144"/>
      <c r="AU65" s="390"/>
      <c r="AV65" s="232"/>
      <c r="AW65" s="232"/>
      <c r="AX65" s="232"/>
      <c r="AY65" s="232"/>
      <c r="AZ65" s="232"/>
      <c r="BA65" s="232"/>
      <c r="BB65" s="246"/>
    </row>
    <row r="66" spans="39:58" ht="27.65" customHeight="1" x14ac:dyDescent="0.35">
      <c r="AM66" s="182" t="s">
        <v>461</v>
      </c>
      <c r="AN66" s="173"/>
      <c r="AO66" s="159">
        <v>2368</v>
      </c>
      <c r="AP66" s="154">
        <v>2391</v>
      </c>
      <c r="AQ66" s="154">
        <v>2410</v>
      </c>
      <c r="AR66" s="154">
        <v>2432</v>
      </c>
      <c r="AS66" s="154">
        <v>2455</v>
      </c>
      <c r="AT66" s="154">
        <v>2477</v>
      </c>
      <c r="AU66" s="413">
        <v>2500</v>
      </c>
      <c r="AV66" s="230">
        <v>2523</v>
      </c>
      <c r="AW66" s="230">
        <v>2546</v>
      </c>
      <c r="AX66" s="230">
        <v>2571</v>
      </c>
      <c r="AY66" s="230">
        <v>2595</v>
      </c>
      <c r="AZ66" s="230">
        <v>2621</v>
      </c>
      <c r="BA66" s="230">
        <v>2646</v>
      </c>
      <c r="BB66" s="234">
        <v>2672</v>
      </c>
    </row>
    <row r="67" spans="39:58" ht="27.65" customHeight="1" x14ac:dyDescent="0.35">
      <c r="AM67" s="182" t="s">
        <v>462</v>
      </c>
      <c r="AN67" s="173"/>
      <c r="AO67" s="264">
        <v>2357</v>
      </c>
      <c r="AP67" s="137">
        <v>2382</v>
      </c>
      <c r="AQ67" s="137">
        <v>2335</v>
      </c>
      <c r="AR67" s="137">
        <v>2330</v>
      </c>
      <c r="AS67" s="137">
        <v>2318</v>
      </c>
      <c r="AT67" s="137">
        <v>2339</v>
      </c>
      <c r="AU67" s="328">
        <v>2361</v>
      </c>
      <c r="AV67" s="329">
        <v>2379</v>
      </c>
      <c r="AW67" s="329">
        <v>2397</v>
      </c>
      <c r="AX67" s="329">
        <v>2417</v>
      </c>
      <c r="AY67" s="329">
        <v>2439</v>
      </c>
      <c r="AZ67" s="329">
        <v>2462</v>
      </c>
      <c r="BA67" s="329">
        <v>2486</v>
      </c>
      <c r="BB67" s="341">
        <v>2513</v>
      </c>
    </row>
    <row r="68" spans="39:58" ht="27.65" customHeight="1" x14ac:dyDescent="0.35">
      <c r="AM68" s="182" t="s">
        <v>463</v>
      </c>
      <c r="AN68" s="173"/>
      <c r="AO68" s="419">
        <v>2357.4</v>
      </c>
      <c r="AP68" s="388">
        <v>2381.6</v>
      </c>
      <c r="AQ68" s="388">
        <v>2334.5</v>
      </c>
      <c r="AR68" s="388">
        <v>2329.6</v>
      </c>
      <c r="AS68" s="388">
        <v>2341.6999999999998</v>
      </c>
      <c r="AT68" s="388">
        <v>2395.9</v>
      </c>
      <c r="AU68" s="410">
        <v>2478.4</v>
      </c>
      <c r="AV68" s="411">
        <v>2536.9</v>
      </c>
      <c r="AW68" s="411">
        <v>2569.3000000000002</v>
      </c>
      <c r="AX68" s="411">
        <v>2603.9</v>
      </c>
      <c r="AY68" s="411">
        <v>2640.6</v>
      </c>
      <c r="AZ68" s="411">
        <v>2667.4</v>
      </c>
      <c r="BA68" s="411">
        <v>2690.6</v>
      </c>
      <c r="BB68" s="412">
        <v>2713.8</v>
      </c>
      <c r="BC68" s="389"/>
      <c r="BD68" s="389"/>
      <c r="BE68" s="389"/>
      <c r="BF68" s="389"/>
    </row>
    <row r="69" spans="39:58" x14ac:dyDescent="0.35">
      <c r="AM69" s="1170" t="s">
        <v>464</v>
      </c>
      <c r="AN69" s="1171"/>
      <c r="AO69" s="264"/>
      <c r="AP69" s="137"/>
      <c r="AQ69" s="137"/>
      <c r="AR69" s="137"/>
      <c r="AS69" s="137"/>
      <c r="AT69" s="137"/>
      <c r="AU69" s="328"/>
      <c r="AV69" s="329"/>
      <c r="AW69" s="329"/>
      <c r="AX69" s="329"/>
      <c r="AY69" s="329"/>
      <c r="AZ69" s="329"/>
      <c r="BA69" s="329"/>
      <c r="BB69" s="341"/>
    </row>
    <row r="70" spans="39:58" ht="27.65" customHeight="1" x14ac:dyDescent="0.35">
      <c r="AM70" s="182" t="s">
        <v>461</v>
      </c>
      <c r="AN70" s="173"/>
      <c r="AO70" s="159">
        <f t="shared" ref="AO70:BB70" si="12">AO66-H58</f>
        <v>2089.828</v>
      </c>
      <c r="AP70" s="154">
        <f t="shared" si="12"/>
        <v>2105.1289999999999</v>
      </c>
      <c r="AQ70" s="154">
        <f t="shared" si="12"/>
        <v>2008.701</v>
      </c>
      <c r="AR70" s="154">
        <f t="shared" si="12"/>
        <v>2055.808</v>
      </c>
      <c r="AS70" s="154">
        <f t="shared" si="12"/>
        <v>2089.6390000000001</v>
      </c>
      <c r="AT70" s="154">
        <f t="shared" si="12"/>
        <v>2087.6590000000001</v>
      </c>
      <c r="AU70" s="413">
        <f t="shared" si="12"/>
        <v>2063.4070000000002</v>
      </c>
      <c r="AV70" s="230">
        <f t="shared" si="12"/>
        <v>2078.6639999999998</v>
      </c>
      <c r="AW70" s="230">
        <f t="shared" si="12"/>
        <v>2071.9381480000002</v>
      </c>
      <c r="AX70" s="230">
        <f t="shared" si="12"/>
        <v>2060.0127252000002</v>
      </c>
      <c r="AY70" s="230">
        <f t="shared" si="12"/>
        <v>2014.610968</v>
      </c>
      <c r="AZ70" s="230">
        <f t="shared" si="12"/>
        <v>2053.2721320000001</v>
      </c>
      <c r="BA70" s="230">
        <f t="shared" si="12"/>
        <v>2463.4500720000001</v>
      </c>
      <c r="BB70" s="234">
        <f t="shared" si="12"/>
        <v>2444.802088034884</v>
      </c>
    </row>
    <row r="71" spans="39:58" ht="27.65" customHeight="1" x14ac:dyDescent="0.35">
      <c r="AM71" s="182" t="s">
        <v>462</v>
      </c>
      <c r="AN71" s="173"/>
      <c r="AO71" s="159">
        <f t="shared" ref="AO71:BB71" si="13">AO67-H58</f>
        <v>2078.828</v>
      </c>
      <c r="AP71" s="154">
        <f t="shared" si="13"/>
        <v>2096.1289999999999</v>
      </c>
      <c r="AQ71" s="154">
        <f t="shared" si="13"/>
        <v>1933.701</v>
      </c>
      <c r="AR71" s="154">
        <f t="shared" si="13"/>
        <v>1953.808</v>
      </c>
      <c r="AS71" s="154">
        <f t="shared" si="13"/>
        <v>1952.6390000000001</v>
      </c>
      <c r="AT71" s="154">
        <f t="shared" si="13"/>
        <v>1949.6590000000001</v>
      </c>
      <c r="AU71" s="413">
        <f t="shared" si="13"/>
        <v>1924.4069999999999</v>
      </c>
      <c r="AV71" s="230">
        <f t="shared" si="13"/>
        <v>1934.664</v>
      </c>
      <c r="AW71" s="230">
        <f t="shared" si="13"/>
        <v>1922.938148</v>
      </c>
      <c r="AX71" s="230">
        <f t="shared" si="13"/>
        <v>1906.0127252</v>
      </c>
      <c r="AY71" s="230">
        <f t="shared" si="13"/>
        <v>1858.610968</v>
      </c>
      <c r="AZ71" s="230">
        <f t="shared" si="13"/>
        <v>1894.2721320000001</v>
      </c>
      <c r="BA71" s="230">
        <f t="shared" si="13"/>
        <v>2303.4500720000001</v>
      </c>
      <c r="BB71" s="234">
        <f t="shared" si="13"/>
        <v>2285.802088034884</v>
      </c>
    </row>
    <row r="72" spans="39:58" ht="27.65" customHeight="1" x14ac:dyDescent="0.35">
      <c r="AM72" s="405" t="s">
        <v>463</v>
      </c>
      <c r="AN72" s="420"/>
      <c r="AO72" s="415">
        <f t="shared" ref="AO72:BB72" si="14">AO68-H58</f>
        <v>2079.2280000000001</v>
      </c>
      <c r="AP72" s="408">
        <f t="shared" si="14"/>
        <v>2095.7289999999998</v>
      </c>
      <c r="AQ72" s="408">
        <f t="shared" si="14"/>
        <v>1933.201</v>
      </c>
      <c r="AR72" s="408">
        <f t="shared" si="14"/>
        <v>1953.4079999999999</v>
      </c>
      <c r="AS72" s="408">
        <f t="shared" si="14"/>
        <v>1976.3389999999999</v>
      </c>
      <c r="AT72" s="408">
        <f t="shared" si="14"/>
        <v>2006.5590000000002</v>
      </c>
      <c r="AU72" s="416">
        <f t="shared" si="14"/>
        <v>2041.807</v>
      </c>
      <c r="AV72" s="250">
        <f t="shared" si="14"/>
        <v>2092.5640000000003</v>
      </c>
      <c r="AW72" s="250">
        <f t="shared" si="14"/>
        <v>2095.2381480000004</v>
      </c>
      <c r="AX72" s="250">
        <f t="shared" si="14"/>
        <v>2092.9127252000003</v>
      </c>
      <c r="AY72" s="250">
        <f t="shared" si="14"/>
        <v>2060.2109679999999</v>
      </c>
      <c r="AZ72" s="250">
        <f t="shared" si="14"/>
        <v>2099.6721320000001</v>
      </c>
      <c r="BA72" s="250">
        <f t="shared" si="14"/>
        <v>2508.050072</v>
      </c>
      <c r="BB72" s="378">
        <f t="shared" si="14"/>
        <v>2486.6020880348842</v>
      </c>
    </row>
  </sheetData>
  <mergeCells count="41">
    <mergeCell ref="B1:AC1"/>
    <mergeCell ref="B6:C8"/>
    <mergeCell ref="E7:H7"/>
    <mergeCell ref="I7:L7"/>
    <mergeCell ref="U7:X7"/>
    <mergeCell ref="Y7:AB7"/>
    <mergeCell ref="B2:AC4"/>
    <mergeCell ref="D6:T6"/>
    <mergeCell ref="U6:AC6"/>
    <mergeCell ref="Q7:T7"/>
    <mergeCell ref="B24:AC24"/>
    <mergeCell ref="B25:AC27"/>
    <mergeCell ref="AO59:AT59"/>
    <mergeCell ref="M7:P7"/>
    <mergeCell ref="D29:T29"/>
    <mergeCell ref="U29:AC29"/>
    <mergeCell ref="Q30:T30"/>
    <mergeCell ref="D53:T53"/>
    <mergeCell ref="U53:AC53"/>
    <mergeCell ref="Q54:T54"/>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AM69:AN69"/>
    <mergeCell ref="AM59:AN61"/>
    <mergeCell ref="I30:L30"/>
    <mergeCell ref="M30:P30"/>
    <mergeCell ref="M54:P54"/>
    <mergeCell ref="AM65:AN65"/>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G20" sqref="G20"/>
    </sheetView>
  </sheetViews>
  <sheetFormatPr defaultColWidth="11.453125" defaultRowHeight="14.5" x14ac:dyDescent="0.35"/>
  <cols>
    <col min="2" max="2" width="49.453125" customWidth="1"/>
    <col min="6" max="25" width="6.453125" customWidth="1"/>
    <col min="27" max="27" width="10.1796875" customWidth="1"/>
  </cols>
  <sheetData>
    <row r="1" spans="2:29" x14ac:dyDescent="0.35">
      <c r="B1" s="1113" t="s">
        <v>52</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29" ht="14.75" customHeight="1" x14ac:dyDescent="0.35">
      <c r="B2" s="1141" t="s">
        <v>931</v>
      </c>
      <c r="C2" s="1141"/>
      <c r="D2" s="1141"/>
      <c r="E2" s="1141"/>
      <c r="F2" s="1141"/>
      <c r="G2" s="1141"/>
      <c r="H2" s="1141"/>
      <c r="I2" s="1141"/>
      <c r="J2" s="1141"/>
      <c r="K2" s="1141"/>
      <c r="L2" s="1141"/>
      <c r="M2" s="1141"/>
      <c r="N2" s="1141"/>
      <c r="O2" s="1141"/>
      <c r="P2" s="1141"/>
      <c r="Q2" s="1141"/>
      <c r="R2" s="1141"/>
      <c r="S2" s="1141"/>
      <c r="T2" s="1141"/>
      <c r="U2" s="1141"/>
      <c r="V2" s="1141"/>
      <c r="W2" s="1141"/>
      <c r="X2" s="1141"/>
      <c r="Y2" s="1141"/>
      <c r="Z2" s="1141"/>
      <c r="AA2" s="1141"/>
      <c r="AB2" s="1141"/>
      <c r="AC2" s="1141"/>
    </row>
    <row r="3" spans="2:29" ht="14.75" customHeight="1" x14ac:dyDescent="0.35">
      <c r="B3" s="1141"/>
      <c r="C3" s="1141"/>
      <c r="D3" s="1141"/>
      <c r="E3" s="1141"/>
      <c r="F3" s="1141"/>
      <c r="G3" s="1141"/>
      <c r="H3" s="1141"/>
      <c r="I3" s="1141"/>
      <c r="J3" s="1141"/>
      <c r="K3" s="1141"/>
      <c r="L3" s="1141"/>
      <c r="M3" s="1141"/>
      <c r="N3" s="1141"/>
      <c r="O3" s="1141"/>
      <c r="P3" s="1141"/>
      <c r="Q3" s="1141"/>
      <c r="R3" s="1141"/>
      <c r="S3" s="1141"/>
      <c r="T3" s="1141"/>
      <c r="U3" s="1141"/>
      <c r="V3" s="1141"/>
      <c r="W3" s="1141"/>
      <c r="X3" s="1141"/>
      <c r="Y3" s="1141"/>
      <c r="Z3" s="1141"/>
      <c r="AA3" s="1141"/>
      <c r="AB3" s="1141"/>
      <c r="AC3" s="1141"/>
    </row>
    <row r="4" spans="2:29" ht="5.75" customHeight="1" x14ac:dyDescent="0.35">
      <c r="B4" s="1141"/>
      <c r="C4" s="1141"/>
      <c r="D4" s="1141"/>
      <c r="E4" s="1141"/>
      <c r="F4" s="1141"/>
      <c r="G4" s="1141"/>
      <c r="H4" s="1141"/>
      <c r="I4" s="1141"/>
      <c r="J4" s="1141"/>
      <c r="K4" s="1141"/>
      <c r="L4" s="1141"/>
      <c r="M4" s="1141"/>
      <c r="N4" s="1141"/>
      <c r="O4" s="1141"/>
      <c r="P4" s="1141"/>
      <c r="Q4" s="1141"/>
      <c r="R4" s="1141"/>
      <c r="S4" s="1141"/>
      <c r="T4" s="1141"/>
      <c r="U4" s="1141"/>
      <c r="V4" s="1141"/>
      <c r="W4" s="1141"/>
      <c r="X4" s="1141"/>
      <c r="Y4" s="1141"/>
      <c r="Z4" s="1141"/>
      <c r="AA4" s="1141"/>
      <c r="AB4" s="1141"/>
      <c r="AC4" s="1141"/>
    </row>
    <row r="5" spans="2:29" ht="1.5" customHeight="1" x14ac:dyDescent="0.35">
      <c r="B5" s="1141"/>
      <c r="C5" s="1141"/>
      <c r="D5" s="1141"/>
      <c r="E5" s="1141"/>
      <c r="F5" s="1141"/>
      <c r="G5" s="1141"/>
      <c r="H5" s="1141"/>
      <c r="I5" s="1141"/>
      <c r="J5" s="1141"/>
      <c r="K5" s="1141"/>
      <c r="L5" s="1141"/>
      <c r="M5" s="1141"/>
      <c r="N5" s="1141"/>
      <c r="O5" s="1141"/>
      <c r="P5" s="1141"/>
      <c r="Q5" s="1141"/>
      <c r="R5" s="1141"/>
      <c r="S5" s="1141"/>
      <c r="T5" s="1141"/>
      <c r="U5" s="1141"/>
      <c r="V5" s="1141"/>
      <c r="W5" s="1141"/>
      <c r="X5" s="1141"/>
      <c r="Y5" s="1141"/>
      <c r="Z5" s="1141"/>
      <c r="AA5" s="1141"/>
      <c r="AB5" s="1141"/>
      <c r="AC5" s="1141"/>
    </row>
    <row r="6" spans="2:29" ht="14.75" customHeight="1" x14ac:dyDescent="0.35">
      <c r="B6" s="1141"/>
      <c r="C6" s="1141"/>
      <c r="D6" s="1141"/>
      <c r="E6" s="1141"/>
      <c r="F6" s="1141"/>
      <c r="G6" s="1141"/>
      <c r="H6" s="1141"/>
      <c r="I6" s="1141"/>
      <c r="J6" s="1141"/>
      <c r="K6" s="1141"/>
      <c r="L6" s="1141"/>
      <c r="M6" s="1141"/>
      <c r="N6" s="1141"/>
      <c r="O6" s="1141"/>
      <c r="P6" s="1141"/>
      <c r="Q6" s="1141"/>
      <c r="R6" s="1141"/>
      <c r="S6" s="1141"/>
      <c r="T6" s="1141"/>
      <c r="U6" s="1141"/>
      <c r="V6" s="1141"/>
      <c r="W6" s="1141"/>
      <c r="X6" s="1141"/>
      <c r="Y6" s="1141"/>
      <c r="Z6" s="1141"/>
      <c r="AA6" s="1141"/>
      <c r="AB6" s="1141"/>
      <c r="AC6" s="1141"/>
    </row>
    <row r="7" spans="2:29"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29" ht="14.75" customHeight="1" x14ac:dyDescent="0.35">
      <c r="B8" s="1142" t="s">
        <v>465</v>
      </c>
      <c r="C8" s="1126"/>
      <c r="D8" s="1292" t="s">
        <v>325</v>
      </c>
      <c r="E8" s="1293"/>
      <c r="F8" s="1293"/>
      <c r="G8" s="1293"/>
      <c r="H8" s="1293"/>
      <c r="I8" s="1293"/>
      <c r="J8" s="1293"/>
      <c r="K8" s="1293"/>
      <c r="L8" s="1293"/>
      <c r="M8" s="1293"/>
      <c r="N8" s="1293"/>
      <c r="O8" s="1293"/>
      <c r="P8" s="1293"/>
      <c r="Q8" s="1293"/>
      <c r="R8" s="1293"/>
      <c r="S8" s="1293"/>
      <c r="T8" s="1294"/>
      <c r="U8" s="1296" t="s">
        <v>326</v>
      </c>
      <c r="V8" s="1296"/>
      <c r="W8" s="1296"/>
      <c r="X8" s="1296"/>
      <c r="Y8" s="1296"/>
      <c r="Z8" s="1296"/>
      <c r="AA8" s="1296"/>
      <c r="AB8" s="1296"/>
      <c r="AC8" s="1297"/>
    </row>
    <row r="9" spans="2:29" x14ac:dyDescent="0.35">
      <c r="B9" s="1143"/>
      <c r="C9" s="1144"/>
      <c r="D9" s="149">
        <v>2018</v>
      </c>
      <c r="E9" s="1161">
        <v>2019</v>
      </c>
      <c r="F9" s="1162"/>
      <c r="G9" s="1162"/>
      <c r="H9" s="1169"/>
      <c r="I9" s="1161">
        <v>2020</v>
      </c>
      <c r="J9" s="1162"/>
      <c r="K9" s="1162"/>
      <c r="L9" s="1162"/>
      <c r="M9" s="1161">
        <v>2021</v>
      </c>
      <c r="N9" s="1162"/>
      <c r="O9" s="1162"/>
      <c r="P9" s="1162"/>
      <c r="Q9" s="1098">
        <v>2022</v>
      </c>
      <c r="R9" s="1099"/>
      <c r="S9" s="1099"/>
      <c r="T9" s="1308"/>
      <c r="U9" s="1277">
        <v>2023</v>
      </c>
      <c r="V9" s="1146"/>
      <c r="W9" s="1146"/>
      <c r="X9" s="1146"/>
      <c r="Y9" s="1145">
        <v>2024</v>
      </c>
      <c r="Z9" s="1146"/>
      <c r="AA9" s="1146"/>
      <c r="AB9" s="1147"/>
      <c r="AC9" s="239">
        <v>2025</v>
      </c>
    </row>
    <row r="10" spans="2:29" x14ac:dyDescent="0.35">
      <c r="B10" s="1153"/>
      <c r="C10" s="1154"/>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1" t="s">
        <v>328</v>
      </c>
      <c r="R10" s="1039" t="s">
        <v>329</v>
      </c>
      <c r="S10" s="1039" t="s">
        <v>238</v>
      </c>
      <c r="T10" s="1052" t="s">
        <v>327</v>
      </c>
      <c r="U10" s="1282" t="s">
        <v>328</v>
      </c>
      <c r="V10" s="329" t="s">
        <v>329</v>
      </c>
      <c r="W10" s="329" t="s">
        <v>238</v>
      </c>
      <c r="X10" s="329" t="s">
        <v>327</v>
      </c>
      <c r="Y10" s="328" t="s">
        <v>328</v>
      </c>
      <c r="Z10" s="230" t="s">
        <v>329</v>
      </c>
      <c r="AA10" s="329" t="s">
        <v>238</v>
      </c>
      <c r="AB10" s="341" t="s">
        <v>327</v>
      </c>
      <c r="AC10" s="356" t="s">
        <v>328</v>
      </c>
    </row>
    <row r="11" spans="2:29" x14ac:dyDescent="0.35">
      <c r="B11" s="384" t="s">
        <v>937</v>
      </c>
      <c r="C11" s="70" t="s">
        <v>586</v>
      </c>
      <c r="D11" s="1376"/>
      <c r="E11" s="1377"/>
      <c r="F11" s="1391">
        <v>60.5</v>
      </c>
      <c r="G11" s="1391">
        <v>81.400000000000006</v>
      </c>
      <c r="H11" s="1391">
        <f>'Haver Pivoted'!GS42</f>
        <v>82.1</v>
      </c>
      <c r="I11" s="1391">
        <f>'Haver Pivoted'!GT42</f>
        <v>80</v>
      </c>
      <c r="J11" s="1391">
        <f>'Haver Pivoted'!GU42</f>
        <v>975.7</v>
      </c>
      <c r="K11" s="1391">
        <f>'Haver Pivoted'!GV42</f>
        <v>1108.8</v>
      </c>
      <c r="L11" s="1391">
        <f>'Haver Pivoted'!GW42</f>
        <v>462.2</v>
      </c>
      <c r="M11" s="1391">
        <f>'Haver Pivoted'!GX42</f>
        <v>387.4</v>
      </c>
      <c r="N11" s="1391">
        <f>'Haver Pivoted'!GY42</f>
        <v>693.9</v>
      </c>
      <c r="O11" s="1391">
        <f>'Haver Pivoted'!GZ42</f>
        <v>545.6</v>
      </c>
      <c r="P11" s="1391">
        <f>'Haver Pivoted'!HA42</f>
        <v>288.3</v>
      </c>
      <c r="Q11" s="1391">
        <f>'Haver Pivoted'!HB42</f>
        <v>144.5</v>
      </c>
      <c r="R11" s="1391">
        <f>'Haver Pivoted'!HC42</f>
        <v>122.9</v>
      </c>
      <c r="S11" s="1392">
        <f>'Haver Pivoted'!HD42</f>
        <v>113.8</v>
      </c>
      <c r="T11" s="1393">
        <f>'Haver Pivoted'!HE42</f>
        <v>0</v>
      </c>
      <c r="U11" s="458">
        <f t="shared" ref="T11:AC11" si="0">U12+U13</f>
        <v>88.50800000000001</v>
      </c>
      <c r="V11" s="458">
        <f t="shared" si="0"/>
        <v>88.50800000000001</v>
      </c>
      <c r="W11" s="458">
        <f t="shared" si="0"/>
        <v>88.50800000000001</v>
      </c>
      <c r="X11" s="458">
        <f t="shared" si="0"/>
        <v>85.631</v>
      </c>
      <c r="Y11" s="458">
        <f t="shared" si="0"/>
        <v>85.631</v>
      </c>
      <c r="Z11" s="458">
        <f t="shared" si="0"/>
        <v>85.631</v>
      </c>
      <c r="AA11" s="458">
        <f t="shared" si="0"/>
        <v>85.631</v>
      </c>
      <c r="AB11" s="458">
        <f t="shared" si="0"/>
        <v>90.463999999999999</v>
      </c>
      <c r="AC11" s="453">
        <f t="shared" si="0"/>
        <v>90.463999999999999</v>
      </c>
    </row>
    <row r="12" spans="2:29" ht="16.5" customHeight="1" x14ac:dyDescent="0.35">
      <c r="B12" s="372" t="s">
        <v>466</v>
      </c>
      <c r="C12" s="70"/>
      <c r="D12" s="1054"/>
      <c r="E12" s="1370"/>
      <c r="F12" s="1304">
        <f>F11</f>
        <v>60.5</v>
      </c>
      <c r="G12" s="1304">
        <f>G11</f>
        <v>81.400000000000006</v>
      </c>
      <c r="H12" s="1304">
        <f t="shared" ref="H12:M12" si="1">H11-H13</f>
        <v>82.1</v>
      </c>
      <c r="I12" s="1304">
        <f t="shared" si="1"/>
        <v>80</v>
      </c>
      <c r="J12" s="1304">
        <f>J11-J13</f>
        <v>-13.799999999999955</v>
      </c>
      <c r="K12" s="1304">
        <f t="shared" si="1"/>
        <v>-17.799999999999955</v>
      </c>
      <c r="L12" s="1304">
        <f>L11-L13</f>
        <v>-76.200000000000102</v>
      </c>
      <c r="M12" s="1304">
        <f t="shared" si="1"/>
        <v>79.599999999999966</v>
      </c>
      <c r="N12" s="1304">
        <f t="shared" ref="N12:T12" si="2">N11-N13</f>
        <v>90.299999999999955</v>
      </c>
      <c r="O12" s="1304">
        <f t="shared" si="2"/>
        <v>89.583520000000021</v>
      </c>
      <c r="P12" s="1304">
        <f t="shared" si="2"/>
        <v>83.4</v>
      </c>
      <c r="Q12" s="1304">
        <f t="shared" si="2"/>
        <v>83.8</v>
      </c>
      <c r="R12" s="1304">
        <f t="shared" si="2"/>
        <v>69.400000000000006</v>
      </c>
      <c r="S12" s="1305">
        <f t="shared" si="2"/>
        <v>71.099999999999994</v>
      </c>
      <c r="T12" s="278">
        <f t="shared" si="2"/>
        <v>-12.022000000000002</v>
      </c>
      <c r="U12" s="284">
        <f t="shared" ref="T12:AC12" si="3">AVERAGE($F$11:$I$11)</f>
        <v>76</v>
      </c>
      <c r="V12" s="284">
        <f t="shared" si="3"/>
        <v>76</v>
      </c>
      <c r="W12" s="284">
        <f t="shared" si="3"/>
        <v>76</v>
      </c>
      <c r="X12" s="284">
        <f t="shared" si="3"/>
        <v>76</v>
      </c>
      <c r="Y12" s="284">
        <f t="shared" si="3"/>
        <v>76</v>
      </c>
      <c r="Z12" s="284">
        <f t="shared" si="3"/>
        <v>76</v>
      </c>
      <c r="AA12" s="284">
        <f t="shared" si="3"/>
        <v>76</v>
      </c>
      <c r="AB12" s="284">
        <f t="shared" si="3"/>
        <v>76</v>
      </c>
      <c r="AC12" s="359">
        <f t="shared" si="3"/>
        <v>76</v>
      </c>
    </row>
    <row r="13" spans="2:29" x14ac:dyDescent="0.35">
      <c r="B13" s="371" t="s">
        <v>467</v>
      </c>
      <c r="C13" s="70"/>
      <c r="D13" s="1054"/>
      <c r="E13" s="1370"/>
      <c r="F13" s="1388"/>
      <c r="G13" s="1388"/>
      <c r="H13" s="1304">
        <f>SUM(H16:H25)</f>
        <v>0</v>
      </c>
      <c r="I13" s="1304">
        <f>SUM(I16:I25)</f>
        <v>0</v>
      </c>
      <c r="J13" s="1304">
        <f t="shared" ref="J13:S13" si="4">SUM(J16:J25)+J14</f>
        <v>989.5</v>
      </c>
      <c r="K13" s="1304">
        <f t="shared" si="4"/>
        <v>1126.5999999999999</v>
      </c>
      <c r="L13" s="1304">
        <f t="shared" si="4"/>
        <v>538.40000000000009</v>
      </c>
      <c r="M13" s="1304">
        <f t="shared" si="4"/>
        <v>307.8</v>
      </c>
      <c r="N13" s="1306">
        <f t="shared" si="4"/>
        <v>603.6</v>
      </c>
      <c r="O13" s="1306">
        <f>SUM(O16:O25)+O14</f>
        <v>456.01648</v>
      </c>
      <c r="P13" s="1306">
        <f>SUM(P16:P25)+P14</f>
        <v>204.9</v>
      </c>
      <c r="Q13" s="1306">
        <f t="shared" si="4"/>
        <v>60.7</v>
      </c>
      <c r="R13" s="1306">
        <f t="shared" si="4"/>
        <v>53.5</v>
      </c>
      <c r="S13" s="1306">
        <f t="shared" si="4"/>
        <v>42.7</v>
      </c>
      <c r="T13" s="1309">
        <f t="shared" ref="T13:AC13" si="5">SUM(T16:T27)+T14</f>
        <v>12.022000000000002</v>
      </c>
      <c r="U13" s="284">
        <f t="shared" si="5"/>
        <v>12.508000000000003</v>
      </c>
      <c r="V13" s="284">
        <f t="shared" si="5"/>
        <v>12.508000000000003</v>
      </c>
      <c r="W13" s="284">
        <f t="shared" si="5"/>
        <v>12.508000000000003</v>
      </c>
      <c r="X13" s="284">
        <f t="shared" si="5"/>
        <v>9.6310000000000002</v>
      </c>
      <c r="Y13" s="284">
        <f t="shared" si="5"/>
        <v>9.6310000000000002</v>
      </c>
      <c r="Z13" s="284">
        <f t="shared" si="5"/>
        <v>9.6310000000000002</v>
      </c>
      <c r="AA13" s="284">
        <f t="shared" si="5"/>
        <v>9.6310000000000002</v>
      </c>
      <c r="AB13" s="284">
        <f t="shared" si="5"/>
        <v>14.464</v>
      </c>
      <c r="AC13" s="359">
        <f t="shared" si="5"/>
        <v>14.464</v>
      </c>
    </row>
    <row r="14" spans="2:29" x14ac:dyDescent="0.35">
      <c r="B14" s="369" t="s">
        <v>50</v>
      </c>
      <c r="C14" s="50" t="s">
        <v>377</v>
      </c>
      <c r="D14" s="311"/>
      <c r="E14" s="1004"/>
      <c r="F14" s="1304"/>
      <c r="G14" s="1304"/>
      <c r="H14" s="1304">
        <f>'Haver Pivoted'!GS49</f>
        <v>0</v>
      </c>
      <c r="I14" s="1304">
        <f>'Haver Pivoted'!GT49</f>
        <v>0</v>
      </c>
      <c r="J14" s="1304">
        <f>'Haver Pivoted'!GU49</f>
        <v>576.9</v>
      </c>
      <c r="K14" s="1304">
        <f>'Haver Pivoted'!GV49</f>
        <v>819.5</v>
      </c>
      <c r="L14" s="1304">
        <f>'Haver Pivoted'!GW49</f>
        <v>246.3</v>
      </c>
      <c r="M14" s="1304">
        <f>'Haver Pivoted'!GX49</f>
        <v>197</v>
      </c>
      <c r="N14" s="1304">
        <f>'Haver Pivoted'!GY49</f>
        <v>441.2</v>
      </c>
      <c r="O14" s="1304">
        <f>'Haver Pivoted'!GZ49</f>
        <v>276.7</v>
      </c>
      <c r="P14" s="1304">
        <f>'Haver Pivoted'!HA49</f>
        <v>28.2</v>
      </c>
      <c r="Q14" s="1304">
        <f>'Haver Pivoted'!HB49</f>
        <v>0</v>
      </c>
      <c r="R14" s="1304">
        <f>'Haver Pivoted'!HC49</f>
        <v>0</v>
      </c>
      <c r="S14" s="1305">
        <f>'Haver Pivoted'!HD49</f>
        <v>0</v>
      </c>
      <c r="T14" s="278">
        <f>'Haver Pivoted'!HE49</f>
        <v>0</v>
      </c>
      <c r="U14" s="284"/>
      <c r="V14" s="284"/>
      <c r="W14" s="284"/>
      <c r="X14" s="284"/>
      <c r="Y14" s="284"/>
      <c r="Z14" s="439"/>
      <c r="AA14" s="439"/>
      <c r="AB14" s="439"/>
      <c r="AC14" s="454"/>
    </row>
    <row r="15" spans="2:29" x14ac:dyDescent="0.35">
      <c r="B15" s="371" t="s">
        <v>468</v>
      </c>
      <c r="C15" s="70"/>
      <c r="D15" s="1054"/>
      <c r="E15" s="1370"/>
      <c r="F15" s="1388"/>
      <c r="G15" s="1388"/>
      <c r="H15" s="1304">
        <f t="shared" ref="H15:AC15" si="6">SUM(H16:H25)</f>
        <v>0</v>
      </c>
      <c r="I15" s="1304">
        <f t="shared" si="6"/>
        <v>0</v>
      </c>
      <c r="J15" s="1304">
        <f t="shared" si="6"/>
        <v>412.6</v>
      </c>
      <c r="K15" s="1304">
        <f t="shared" si="6"/>
        <v>307.10000000000002</v>
      </c>
      <c r="L15" s="1304">
        <f t="shared" si="6"/>
        <v>292.10000000000002</v>
      </c>
      <c r="M15" s="1304">
        <f t="shared" si="6"/>
        <v>110.8</v>
      </c>
      <c r="N15" s="1304">
        <f t="shared" si="6"/>
        <v>162.4</v>
      </c>
      <c r="O15" s="1304">
        <f t="shared" si="6"/>
        <v>179.31648000000001</v>
      </c>
      <c r="P15" s="1304">
        <f>SUM(P16:P25)</f>
        <v>176.70000000000002</v>
      </c>
      <c r="Q15" s="1304">
        <f t="shared" si="6"/>
        <v>60.7</v>
      </c>
      <c r="R15" s="1304">
        <f t="shared" si="6"/>
        <v>53.5</v>
      </c>
      <c r="S15" s="1304">
        <f t="shared" si="6"/>
        <v>42.7</v>
      </c>
      <c r="T15" s="1394">
        <f t="shared" si="6"/>
        <v>8.4</v>
      </c>
      <c r="U15" s="440">
        <f t="shared" si="6"/>
        <v>8.886000000000001</v>
      </c>
      <c r="V15" s="440">
        <f t="shared" si="6"/>
        <v>8.886000000000001</v>
      </c>
      <c r="W15" s="440">
        <f t="shared" si="6"/>
        <v>8.886000000000001</v>
      </c>
      <c r="X15" s="440">
        <f t="shared" si="6"/>
        <v>0.2</v>
      </c>
      <c r="Y15" s="440">
        <f t="shared" si="6"/>
        <v>0.2</v>
      </c>
      <c r="Z15" s="440">
        <f t="shared" si="6"/>
        <v>0.2</v>
      </c>
      <c r="AA15" s="440">
        <f t="shared" si="6"/>
        <v>0.2</v>
      </c>
      <c r="AB15" s="440">
        <f t="shared" si="6"/>
        <v>0</v>
      </c>
      <c r="AC15" s="460">
        <f t="shared" si="6"/>
        <v>0</v>
      </c>
    </row>
    <row r="16" spans="2:29" x14ac:dyDescent="0.35">
      <c r="B16" s="449" t="s">
        <v>145</v>
      </c>
      <c r="C16" s="53" t="s">
        <v>469</v>
      </c>
      <c r="D16" s="383"/>
      <c r="E16" s="1318"/>
      <c r="F16" s="1304"/>
      <c r="G16" s="1304"/>
      <c r="H16" s="1304">
        <f>'Haver Pivoted'!GS53</f>
        <v>0</v>
      </c>
      <c r="I16" s="1304">
        <f>'Haver Pivoted'!GT53</f>
        <v>0</v>
      </c>
      <c r="J16" s="1304">
        <f>'Haver Pivoted'!GU53</f>
        <v>16.899999999999999</v>
      </c>
      <c r="K16" s="1304">
        <f>'Haver Pivoted'!GV53</f>
        <v>18.399999999999999</v>
      </c>
      <c r="L16" s="1304">
        <f>'Haver Pivoted'!GW53</f>
        <v>46.2</v>
      </c>
      <c r="M16" s="1304">
        <f>'Haver Pivoted'!GX53</f>
        <v>0.9</v>
      </c>
      <c r="N16" s="1304">
        <f>'Haver Pivoted'!GY53</f>
        <v>14.1</v>
      </c>
      <c r="O16" s="1304">
        <f>'Haver Pivoted'!GZ53</f>
        <v>8.6</v>
      </c>
      <c r="P16" s="1304">
        <f>'Haver Pivoted'!HA53</f>
        <v>1.2</v>
      </c>
      <c r="Q16" s="1304">
        <f>'Haver Pivoted'!HB53</f>
        <v>0.6</v>
      </c>
      <c r="R16" s="1304">
        <f>'Haver Pivoted'!HC53</f>
        <v>0</v>
      </c>
      <c r="S16" s="1305">
        <f>'Haver Pivoted'!HD53</f>
        <v>0</v>
      </c>
      <c r="T16" s="278">
        <f>'Haver Pivoted'!HE53</f>
        <v>0</v>
      </c>
      <c r="U16" s="284"/>
      <c r="V16" s="441"/>
      <c r="W16" s="441"/>
      <c r="X16" s="441"/>
      <c r="Y16" s="441"/>
      <c r="Z16" s="439"/>
      <c r="AA16" s="439"/>
      <c r="AB16" s="439"/>
      <c r="AC16" s="454"/>
    </row>
    <row r="17" spans="2:29" x14ac:dyDescent="0.35">
      <c r="B17" s="449" t="s">
        <v>143</v>
      </c>
      <c r="C17" s="53" t="s">
        <v>470</v>
      </c>
      <c r="D17" s="383"/>
      <c r="E17" s="1318"/>
      <c r="F17" s="1304"/>
      <c r="G17" s="1304"/>
      <c r="H17" s="1304">
        <f>'Haver Pivoted'!GS51</f>
        <v>0</v>
      </c>
      <c r="I17" s="1304">
        <f>'Haver Pivoted'!GT51</f>
        <v>0</v>
      </c>
      <c r="J17" s="1304">
        <f>'Haver Pivoted'!GU51</f>
        <v>73.3</v>
      </c>
      <c r="K17" s="1304">
        <f>'Haver Pivoted'!GV51</f>
        <v>73.3</v>
      </c>
      <c r="L17" s="1304">
        <f>'Haver Pivoted'!GW51</f>
        <v>73.3</v>
      </c>
      <c r="M17" s="1304">
        <f>'Haver Pivoted'!GX51</f>
        <v>39.799999999999997</v>
      </c>
      <c r="N17" s="1304">
        <f>'Haver Pivoted'!GY51</f>
        <v>43</v>
      </c>
      <c r="O17" s="1304">
        <f>'Haver Pivoted'!GZ51</f>
        <v>45.7</v>
      </c>
      <c r="P17" s="1304">
        <f>'Haver Pivoted'!HA51</f>
        <v>51.5</v>
      </c>
      <c r="Q17" s="1304">
        <f>'Haver Pivoted'!HB51</f>
        <v>0</v>
      </c>
      <c r="R17" s="1304">
        <f>'Haver Pivoted'!HC51</f>
        <v>0</v>
      </c>
      <c r="S17" s="1305">
        <f>'Haver Pivoted'!HD51</f>
        <v>0</v>
      </c>
      <c r="T17" s="278">
        <f>'Haver Pivoted'!HE51</f>
        <v>0</v>
      </c>
      <c r="U17" s="284">
        <f t="shared" ref="T17:AC17" si="7">T17</f>
        <v>0</v>
      </c>
      <c r="V17" s="284">
        <f t="shared" si="7"/>
        <v>0</v>
      </c>
      <c r="W17" s="284">
        <f t="shared" si="7"/>
        <v>0</v>
      </c>
      <c r="X17" s="284">
        <f t="shared" si="7"/>
        <v>0</v>
      </c>
      <c r="Y17" s="284">
        <f t="shared" si="7"/>
        <v>0</v>
      </c>
      <c r="Z17" s="284">
        <f t="shared" si="7"/>
        <v>0</v>
      </c>
      <c r="AA17" s="284">
        <f t="shared" si="7"/>
        <v>0</v>
      </c>
      <c r="AB17" s="284">
        <f t="shared" si="7"/>
        <v>0</v>
      </c>
      <c r="AC17" s="359">
        <f t="shared" si="7"/>
        <v>0</v>
      </c>
    </row>
    <row r="18" spans="2:29" x14ac:dyDescent="0.35">
      <c r="B18" s="449" t="s">
        <v>142</v>
      </c>
      <c r="C18" s="50" t="s">
        <v>471</v>
      </c>
      <c r="D18" s="311"/>
      <c r="E18" s="1004"/>
      <c r="F18" s="1304"/>
      <c r="G18" s="1304"/>
      <c r="H18" s="1304">
        <f>'Haver Pivoted'!GS50</f>
        <v>0</v>
      </c>
      <c r="I18" s="1304">
        <f>'Haver Pivoted'!GT50</f>
        <v>0</v>
      </c>
      <c r="J18" s="1304">
        <f>'Haver Pivoted'!GU50</f>
        <v>63.8</v>
      </c>
      <c r="K18" s="1304">
        <f>'Haver Pivoted'!GV50</f>
        <v>15</v>
      </c>
      <c r="L18" s="1304">
        <f>'Haver Pivoted'!GW50</f>
        <v>0.1</v>
      </c>
      <c r="M18" s="1304">
        <f>'Haver Pivoted'!GX50</f>
        <v>38</v>
      </c>
      <c r="N18" s="1304">
        <f>'Haver Pivoted'!GY50</f>
        <v>47.3</v>
      </c>
      <c r="O18" s="1304">
        <f>'Haver Pivoted'!GZ50</f>
        <v>0.7</v>
      </c>
      <c r="P18" s="1304">
        <f>'Haver Pivoted'!HA50</f>
        <v>0</v>
      </c>
      <c r="Q18" s="1304">
        <f>'Haver Pivoted'!HB50</f>
        <v>0.3</v>
      </c>
      <c r="R18" s="1304">
        <f>'Haver Pivoted'!HC50</f>
        <v>0.2</v>
      </c>
      <c r="S18" s="1305">
        <f>'Haver Pivoted'!HD50</f>
        <v>0.3</v>
      </c>
      <c r="T18" s="278">
        <f>'Haver Pivoted'!HE50</f>
        <v>0</v>
      </c>
      <c r="U18" s="284">
        <f t="shared" ref="T18:AC18" si="8">U30</f>
        <v>0</v>
      </c>
      <c r="V18" s="284">
        <f t="shared" si="8"/>
        <v>0</v>
      </c>
      <c r="W18" s="284">
        <f t="shared" si="8"/>
        <v>0</v>
      </c>
      <c r="X18" s="284">
        <f t="shared" si="8"/>
        <v>0</v>
      </c>
      <c r="Y18" s="284">
        <f t="shared" si="8"/>
        <v>0</v>
      </c>
      <c r="Z18" s="284">
        <f t="shared" si="8"/>
        <v>0</v>
      </c>
      <c r="AA18" s="284">
        <f t="shared" si="8"/>
        <v>0</v>
      </c>
      <c r="AB18" s="284">
        <f t="shared" si="8"/>
        <v>0</v>
      </c>
      <c r="AC18" s="359">
        <f t="shared" si="8"/>
        <v>0</v>
      </c>
    </row>
    <row r="19" spans="2:29" x14ac:dyDescent="0.35">
      <c r="B19" s="449" t="s">
        <v>472</v>
      </c>
      <c r="C19" s="50" t="s">
        <v>357</v>
      </c>
      <c r="D19" s="311"/>
      <c r="E19" s="1004"/>
      <c r="F19" s="1304"/>
      <c r="G19" s="1304"/>
      <c r="H19" s="1304">
        <f>'Haver Pivoted'!GS54</f>
        <v>0</v>
      </c>
      <c r="I19" s="1304">
        <f>'Haver Pivoted'!GT54</f>
        <v>0</v>
      </c>
      <c r="J19" s="1304">
        <f>'Haver Pivoted'!GU54</f>
        <v>96.6</v>
      </c>
      <c r="K19" s="1304">
        <f>'Haver Pivoted'!GV54</f>
        <v>35.1</v>
      </c>
      <c r="L19" s="1304">
        <f>'Haver Pivoted'!GW54</f>
        <v>20.7</v>
      </c>
      <c r="M19" s="1304">
        <f>'Haver Pivoted'!GX54</f>
        <v>15.4</v>
      </c>
      <c r="N19" s="1304">
        <f>'Haver Pivoted'!GY54</f>
        <v>9.6</v>
      </c>
      <c r="O19" s="1304">
        <f>'Haver Pivoted'!GZ54</f>
        <v>13.5</v>
      </c>
      <c r="P19" s="1304">
        <f>'Haver Pivoted'!HA54</f>
        <v>23.2</v>
      </c>
      <c r="Q19" s="1304">
        <f>'Haver Pivoted'!HB54</f>
        <v>19.3</v>
      </c>
      <c r="R19" s="1304">
        <f>'Haver Pivoted'!HC54</f>
        <v>14.4</v>
      </c>
      <c r="S19" s="1305">
        <f>'Haver Pivoted'!HD54</f>
        <v>5.9</v>
      </c>
      <c r="T19" s="278">
        <f>'Haver Pivoted'!HE54</f>
        <v>0</v>
      </c>
      <c r="U19" s="284"/>
      <c r="V19" s="284"/>
      <c r="W19" s="284"/>
      <c r="X19" s="284"/>
      <c r="Y19" s="284"/>
      <c r="Z19" s="439"/>
      <c r="AA19" s="439"/>
      <c r="AB19" s="439"/>
      <c r="AC19" s="454"/>
    </row>
    <row r="20" spans="2:29" x14ac:dyDescent="0.35">
      <c r="B20" s="449" t="s">
        <v>144</v>
      </c>
      <c r="C20" s="50" t="s">
        <v>473</v>
      </c>
      <c r="D20" s="311"/>
      <c r="E20" s="1004"/>
      <c r="F20" s="1304"/>
      <c r="G20" s="1304"/>
      <c r="H20" s="1304">
        <f>'Haver Pivoted'!GS52</f>
        <v>0</v>
      </c>
      <c r="I20" s="1304">
        <f>'Haver Pivoted'!GT52</f>
        <v>0</v>
      </c>
      <c r="J20" s="1304">
        <f>'Haver Pivoted'!GU52</f>
        <v>22</v>
      </c>
      <c r="K20" s="1304">
        <f>'Haver Pivoted'!GV52</f>
        <v>25.3</v>
      </c>
      <c r="L20" s="1304">
        <f>'Haver Pivoted'!GW52</f>
        <v>11.8</v>
      </c>
      <c r="M20" s="1304">
        <f>'Haver Pivoted'!GX52</f>
        <v>11.9</v>
      </c>
      <c r="N20" s="1304">
        <f>'Haver Pivoted'!GY52</f>
        <v>11.3</v>
      </c>
      <c r="O20" s="1304">
        <f>'Haver Pivoted'!GZ52</f>
        <v>13.6</v>
      </c>
      <c r="P20" s="1304">
        <f>'Haver Pivoted'!HA52</f>
        <v>19</v>
      </c>
      <c r="Q20" s="1304">
        <f>'Haver Pivoted'!HB52</f>
        <v>21.8</v>
      </c>
      <c r="R20" s="1304">
        <f>'Haver Pivoted'!HC52</f>
        <v>22.3</v>
      </c>
      <c r="S20" s="1305">
        <f>'Haver Pivoted'!HD52</f>
        <v>20.2</v>
      </c>
      <c r="T20" s="278">
        <f>'Haver Pivoted'!HE52</f>
        <v>0</v>
      </c>
      <c r="U20" s="284">
        <f t="shared" ref="T20:AC20" si="9">U37</f>
        <v>0.48599999999999993</v>
      </c>
      <c r="V20" s="284">
        <f t="shared" si="9"/>
        <v>0.48599999999999993</v>
      </c>
      <c r="W20" s="284">
        <f t="shared" si="9"/>
        <v>0.48599999999999993</v>
      </c>
      <c r="X20" s="284">
        <f t="shared" si="9"/>
        <v>0</v>
      </c>
      <c r="Y20" s="284">
        <f t="shared" si="9"/>
        <v>0</v>
      </c>
      <c r="Z20" s="284">
        <f t="shared" si="9"/>
        <v>0</v>
      </c>
      <c r="AA20" s="284">
        <f t="shared" si="9"/>
        <v>0</v>
      </c>
      <c r="AB20" s="284">
        <f t="shared" si="9"/>
        <v>0</v>
      </c>
      <c r="AC20" s="359">
        <f t="shared" si="9"/>
        <v>0</v>
      </c>
    </row>
    <row r="21" spans="2:29" x14ac:dyDescent="0.35">
      <c r="B21" s="449" t="s">
        <v>148</v>
      </c>
      <c r="C21" s="50" t="s">
        <v>474</v>
      </c>
      <c r="D21" s="311"/>
      <c r="E21" s="1004"/>
      <c r="F21" s="1304"/>
      <c r="G21" s="1304"/>
      <c r="H21" s="1304">
        <f>'Haver Pivoted'!GS55</f>
        <v>0</v>
      </c>
      <c r="I21" s="1304">
        <f>'Haver Pivoted'!GT55</f>
        <v>0</v>
      </c>
      <c r="J21" s="1304">
        <f>'Haver Pivoted'!GU55</f>
        <v>140</v>
      </c>
      <c r="K21" s="1304">
        <f>'Haver Pivoted'!GV55</f>
        <v>140</v>
      </c>
      <c r="L21" s="1304">
        <f>'Haver Pivoted'!GW55</f>
        <v>140</v>
      </c>
      <c r="M21" s="1304">
        <f>'Haver Pivoted'!GX55</f>
        <v>4.8</v>
      </c>
      <c r="N21" s="1304">
        <f>'Haver Pivoted'!GY55</f>
        <v>4.4000000000000004</v>
      </c>
      <c r="O21" s="1304">
        <f>'Haver Pivoted'!GZ55</f>
        <v>5.3</v>
      </c>
      <c r="P21" s="1304">
        <f>'Haver Pivoted'!HA55</f>
        <v>4.7</v>
      </c>
      <c r="Q21" s="1304">
        <f>'Haver Pivoted'!HB55</f>
        <v>0</v>
      </c>
      <c r="R21" s="1304">
        <f>'Haver Pivoted'!HC55</f>
        <v>0</v>
      </c>
      <c r="S21" s="1305">
        <f>'Haver Pivoted'!HD55</f>
        <v>0</v>
      </c>
      <c r="T21" s="278">
        <f>'Haver Pivoted'!HE55</f>
        <v>0</v>
      </c>
      <c r="U21" s="284">
        <f t="shared" ref="T21:AC21" si="10">T21</f>
        <v>0</v>
      </c>
      <c r="V21" s="284">
        <f t="shared" si="10"/>
        <v>0</v>
      </c>
      <c r="W21" s="284">
        <f t="shared" si="10"/>
        <v>0</v>
      </c>
      <c r="X21" s="284">
        <f t="shared" si="10"/>
        <v>0</v>
      </c>
      <c r="Y21" s="284">
        <f t="shared" si="10"/>
        <v>0</v>
      </c>
      <c r="Z21" s="284">
        <f t="shared" si="10"/>
        <v>0</v>
      </c>
      <c r="AA21" s="284">
        <f t="shared" si="10"/>
        <v>0</v>
      </c>
      <c r="AB21" s="284">
        <f t="shared" si="10"/>
        <v>0</v>
      </c>
      <c r="AC21" s="359">
        <f t="shared" si="10"/>
        <v>0</v>
      </c>
    </row>
    <row r="22" spans="2:29" x14ac:dyDescent="0.35">
      <c r="B22" s="449" t="s">
        <v>475</v>
      </c>
      <c r="C22" s="50" t="s">
        <v>854</v>
      </c>
      <c r="D22" s="280"/>
      <c r="E22" s="1304"/>
      <c r="F22" s="1304"/>
      <c r="G22" s="1304"/>
      <c r="H22" s="1304"/>
      <c r="I22" s="1304"/>
      <c r="J22" s="1304"/>
      <c r="K22" s="1304"/>
      <c r="L22" s="1304"/>
      <c r="M22" s="1304"/>
      <c r="N22" s="1304">
        <f>'Haver Pivoted'!GY87</f>
        <v>11.3</v>
      </c>
      <c r="O22" s="1304">
        <f>'Haver Pivoted'!GZ87</f>
        <v>10.4</v>
      </c>
      <c r="P22" s="1304">
        <f>'Haver Pivoted'!HA87</f>
        <v>5.3</v>
      </c>
      <c r="Q22" s="1304">
        <f>'Haver Pivoted'!HB87</f>
        <v>2.4</v>
      </c>
      <c r="R22" s="1304">
        <f>'Haver Pivoted'!HC87</f>
        <v>0.3</v>
      </c>
      <c r="S22" s="1305">
        <f>'Haver Pivoted'!HD87</f>
        <v>0</v>
      </c>
      <c r="T22" s="278">
        <f>'Haver Pivoted'!HE87</f>
        <v>0</v>
      </c>
      <c r="U22" s="284">
        <v>0</v>
      </c>
      <c r="V22" s="284">
        <v>0</v>
      </c>
      <c r="W22" s="284">
        <v>0</v>
      </c>
      <c r="X22" s="284">
        <v>0</v>
      </c>
      <c r="Y22" s="284">
        <v>0</v>
      </c>
      <c r="Z22" s="284">
        <v>0</v>
      </c>
      <c r="AA22" s="284">
        <v>0</v>
      </c>
      <c r="AB22" s="284">
        <v>0</v>
      </c>
      <c r="AC22" s="359">
        <v>0</v>
      </c>
    </row>
    <row r="23" spans="2:29" x14ac:dyDescent="0.35">
      <c r="B23" s="449" t="s">
        <v>476</v>
      </c>
      <c r="C23" s="50" t="s">
        <v>853</v>
      </c>
      <c r="D23" s="311"/>
      <c r="E23" s="1004"/>
      <c r="F23" s="1304"/>
      <c r="G23" s="1389"/>
      <c r="H23" s="1304"/>
      <c r="I23" s="1304"/>
      <c r="J23" s="1304"/>
      <c r="K23" s="1304"/>
      <c r="L23" s="1304"/>
      <c r="M23" s="1304"/>
      <c r="N23" s="1304">
        <f>'Haver Pivoted'!GY86</f>
        <v>21.4</v>
      </c>
      <c r="O23" s="1304">
        <f>'Haver Pivoted'!GZ86</f>
        <v>57</v>
      </c>
      <c r="P23" s="1304">
        <f>'Haver Pivoted'!HA86</f>
        <v>35.5</v>
      </c>
      <c r="Q23" s="1304">
        <f>'Haver Pivoted'!HB86</f>
        <v>0</v>
      </c>
      <c r="R23" s="1304">
        <f>'Haver Pivoted'!HC86</f>
        <v>0</v>
      </c>
      <c r="S23" s="1305">
        <f>'Haver Pivoted'!HD86</f>
        <v>0</v>
      </c>
      <c r="T23" s="278">
        <f>'Haver Pivoted'!HE86</f>
        <v>0</v>
      </c>
      <c r="U23" s="284">
        <f t="shared" ref="T23:AC23" si="11">T23</f>
        <v>0</v>
      </c>
      <c r="V23" s="284">
        <f t="shared" si="11"/>
        <v>0</v>
      </c>
      <c r="W23" s="284">
        <f t="shared" si="11"/>
        <v>0</v>
      </c>
      <c r="X23" s="284">
        <f t="shared" si="11"/>
        <v>0</v>
      </c>
      <c r="Y23" s="284">
        <f t="shared" si="11"/>
        <v>0</v>
      </c>
      <c r="Z23" s="284">
        <f t="shared" si="11"/>
        <v>0</v>
      </c>
      <c r="AA23" s="284">
        <f t="shared" si="11"/>
        <v>0</v>
      </c>
      <c r="AB23" s="284">
        <f t="shared" si="11"/>
        <v>0</v>
      </c>
      <c r="AC23" s="359">
        <f t="shared" si="11"/>
        <v>0</v>
      </c>
    </row>
    <row r="24" spans="2:29" x14ac:dyDescent="0.35">
      <c r="B24" s="449" t="s">
        <v>477</v>
      </c>
      <c r="C24" s="50"/>
      <c r="D24" s="311"/>
      <c r="E24" s="1004"/>
      <c r="F24" s="1304"/>
      <c r="G24" s="1304"/>
      <c r="H24" s="1304"/>
      <c r="I24" s="1304"/>
      <c r="J24" s="1304"/>
      <c r="K24" s="1304"/>
      <c r="L24" s="1304"/>
      <c r="M24" s="1304"/>
      <c r="N24" s="1304"/>
      <c r="O24" s="1306">
        <f>O41+O42</f>
        <v>12.51648</v>
      </c>
      <c r="P24" s="1306">
        <f>P41+P42</f>
        <v>11.3</v>
      </c>
      <c r="Q24" s="1306">
        <f t="shared" ref="Q24:AC24" si="12">Q41+Q42</f>
        <v>11.3</v>
      </c>
      <c r="R24" s="1306">
        <f t="shared" si="12"/>
        <v>11.3</v>
      </c>
      <c r="S24" s="1306">
        <f t="shared" si="12"/>
        <v>11.3</v>
      </c>
      <c r="T24" s="1309">
        <f t="shared" si="12"/>
        <v>8.4</v>
      </c>
      <c r="U24" s="284">
        <f t="shared" si="12"/>
        <v>8.4</v>
      </c>
      <c r="V24" s="284">
        <f t="shared" si="12"/>
        <v>8.4</v>
      </c>
      <c r="W24" s="284">
        <f t="shared" si="12"/>
        <v>8.4</v>
      </c>
      <c r="X24" s="284">
        <f t="shared" si="12"/>
        <v>0.2</v>
      </c>
      <c r="Y24" s="284">
        <f t="shared" si="12"/>
        <v>0.2</v>
      </c>
      <c r="Z24" s="284">
        <f t="shared" si="12"/>
        <v>0.2</v>
      </c>
      <c r="AA24" s="284">
        <f t="shared" si="12"/>
        <v>0.2</v>
      </c>
      <c r="AB24" s="284">
        <f t="shared" si="12"/>
        <v>0</v>
      </c>
      <c r="AC24" s="359">
        <f t="shared" si="12"/>
        <v>0</v>
      </c>
    </row>
    <row r="25" spans="2:29" x14ac:dyDescent="0.35">
      <c r="B25" s="449" t="s">
        <v>478</v>
      </c>
      <c r="C25" s="50"/>
      <c r="D25" s="311"/>
      <c r="E25" s="1004"/>
      <c r="F25" s="1306"/>
      <c r="G25" s="1306"/>
      <c r="H25" s="1285"/>
      <c r="I25" s="1285"/>
      <c r="J25" s="1285"/>
      <c r="K25" s="1285"/>
      <c r="L25" s="1285"/>
      <c r="M25" s="1285"/>
      <c r="N25" s="1306"/>
      <c r="O25" s="1306">
        <f>O34</f>
        <v>12</v>
      </c>
      <c r="P25" s="1306">
        <v>25</v>
      </c>
      <c r="Q25" s="1306">
        <v>5</v>
      </c>
      <c r="R25" s="1306">
        <v>5</v>
      </c>
      <c r="S25" s="1306">
        <v>5</v>
      </c>
      <c r="T25" s="1309">
        <f t="shared" ref="T25:AC25" si="13">T34</f>
        <v>0</v>
      </c>
      <c r="U25" s="284">
        <f t="shared" si="13"/>
        <v>0</v>
      </c>
      <c r="V25" s="284">
        <f t="shared" si="13"/>
        <v>0</v>
      </c>
      <c r="W25" s="284">
        <f t="shared" si="13"/>
        <v>0</v>
      </c>
      <c r="X25" s="284">
        <f t="shared" si="13"/>
        <v>0</v>
      </c>
      <c r="Y25" s="284">
        <f t="shared" si="13"/>
        <v>0</v>
      </c>
      <c r="Z25" s="284">
        <f t="shared" si="13"/>
        <v>0</v>
      </c>
      <c r="AA25" s="284">
        <f t="shared" si="13"/>
        <v>0</v>
      </c>
      <c r="AB25" s="284">
        <f t="shared" si="13"/>
        <v>0</v>
      </c>
      <c r="AC25" s="359">
        <f t="shared" si="13"/>
        <v>0</v>
      </c>
    </row>
    <row r="26" spans="2:29" x14ac:dyDescent="0.35">
      <c r="B26" s="447" t="s">
        <v>1475</v>
      </c>
      <c r="C26" s="50"/>
      <c r="D26" s="311"/>
      <c r="E26" s="1004"/>
      <c r="F26" s="1306"/>
      <c r="G26" s="1306"/>
      <c r="H26" s="1285"/>
      <c r="I26" s="1285"/>
      <c r="J26" s="1285"/>
      <c r="K26" s="1285"/>
      <c r="L26" s="1285"/>
      <c r="M26" s="1285"/>
      <c r="N26" s="1306"/>
      <c r="O26" s="1306"/>
      <c r="P26" s="1306"/>
      <c r="Q26" s="1306"/>
      <c r="R26" s="1306"/>
      <c r="S26" s="1390">
        <f>'IRA and CHIPS'!E198</f>
        <v>0</v>
      </c>
      <c r="T26" s="1395">
        <f>'IRA and CHIPS'!F198</f>
        <v>2.3250000000000002</v>
      </c>
      <c r="U26" s="442">
        <f>'IRA and CHIPS'!G198</f>
        <v>2.3250000000000002</v>
      </c>
      <c r="V26" s="442">
        <f>'IRA and CHIPS'!H198</f>
        <v>2.3250000000000002</v>
      </c>
      <c r="W26" s="442">
        <f>'IRA and CHIPS'!I198</f>
        <v>2.3250000000000002</v>
      </c>
      <c r="X26" s="442">
        <f>'IRA and CHIPS'!J198</f>
        <v>5.5830000000000002</v>
      </c>
      <c r="Y26" s="442">
        <f>'IRA and CHIPS'!K198</f>
        <v>5.5830000000000002</v>
      </c>
      <c r="Z26" s="442">
        <f>'IRA and CHIPS'!L198</f>
        <v>5.5830000000000002</v>
      </c>
      <c r="AA26" s="442">
        <f>'IRA and CHIPS'!M198</f>
        <v>5.5830000000000002</v>
      </c>
      <c r="AB26" s="442">
        <f>'IRA and CHIPS'!N198</f>
        <v>8.0220000000000002</v>
      </c>
      <c r="AC26" s="443">
        <f>'IRA and CHIPS'!O198</f>
        <v>8.0220000000000002</v>
      </c>
    </row>
    <row r="27" spans="2:29" x14ac:dyDescent="0.35">
      <c r="B27" s="447" t="s">
        <v>1282</v>
      </c>
      <c r="C27" s="315"/>
      <c r="D27" s="313"/>
      <c r="E27" s="315"/>
      <c r="F27" s="320"/>
      <c r="G27" s="320"/>
      <c r="H27" s="1381"/>
      <c r="I27" s="1381"/>
      <c r="J27" s="1381"/>
      <c r="K27" s="1381"/>
      <c r="L27" s="1381"/>
      <c r="M27" s="1381"/>
      <c r="N27" s="320"/>
      <c r="O27" s="320"/>
      <c r="P27" s="320"/>
      <c r="Q27" s="320"/>
      <c r="R27" s="320"/>
      <c r="S27" s="1396">
        <f>'IRA and CHIPS'!E187</f>
        <v>0</v>
      </c>
      <c r="T27" s="1397">
        <f>'IRA and CHIPS'!F187</f>
        <v>1.2969999999999999</v>
      </c>
      <c r="U27" s="448">
        <f>'IRA and CHIPS'!G187</f>
        <v>1.2969999999999999</v>
      </c>
      <c r="V27" s="448">
        <f>'IRA and CHIPS'!H187</f>
        <v>1.2969999999999999</v>
      </c>
      <c r="W27" s="448">
        <f>'IRA and CHIPS'!I187</f>
        <v>1.2969999999999999</v>
      </c>
      <c r="X27" s="448">
        <f>'IRA and CHIPS'!J187</f>
        <v>3.8479999999999999</v>
      </c>
      <c r="Y27" s="448">
        <f>'IRA and CHIPS'!K187</f>
        <v>3.8479999999999999</v>
      </c>
      <c r="Z27" s="448">
        <f>'IRA and CHIPS'!L187</f>
        <v>3.8479999999999999</v>
      </c>
      <c r="AA27" s="448">
        <f>'IRA and CHIPS'!M187</f>
        <v>3.8479999999999999</v>
      </c>
      <c r="AB27" s="448">
        <f>'IRA and CHIPS'!N187</f>
        <v>6.4420000000000002</v>
      </c>
      <c r="AC27" s="444">
        <f>'IRA and CHIPS'!O187</f>
        <v>6.4420000000000002</v>
      </c>
    </row>
    <row r="28" spans="2:29" ht="15" customHeight="1" x14ac:dyDescent="0.35">
      <c r="B28" s="1185" t="s">
        <v>479</v>
      </c>
      <c r="C28" s="1186"/>
      <c r="D28" s="1053"/>
      <c r="E28" s="1384"/>
      <c r="F28" s="1384"/>
      <c r="G28" s="1384"/>
      <c r="H28" s="1306"/>
      <c r="I28" s="1306"/>
      <c r="J28" s="1306"/>
      <c r="K28" s="1306"/>
      <c r="L28" s="1306"/>
      <c r="M28" s="1306"/>
      <c r="N28" s="1306"/>
      <c r="O28" s="1306"/>
      <c r="P28" s="1385"/>
      <c r="Q28" s="1306"/>
      <c r="R28" s="1306"/>
      <c r="S28" s="1306"/>
      <c r="T28" s="1309"/>
      <c r="U28" s="284"/>
      <c r="V28" s="439"/>
      <c r="W28" s="439"/>
      <c r="X28" s="439"/>
      <c r="Y28" s="439"/>
      <c r="Z28" s="439"/>
      <c r="AA28" s="439"/>
      <c r="AB28" s="439"/>
      <c r="AC28" s="454"/>
    </row>
    <row r="29" spans="2:29" x14ac:dyDescent="0.35">
      <c r="B29" s="371" t="s">
        <v>480</v>
      </c>
      <c r="C29" s="173"/>
      <c r="D29" s="182"/>
      <c r="E29" s="1380"/>
      <c r="F29" s="1285"/>
      <c r="G29" s="1285"/>
      <c r="H29" s="1306"/>
      <c r="I29" s="1306"/>
      <c r="J29" s="1306"/>
      <c r="K29" s="1306"/>
      <c r="L29" s="1306"/>
      <c r="M29" s="1306"/>
      <c r="N29" s="1306">
        <f>SUM(N30:N34)</f>
        <v>23</v>
      </c>
      <c r="O29" s="1306">
        <f>SUM(O30:O34)</f>
        <v>162</v>
      </c>
      <c r="P29" s="1306"/>
      <c r="Q29" s="1306"/>
      <c r="R29" s="1306"/>
      <c r="S29" s="1306"/>
      <c r="T29" s="1309"/>
      <c r="U29" s="284"/>
      <c r="V29" s="439"/>
      <c r="W29" s="439"/>
      <c r="X29" s="439"/>
      <c r="Y29" s="439"/>
      <c r="Z29" s="439"/>
      <c r="AA29" s="439"/>
      <c r="AB29" s="439"/>
      <c r="AC29" s="454"/>
    </row>
    <row r="30" spans="2:29" x14ac:dyDescent="0.35">
      <c r="B30" s="369" t="s">
        <v>481</v>
      </c>
      <c r="C30" s="173"/>
      <c r="D30" s="182"/>
      <c r="E30" s="1380"/>
      <c r="F30" s="1285"/>
      <c r="G30" s="1285"/>
      <c r="H30" s="1306"/>
      <c r="I30" s="1306"/>
      <c r="J30" s="1306"/>
      <c r="K30" s="1306"/>
      <c r="L30" s="1371"/>
      <c r="M30" s="1306"/>
      <c r="N30" s="1306">
        <f>(4*'Response and Relief Act Score'!$F$15-$M$18)/2</f>
        <v>11</v>
      </c>
      <c r="O30" s="1306">
        <f>(4*'Response and Relief Act Score'!$F$15-$M$18)/2</f>
        <v>11</v>
      </c>
      <c r="P30" s="1306"/>
      <c r="Q30" s="1306"/>
      <c r="R30" s="1306"/>
      <c r="S30" s="1306"/>
      <c r="T30" s="1309"/>
      <c r="U30" s="284"/>
      <c r="V30" s="439"/>
      <c r="W30" s="439"/>
      <c r="X30" s="439"/>
      <c r="Y30" s="439"/>
      <c r="Z30" s="439"/>
      <c r="AA30" s="439"/>
      <c r="AB30" s="439"/>
      <c r="AC30" s="454"/>
    </row>
    <row r="31" spans="2:29" x14ac:dyDescent="0.35">
      <c r="B31" s="369" t="s">
        <v>478</v>
      </c>
      <c r="C31" s="173"/>
      <c r="D31" s="182"/>
      <c r="E31" s="1380"/>
      <c r="F31" s="1285"/>
      <c r="G31" s="1285"/>
      <c r="H31" s="1306"/>
      <c r="I31" s="1306"/>
      <c r="J31" s="1306"/>
      <c r="K31" s="1306"/>
      <c r="L31" s="1371"/>
      <c r="M31" s="1306"/>
      <c r="N31" s="1306"/>
      <c r="O31" s="1306"/>
      <c r="P31" s="1306"/>
      <c r="Q31" s="1306"/>
      <c r="R31" s="1306"/>
      <c r="S31" s="1306"/>
      <c r="T31" s="1309"/>
      <c r="U31" s="284"/>
      <c r="V31" s="439"/>
      <c r="W31" s="439"/>
      <c r="X31" s="439"/>
      <c r="Y31" s="439"/>
      <c r="Z31" s="439"/>
      <c r="AA31" s="439"/>
      <c r="AB31" s="439"/>
      <c r="AC31" s="454"/>
    </row>
    <row r="32" spans="2:29" x14ac:dyDescent="0.35">
      <c r="B32" s="455" t="s">
        <v>475</v>
      </c>
      <c r="C32" s="173"/>
      <c r="D32" s="182"/>
      <c r="E32" s="1380"/>
      <c r="F32" s="1285"/>
      <c r="G32" s="1285"/>
      <c r="H32" s="1306"/>
      <c r="I32" s="1306"/>
      <c r="J32" s="1306"/>
      <c r="K32" s="1306"/>
      <c r="L32" s="1306"/>
      <c r="M32" s="1306"/>
      <c r="N32" s="1306"/>
      <c r="O32" s="1306">
        <v>79</v>
      </c>
      <c r="P32" s="1306"/>
      <c r="Q32" s="1386"/>
      <c r="R32" s="1386"/>
      <c r="S32" s="1386"/>
      <c r="T32" s="1387"/>
      <c r="U32" s="363"/>
      <c r="V32" s="439"/>
      <c r="W32" s="439"/>
      <c r="X32" s="439"/>
      <c r="Y32" s="439"/>
      <c r="Z32" s="439"/>
      <c r="AA32" s="439"/>
      <c r="AB32" s="439"/>
      <c r="AC32" s="454"/>
    </row>
    <row r="33" spans="1:78" x14ac:dyDescent="0.35">
      <c r="B33" s="456" t="s">
        <v>482</v>
      </c>
      <c r="C33" s="173"/>
      <c r="D33" s="182"/>
      <c r="E33" s="1380"/>
      <c r="F33" s="1285"/>
      <c r="G33" s="1285"/>
      <c r="H33" s="1306"/>
      <c r="I33" s="1306"/>
      <c r="J33" s="1306"/>
      <c r="K33" s="1306"/>
      <c r="L33" s="1306"/>
      <c r="M33" s="1306"/>
      <c r="N33" s="1306"/>
      <c r="O33" s="1306">
        <f>'Response and Relief Act Score'!F13*4</f>
        <v>60</v>
      </c>
      <c r="P33" s="1306"/>
      <c r="Q33" s="1386"/>
      <c r="R33" s="1386"/>
      <c r="S33" s="1386"/>
      <c r="T33" s="1387"/>
      <c r="U33" s="363"/>
      <c r="V33" s="439"/>
      <c r="W33" s="439"/>
      <c r="X33" s="439"/>
      <c r="Y33" s="439"/>
      <c r="Z33" s="439"/>
      <c r="AA33" s="439"/>
      <c r="AB33" s="439"/>
      <c r="AC33" s="454"/>
    </row>
    <row r="34" spans="1:78" ht="27.65" customHeight="1" x14ac:dyDescent="0.35">
      <c r="B34" s="456" t="s">
        <v>483</v>
      </c>
      <c r="C34" s="173"/>
      <c r="D34" s="405"/>
      <c r="E34" s="420"/>
      <c r="F34" s="1381"/>
      <c r="G34" s="1381"/>
      <c r="H34" s="320"/>
      <c r="I34" s="320"/>
      <c r="J34" s="320"/>
      <c r="K34" s="320"/>
      <c r="L34" s="1382"/>
      <c r="M34" s="320"/>
      <c r="N34" s="320">
        <f>'Response and Relief Act Score'!F14*4/2</f>
        <v>12</v>
      </c>
      <c r="O34" s="320">
        <f>'Response and Relief Act Score'!F14*4/2</f>
        <v>12</v>
      </c>
      <c r="P34" s="320"/>
      <c r="Q34" s="320"/>
      <c r="R34" s="320"/>
      <c r="S34" s="320"/>
      <c r="T34" s="1383"/>
      <c r="U34" s="284"/>
      <c r="V34" s="439"/>
      <c r="W34" s="439"/>
      <c r="X34" s="439"/>
      <c r="Y34" s="439"/>
      <c r="Z34" s="439"/>
      <c r="AA34" s="439"/>
      <c r="AB34" s="439"/>
      <c r="AC34" s="454"/>
    </row>
    <row r="35" spans="1:78" ht="15" customHeight="1" x14ac:dyDescent="0.35">
      <c r="B35" s="1183" t="s">
        <v>484</v>
      </c>
      <c r="C35" s="1184"/>
      <c r="D35" s="182"/>
      <c r="E35" s="1380"/>
      <c r="F35" s="1285"/>
      <c r="G35" s="1285"/>
      <c r="H35" s="1306"/>
      <c r="I35" s="1306"/>
      <c r="J35" s="1306"/>
      <c r="K35" s="1306"/>
      <c r="L35" s="1371"/>
      <c r="M35" s="1306"/>
      <c r="N35" s="1306"/>
      <c r="O35" s="1306"/>
      <c r="P35" s="1306"/>
      <c r="Q35" s="1306"/>
      <c r="R35" s="1306"/>
      <c r="S35" s="1306"/>
      <c r="T35" s="1309"/>
      <c r="U35" s="458"/>
      <c r="V35" s="459"/>
      <c r="W35" s="459"/>
      <c r="X35" s="459"/>
      <c r="Y35" s="459"/>
      <c r="Z35" s="459"/>
      <c r="AA35" s="459"/>
      <c r="AB35" s="459"/>
      <c r="AC35" s="195"/>
    </row>
    <row r="36" spans="1:78" ht="13.5" customHeight="1" x14ac:dyDescent="0.35">
      <c r="B36" s="456" t="s">
        <v>143</v>
      </c>
      <c r="C36" s="173"/>
      <c r="D36" s="182"/>
      <c r="E36" s="1380"/>
      <c r="F36" s="1285"/>
      <c r="G36" s="1285"/>
      <c r="H36" s="1306"/>
      <c r="I36" s="1306"/>
      <c r="J36" s="1306"/>
      <c r="K36" s="1306"/>
      <c r="L36" s="1371"/>
      <c r="M36" s="1306">
        <f>'ARP Quarterly'!C18</f>
        <v>0</v>
      </c>
      <c r="N36" s="1306">
        <f>'ARP Quarterly'!D18</f>
        <v>2.2132800000000001</v>
      </c>
      <c r="O36" s="1306">
        <f>'ARP Quarterly'!E18</f>
        <v>10.082720000000002</v>
      </c>
      <c r="P36" s="1306">
        <f>'ARP Quarterly'!F18</f>
        <v>7.1439999999999992</v>
      </c>
      <c r="Q36" s="1306">
        <f>'ARP Quarterly'!G18</f>
        <v>7.1439999999999992</v>
      </c>
      <c r="R36" s="1306">
        <f>'ARP Quarterly'!H18</f>
        <v>7.1439999999999992</v>
      </c>
      <c r="S36" s="1306">
        <f>'ARP Quarterly'!I18</f>
        <v>7.1439999999999992</v>
      </c>
      <c r="T36" s="1309">
        <f>'ARP Quarterly'!J18</f>
        <v>0</v>
      </c>
      <c r="U36" s="284">
        <f>'ARP Quarterly'!K18</f>
        <v>0</v>
      </c>
      <c r="V36" s="284">
        <f>'ARP Quarterly'!L18</f>
        <v>0</v>
      </c>
      <c r="W36" s="284">
        <f>'ARP Quarterly'!M18</f>
        <v>0</v>
      </c>
      <c r="X36" s="284">
        <f>'ARP Quarterly'!N18</f>
        <v>0</v>
      </c>
      <c r="Y36" s="284">
        <f>'ARP Quarterly'!O18</f>
        <v>0</v>
      </c>
      <c r="Z36" s="284">
        <f>'ARP Quarterly'!P18</f>
        <v>0</v>
      </c>
      <c r="AA36" s="284">
        <f>'ARP Quarterly'!Q18</f>
        <v>0</v>
      </c>
      <c r="AB36" s="284">
        <f>'ARP Quarterly'!R18</f>
        <v>0</v>
      </c>
      <c r="AC36" s="359">
        <f>'ARP Quarterly'!S18</f>
        <v>0</v>
      </c>
    </row>
    <row r="37" spans="1:78" x14ac:dyDescent="0.35">
      <c r="B37" s="456" t="s">
        <v>485</v>
      </c>
      <c r="C37" s="173"/>
      <c r="D37" s="182"/>
      <c r="E37" s="1380"/>
      <c r="F37" s="1285"/>
      <c r="G37" s="1285"/>
      <c r="H37" s="1306"/>
      <c r="I37" s="1306"/>
      <c r="J37" s="1306"/>
      <c r="K37" s="1306"/>
      <c r="L37" s="1371"/>
      <c r="M37" s="1306">
        <f>'ARP Quarterly'!C19</f>
        <v>0</v>
      </c>
      <c r="N37" s="1306">
        <f>'ARP Quarterly'!D19</f>
        <v>15.128640000000001</v>
      </c>
      <c r="O37" s="1306">
        <f>'ARP Quarterly'!E19</f>
        <v>68.919360000000012</v>
      </c>
      <c r="P37" s="1306">
        <f>'ARP Quarterly'!F19</f>
        <v>5.6120000000000001</v>
      </c>
      <c r="Q37" s="1306">
        <f>'ARP Quarterly'!G19</f>
        <v>5.6120000000000001</v>
      </c>
      <c r="R37" s="1306">
        <f>'ARP Quarterly'!H19</f>
        <v>5.6120000000000001</v>
      </c>
      <c r="S37" s="1306">
        <f>'ARP Quarterly'!I19</f>
        <v>5.6120000000000001</v>
      </c>
      <c r="T37" s="1309">
        <f>'ARP Quarterly'!J19</f>
        <v>0.48599999999999993</v>
      </c>
      <c r="U37" s="284">
        <f>'ARP Quarterly'!K19</f>
        <v>0.48599999999999993</v>
      </c>
      <c r="V37" s="284">
        <f>'ARP Quarterly'!L19</f>
        <v>0.48599999999999993</v>
      </c>
      <c r="W37" s="284">
        <f>'ARP Quarterly'!M19</f>
        <v>0.48599999999999993</v>
      </c>
      <c r="X37" s="284">
        <f>'ARP Quarterly'!N19</f>
        <v>0</v>
      </c>
      <c r="Y37" s="284">
        <f>'ARP Quarterly'!O19</f>
        <v>0</v>
      </c>
      <c r="Z37" s="284">
        <f>'ARP Quarterly'!P19</f>
        <v>0</v>
      </c>
      <c r="AA37" s="284">
        <f>'ARP Quarterly'!Q19</f>
        <v>0</v>
      </c>
      <c r="AB37" s="284">
        <f>'ARP Quarterly'!R19</f>
        <v>0</v>
      </c>
      <c r="AC37" s="359">
        <f>'ARP Quarterly'!S19</f>
        <v>0</v>
      </c>
    </row>
    <row r="38" spans="1:78" x14ac:dyDescent="0.35">
      <c r="B38" s="456" t="s">
        <v>148</v>
      </c>
      <c r="C38" s="173"/>
      <c r="D38" s="182"/>
      <c r="E38" s="1380"/>
      <c r="F38" s="1285"/>
      <c r="G38" s="1285"/>
      <c r="H38" s="1306"/>
      <c r="I38" s="1306"/>
      <c r="J38" s="1306"/>
      <c r="K38" s="1306"/>
      <c r="L38" s="1371"/>
      <c r="M38" s="1306">
        <f>'ARP Quarterly'!C20</f>
        <v>0</v>
      </c>
      <c r="N38" s="1306">
        <f>'ARP Quarterly'!D20</f>
        <v>3.2479199999999997</v>
      </c>
      <c r="O38" s="1306">
        <f>'ARP Quarterly'!E20</f>
        <v>14.796080000000002</v>
      </c>
      <c r="P38" s="1306">
        <f>'ARP Quarterly'!F20</f>
        <v>1.7329999999999999</v>
      </c>
      <c r="Q38" s="1306">
        <f>'ARP Quarterly'!G20</f>
        <v>1.7329999999999999</v>
      </c>
      <c r="R38" s="1306">
        <f>'ARP Quarterly'!H20</f>
        <v>1.7329999999999999</v>
      </c>
      <c r="S38" s="1306">
        <f>'ARP Quarterly'!I20</f>
        <v>1.7329999999999999</v>
      </c>
      <c r="T38" s="1309">
        <f>'ARP Quarterly'!J20</f>
        <v>0</v>
      </c>
      <c r="U38" s="284">
        <f>'ARP Quarterly'!K20</f>
        <v>0</v>
      </c>
      <c r="V38" s="284">
        <f>'ARP Quarterly'!L20</f>
        <v>0</v>
      </c>
      <c r="W38" s="284">
        <f>'ARP Quarterly'!M20</f>
        <v>0</v>
      </c>
      <c r="X38" s="284">
        <f>'ARP Quarterly'!N20</f>
        <v>0</v>
      </c>
      <c r="Y38" s="284">
        <f>'ARP Quarterly'!O20</f>
        <v>0</v>
      </c>
      <c r="Z38" s="284">
        <f>'ARP Quarterly'!P20</f>
        <v>0</v>
      </c>
      <c r="AA38" s="284">
        <f>'ARP Quarterly'!Q20</f>
        <v>0</v>
      </c>
      <c r="AB38" s="284">
        <f>'ARP Quarterly'!R20</f>
        <v>0</v>
      </c>
      <c r="AC38" s="359">
        <f>'ARP Quarterly'!S20</f>
        <v>0</v>
      </c>
    </row>
    <row r="39" spans="1:78" x14ac:dyDescent="0.35">
      <c r="B39" s="456" t="s">
        <v>475</v>
      </c>
      <c r="C39" s="173"/>
      <c r="D39" s="182"/>
      <c r="E39" s="1380"/>
      <c r="F39" s="1285"/>
      <c r="G39" s="1285"/>
      <c r="H39" s="1306"/>
      <c r="I39" s="1306"/>
      <c r="J39" s="1306"/>
      <c r="K39" s="1306"/>
      <c r="L39" s="1371"/>
      <c r="M39" s="1306">
        <f>'ARP Quarterly'!C21</f>
        <v>0</v>
      </c>
      <c r="N39" s="1306">
        <f>'ARP Quarterly'!D21</f>
        <v>13.2921</v>
      </c>
      <c r="O39" s="1306">
        <f>'ARP Quarterly'!E21</f>
        <v>60.552900000000008</v>
      </c>
      <c r="P39" s="1306">
        <f>'ARP Quarterly'!F21</f>
        <v>1.0687500000000001</v>
      </c>
      <c r="Q39" s="1306">
        <f>'ARP Quarterly'!G21</f>
        <v>1.0687500000000001</v>
      </c>
      <c r="R39" s="1306">
        <f>'ARP Quarterly'!H21</f>
        <v>1.0687500000000001</v>
      </c>
      <c r="S39" s="1306">
        <f>'ARP Quarterly'!I21</f>
        <v>1.0687500000000001</v>
      </c>
      <c r="T39" s="1309">
        <f>'ARP Quarterly'!J21</f>
        <v>0.78750000000000009</v>
      </c>
      <c r="U39" s="284">
        <f>'ARP Quarterly'!K21</f>
        <v>0.78750000000000009</v>
      </c>
      <c r="V39" s="284">
        <f>'ARP Quarterly'!L21</f>
        <v>0.78750000000000009</v>
      </c>
      <c r="W39" s="284">
        <f>'ARP Quarterly'!M21</f>
        <v>0.78750000000000009</v>
      </c>
      <c r="X39" s="284">
        <f>'ARP Quarterly'!N21</f>
        <v>0</v>
      </c>
      <c r="Y39" s="284">
        <f>'ARP Quarterly'!O21</f>
        <v>0</v>
      </c>
      <c r="Z39" s="284">
        <f>'ARP Quarterly'!P21</f>
        <v>0</v>
      </c>
      <c r="AA39" s="284">
        <f>'ARP Quarterly'!Q21</f>
        <v>0</v>
      </c>
      <c r="AB39" s="284">
        <f>'ARP Quarterly'!R21</f>
        <v>0</v>
      </c>
      <c r="AC39" s="359">
        <f>'ARP Quarterly'!S21</f>
        <v>0</v>
      </c>
    </row>
    <row r="40" spans="1:78" ht="30" customHeight="1" x14ac:dyDescent="0.35">
      <c r="B40" s="456" t="s">
        <v>486</v>
      </c>
      <c r="C40" s="173"/>
      <c r="D40" s="182"/>
      <c r="E40" s="1380"/>
      <c r="F40" s="1285"/>
      <c r="G40" s="1285"/>
      <c r="H40" s="1306"/>
      <c r="I40" s="1306"/>
      <c r="J40" s="1306"/>
      <c r="K40" s="1306"/>
      <c r="L40" s="1371"/>
      <c r="M40" s="1306">
        <f>'ARP Quarterly'!C22</f>
        <v>0</v>
      </c>
      <c r="N40" s="1306">
        <f>'ARP Quarterly'!D22</f>
        <v>22.153499999999998</v>
      </c>
      <c r="O40" s="1306">
        <f>'ARP Quarterly'!E22</f>
        <v>100.92150000000002</v>
      </c>
      <c r="P40" s="1306">
        <f>'ARP Quarterly'!F22</f>
        <v>1.7812500000000002</v>
      </c>
      <c r="Q40" s="1306">
        <f>'ARP Quarterly'!G22</f>
        <v>1.7812500000000002</v>
      </c>
      <c r="R40" s="1306">
        <f>'ARP Quarterly'!H22</f>
        <v>1.7812500000000002</v>
      </c>
      <c r="S40" s="1306">
        <f>'ARP Quarterly'!I22</f>
        <v>1.7812500000000002</v>
      </c>
      <c r="T40" s="1309">
        <f>'ARP Quarterly'!J22</f>
        <v>1.3125000000000002</v>
      </c>
      <c r="U40" s="284">
        <f>'ARP Quarterly'!K22</f>
        <v>1.3125000000000002</v>
      </c>
      <c r="V40" s="284">
        <f>'ARP Quarterly'!L22</f>
        <v>1.3125000000000002</v>
      </c>
      <c r="W40" s="284">
        <f>'ARP Quarterly'!M22</f>
        <v>1.3125000000000002</v>
      </c>
      <c r="X40" s="284">
        <f>'ARP Quarterly'!N22</f>
        <v>0</v>
      </c>
      <c r="Y40" s="284">
        <f>'ARP Quarterly'!O22</f>
        <v>0</v>
      </c>
      <c r="Z40" s="284">
        <f>'ARP Quarterly'!P22</f>
        <v>0</v>
      </c>
      <c r="AA40" s="284">
        <f>'ARP Quarterly'!Q22</f>
        <v>0</v>
      </c>
      <c r="AB40" s="284">
        <f>'ARP Quarterly'!R22</f>
        <v>0</v>
      </c>
      <c r="AC40" s="359">
        <f>'ARP Quarterly'!S22</f>
        <v>0</v>
      </c>
    </row>
    <row r="41" spans="1:78" x14ac:dyDescent="0.35">
      <c r="B41" s="456" t="s">
        <v>487</v>
      </c>
      <c r="C41" s="173"/>
      <c r="D41" s="182"/>
      <c r="E41" s="1380"/>
      <c r="F41" s="1285"/>
      <c r="G41" s="1285"/>
      <c r="H41" s="1306"/>
      <c r="I41" s="1306"/>
      <c r="J41" s="1306"/>
      <c r="K41" s="1306"/>
      <c r="L41" s="1371"/>
      <c r="M41" s="1306">
        <f>'ARP Quarterly'!C23</f>
        <v>0</v>
      </c>
      <c r="N41" s="1306">
        <f>'ARP Quarterly'!D23</f>
        <v>2.9519999999999995</v>
      </c>
      <c r="O41" s="1306">
        <f>'ARP Quarterly'!E23</f>
        <v>13.448</v>
      </c>
      <c r="P41" s="1306">
        <f>'ARP Quarterly'!F23</f>
        <v>11.3</v>
      </c>
      <c r="Q41" s="1306">
        <f>'ARP Quarterly'!G23</f>
        <v>11.3</v>
      </c>
      <c r="R41" s="1306">
        <f>'ARP Quarterly'!H23</f>
        <v>11.3</v>
      </c>
      <c r="S41" s="1306">
        <f>'ARP Quarterly'!I23</f>
        <v>11.3</v>
      </c>
      <c r="T41" s="1309">
        <f>'ARP Quarterly'!J23</f>
        <v>8.4</v>
      </c>
      <c r="U41" s="284">
        <f>'ARP Quarterly'!K23</f>
        <v>8.4</v>
      </c>
      <c r="V41" s="284">
        <f>'ARP Quarterly'!L23</f>
        <v>8.4</v>
      </c>
      <c r="W41" s="284">
        <f>'ARP Quarterly'!M23</f>
        <v>8.4</v>
      </c>
      <c r="X41" s="284">
        <f>'ARP Quarterly'!N23</f>
        <v>0.2</v>
      </c>
      <c r="Y41" s="284">
        <f>'ARP Quarterly'!O23</f>
        <v>0.2</v>
      </c>
      <c r="Z41" s="284">
        <f>'ARP Quarterly'!P23</f>
        <v>0.2</v>
      </c>
      <c r="AA41" s="284">
        <f>'ARP Quarterly'!Q23</f>
        <v>0.2</v>
      </c>
      <c r="AB41" s="284">
        <f>'ARP Quarterly'!R23</f>
        <v>0</v>
      </c>
      <c r="AC41" s="359">
        <f>'ARP Quarterly'!S23</f>
        <v>0</v>
      </c>
    </row>
    <row r="42" spans="1:78" x14ac:dyDescent="0.35">
      <c r="B42" s="456" t="s">
        <v>488</v>
      </c>
      <c r="C42" s="173"/>
      <c r="D42" s="182"/>
      <c r="E42" s="1380"/>
      <c r="F42" s="1285"/>
      <c r="G42" s="1285"/>
      <c r="H42" s="1306"/>
      <c r="I42" s="1306"/>
      <c r="J42" s="1306"/>
      <c r="K42" s="1306"/>
      <c r="L42" s="1371"/>
      <c r="M42" s="1306">
        <f>'ARP Quarterly'!C24</f>
        <v>0</v>
      </c>
      <c r="N42" s="1306">
        <f>'ARP Quarterly'!D24</f>
        <v>-0.20447999999999997</v>
      </c>
      <c r="O42" s="1306">
        <f>'ARP Quarterly'!E24</f>
        <v>-0.93152000000000001</v>
      </c>
      <c r="P42" s="1306">
        <v>0</v>
      </c>
      <c r="Q42" s="1306">
        <v>0</v>
      </c>
      <c r="R42" s="1306">
        <v>0</v>
      </c>
      <c r="S42" s="1306">
        <v>0</v>
      </c>
      <c r="T42" s="1309">
        <v>0</v>
      </c>
      <c r="U42" s="284">
        <v>0</v>
      </c>
      <c r="V42" s="284">
        <v>0</v>
      </c>
      <c r="W42" s="284">
        <v>0</v>
      </c>
      <c r="X42" s="284">
        <v>0</v>
      </c>
      <c r="Y42" s="284">
        <v>0</v>
      </c>
      <c r="Z42" s="284">
        <v>0</v>
      </c>
      <c r="AA42" s="284">
        <v>0</v>
      </c>
      <c r="AB42" s="284">
        <v>0</v>
      </c>
      <c r="AC42" s="359">
        <v>0</v>
      </c>
    </row>
    <row r="43" spans="1:78" x14ac:dyDescent="0.35">
      <c r="B43" s="456" t="s">
        <v>360</v>
      </c>
      <c r="C43" s="173"/>
      <c r="D43" s="405"/>
      <c r="E43" s="420"/>
      <c r="F43" s="1381"/>
      <c r="G43" s="1381"/>
      <c r="H43" s="320"/>
      <c r="I43" s="320"/>
      <c r="J43" s="320"/>
      <c r="K43" s="320"/>
      <c r="L43" s="1382"/>
      <c r="M43" s="320">
        <f>'ARP Quarterly'!C25</f>
        <v>0</v>
      </c>
      <c r="N43" s="320">
        <f>'ARP Quarterly'!D25</f>
        <v>58.782959999999996</v>
      </c>
      <c r="O43" s="320">
        <f>'ARP Quarterly'!E25</f>
        <v>267.78904000000006</v>
      </c>
      <c r="P43" s="320">
        <f>'ARP Quarterly'!F25</f>
        <v>110.24799999999999</v>
      </c>
      <c r="Q43" s="320">
        <f>'ARP Quarterly'!G25</f>
        <v>110.24799999999999</v>
      </c>
      <c r="R43" s="320">
        <f>'ARP Quarterly'!H25</f>
        <v>110.24799999999999</v>
      </c>
      <c r="S43" s="320">
        <f>'ARP Quarterly'!I25</f>
        <v>110.24799999999999</v>
      </c>
      <c r="T43" s="1383">
        <f>'ARP Quarterly'!J25</f>
        <v>12.362</v>
      </c>
      <c r="U43" s="284">
        <f>'ARP Quarterly'!K25</f>
        <v>12.362</v>
      </c>
      <c r="V43" s="284">
        <f>'ARP Quarterly'!L25</f>
        <v>12.362</v>
      </c>
      <c r="W43" s="284">
        <f>'ARP Quarterly'!M25</f>
        <v>12.362</v>
      </c>
      <c r="X43" s="284">
        <f>'ARP Quarterly'!N25</f>
        <v>-0.67500000000000004</v>
      </c>
      <c r="Y43" s="284">
        <f>'ARP Quarterly'!O25</f>
        <v>-0.67500000000000004</v>
      </c>
      <c r="Z43" s="284">
        <f>'ARP Quarterly'!P25</f>
        <v>-0.67500000000000004</v>
      </c>
      <c r="AA43" s="284">
        <f>'ARP Quarterly'!Q25</f>
        <v>-0.67500000000000004</v>
      </c>
      <c r="AB43" s="284">
        <f>'ARP Quarterly'!R25</f>
        <v>0</v>
      </c>
      <c r="AC43" s="359">
        <f>'ARP Quarterly'!S25</f>
        <v>0</v>
      </c>
    </row>
    <row r="44" spans="1:78" ht="15" customHeight="1" x14ac:dyDescent="0.35">
      <c r="B44" s="1183" t="s">
        <v>489</v>
      </c>
      <c r="C44" s="1184"/>
      <c r="D44" s="1054"/>
      <c r="E44" s="1370"/>
      <c r="F44" s="1285"/>
      <c r="G44" s="1285"/>
      <c r="H44" s="1306"/>
      <c r="I44" s="1306"/>
      <c r="J44" s="1306"/>
      <c r="K44" s="1306"/>
      <c r="L44" s="1371"/>
      <c r="M44" s="1306"/>
      <c r="N44" s="1306"/>
      <c r="O44" s="1306"/>
      <c r="P44" s="1306"/>
      <c r="Q44" s="1306"/>
      <c r="R44" s="1306"/>
      <c r="S44" s="1306"/>
      <c r="T44" s="1309"/>
      <c r="U44" s="458"/>
      <c r="V44" s="459"/>
      <c r="W44" s="459"/>
      <c r="X44" s="459"/>
      <c r="Y44" s="459"/>
      <c r="Z44" s="459"/>
      <c r="AA44" s="459"/>
      <c r="AB44" s="459"/>
      <c r="AC44" s="195"/>
    </row>
    <row r="45" spans="1:78" ht="21" customHeight="1" x14ac:dyDescent="0.35">
      <c r="B45" s="379" t="s">
        <v>490</v>
      </c>
      <c r="C45" s="445"/>
      <c r="D45" s="379"/>
      <c r="E45" s="1372"/>
      <c r="F45" s="1338"/>
      <c r="G45" s="1338"/>
      <c r="H45" s="1373"/>
      <c r="I45" s="1373"/>
      <c r="J45" s="1373"/>
      <c r="K45" s="1373"/>
      <c r="L45" s="1374"/>
      <c r="M45" s="1373">
        <f>'ARP Quarterly'!C6</f>
        <v>0</v>
      </c>
      <c r="N45" s="1373">
        <f>'ARP Quarterly'!D6</f>
        <v>58.782959999999989</v>
      </c>
      <c r="O45" s="1373">
        <f>'ARP Quarterly'!E6</f>
        <v>267.78904</v>
      </c>
      <c r="P45" s="1373">
        <f>'ARP Quarterly'!F6</f>
        <v>110.24799999999999</v>
      </c>
      <c r="Q45" s="1373">
        <f>'ARP Quarterly'!G6</f>
        <v>110.24799999999999</v>
      </c>
      <c r="R45" s="1373">
        <f>'ARP Quarterly'!H6</f>
        <v>110.24799999999999</v>
      </c>
      <c r="S45" s="1373">
        <f>'ARP Quarterly'!I6</f>
        <v>110.24799999999999</v>
      </c>
      <c r="T45" s="1378">
        <f>'ARP Quarterly'!J6</f>
        <v>12.726000000000001</v>
      </c>
      <c r="U45" s="450">
        <f>'ARP Quarterly'!K6</f>
        <v>12.726000000000001</v>
      </c>
      <c r="V45" s="450">
        <f>'ARP Quarterly'!L6</f>
        <v>12.726000000000001</v>
      </c>
      <c r="W45" s="450">
        <f>'ARP Quarterly'!M6</f>
        <v>12.726000000000001</v>
      </c>
      <c r="X45" s="450">
        <f>'ARP Quarterly'!N6</f>
        <v>1.365</v>
      </c>
      <c r="Y45" s="450">
        <f>'ARP Quarterly'!O6</f>
        <v>1.365</v>
      </c>
      <c r="Z45" s="450">
        <f>'ARP Quarterly'!P6</f>
        <v>1.365</v>
      </c>
      <c r="AA45" s="450">
        <f>'ARP Quarterly'!Q6</f>
        <v>1.365</v>
      </c>
      <c r="AB45" s="450">
        <f>'ARP Quarterly'!R6</f>
        <v>-0.90100000000000025</v>
      </c>
      <c r="AC45" s="461">
        <f>'ARP Quarterly'!S6</f>
        <v>-0.90100000000000025</v>
      </c>
    </row>
    <row r="46" spans="1:78" ht="19.5" customHeight="1" x14ac:dyDescent="0.35">
      <c r="A46" s="457"/>
      <c r="B46" s="437" t="s">
        <v>199</v>
      </c>
      <c r="C46" s="438"/>
      <c r="D46" s="437"/>
      <c r="E46" s="438"/>
      <c r="F46" s="462">
        <f>F11-F45</f>
        <v>60.5</v>
      </c>
      <c r="G46" s="462">
        <f>G11-G45</f>
        <v>81.400000000000006</v>
      </c>
      <c r="H46" s="462">
        <f t="shared" ref="H46:AC46" si="14">H11-H45</f>
        <v>82.1</v>
      </c>
      <c r="I46" s="462">
        <f>I11-I45</f>
        <v>80</v>
      </c>
      <c r="J46" s="462">
        <f t="shared" si="14"/>
        <v>975.7</v>
      </c>
      <c r="K46" s="462">
        <f t="shared" si="14"/>
        <v>1108.8</v>
      </c>
      <c r="L46" s="462">
        <f>L11-L45</f>
        <v>462.2</v>
      </c>
      <c r="M46" s="462">
        <f>M11-M45</f>
        <v>387.4</v>
      </c>
      <c r="N46" s="462">
        <f t="shared" si="14"/>
        <v>635.11703999999997</v>
      </c>
      <c r="O46" s="462">
        <f>O11-O45</f>
        <v>277.81096000000002</v>
      </c>
      <c r="P46" s="462">
        <f>P11-P45</f>
        <v>178.05200000000002</v>
      </c>
      <c r="Q46" s="462">
        <f t="shared" si="14"/>
        <v>34.25200000000001</v>
      </c>
      <c r="R46" s="462">
        <f t="shared" si="14"/>
        <v>12.652000000000015</v>
      </c>
      <c r="S46" s="462">
        <f t="shared" si="14"/>
        <v>3.5520000000000067</v>
      </c>
      <c r="T46" s="1379">
        <f t="shared" si="14"/>
        <v>-12.726000000000001</v>
      </c>
      <c r="U46" s="451">
        <f t="shared" si="14"/>
        <v>75.782000000000011</v>
      </c>
      <c r="V46" s="451">
        <f t="shared" si="14"/>
        <v>75.782000000000011</v>
      </c>
      <c r="W46" s="451">
        <f t="shared" si="14"/>
        <v>75.782000000000011</v>
      </c>
      <c r="X46" s="451">
        <f t="shared" si="14"/>
        <v>84.266000000000005</v>
      </c>
      <c r="Y46" s="451">
        <f t="shared" si="14"/>
        <v>84.266000000000005</v>
      </c>
      <c r="Z46" s="451">
        <f t="shared" si="14"/>
        <v>84.266000000000005</v>
      </c>
      <c r="AA46" s="451">
        <f t="shared" si="14"/>
        <v>84.266000000000005</v>
      </c>
      <c r="AB46" s="451">
        <f t="shared" si="14"/>
        <v>91.364999999999995</v>
      </c>
      <c r="AC46" s="452">
        <f t="shared" si="14"/>
        <v>91.364999999999995</v>
      </c>
      <c r="AF46" s="457"/>
      <c r="AG46" s="457"/>
      <c r="AH46" s="457"/>
      <c r="AI46" s="457"/>
      <c r="AJ46" s="457"/>
      <c r="AK46" s="457"/>
      <c r="AL46" s="457"/>
      <c r="AM46" s="457"/>
      <c r="AN46" s="457"/>
      <c r="AO46" s="457"/>
      <c r="AP46" s="457"/>
      <c r="AQ46" s="457"/>
      <c r="AR46" s="457"/>
      <c r="AS46" s="457"/>
      <c r="AT46" s="457"/>
      <c r="AU46" s="457"/>
      <c r="AV46" s="457"/>
      <c r="AW46" s="457"/>
      <c r="AX46" s="457"/>
      <c r="AY46" s="457"/>
      <c r="AZ46" s="457"/>
      <c r="BA46" s="457"/>
      <c r="BB46" s="457"/>
      <c r="BC46" s="457"/>
      <c r="BD46" s="457"/>
      <c r="BE46" s="457"/>
      <c r="BF46" s="457"/>
      <c r="BG46" s="457"/>
      <c r="BH46" s="457"/>
      <c r="BI46" s="457"/>
      <c r="BJ46" s="457"/>
      <c r="BK46" s="457"/>
      <c r="BL46" s="457"/>
      <c r="BM46" s="457"/>
      <c r="BN46" s="457"/>
      <c r="BO46" s="457"/>
      <c r="BP46" s="457"/>
      <c r="BQ46" s="457"/>
      <c r="BR46" s="457"/>
      <c r="BS46" s="457"/>
      <c r="BT46" s="457"/>
      <c r="BU46" s="457"/>
      <c r="BV46" s="457"/>
      <c r="BW46" s="457"/>
      <c r="BX46" s="457"/>
      <c r="BY46" s="457"/>
      <c r="BZ46" s="457"/>
    </row>
    <row r="47" spans="1:78" ht="19.5" customHeight="1" x14ac:dyDescent="0.35">
      <c r="A47" s="457"/>
      <c r="B47" s="238"/>
      <c r="C47" s="238"/>
      <c r="D47" s="238"/>
      <c r="E47" s="238"/>
      <c r="F47" s="446"/>
      <c r="G47" s="446"/>
      <c r="H47" s="446"/>
      <c r="I47" s="446"/>
      <c r="J47" s="446"/>
      <c r="K47" s="446"/>
      <c r="L47" s="446"/>
      <c r="M47" s="446"/>
      <c r="N47" s="446"/>
      <c r="O47" s="446"/>
      <c r="P47" s="446"/>
      <c r="Q47" s="446"/>
      <c r="R47" s="446"/>
      <c r="S47" s="446"/>
      <c r="T47" s="446"/>
      <c r="U47" s="446"/>
      <c r="V47" s="446"/>
      <c r="W47" s="446"/>
      <c r="X47" s="446"/>
      <c r="Y47" s="446"/>
      <c r="Z47" s="446"/>
      <c r="AA47" s="446"/>
      <c r="AB47" s="446"/>
      <c r="AC47" s="446"/>
      <c r="AF47" s="457"/>
      <c r="AG47" s="457"/>
      <c r="AH47" s="457"/>
      <c r="AI47" s="457"/>
      <c r="AJ47" s="457"/>
      <c r="AK47" s="457"/>
      <c r="AL47" s="457"/>
      <c r="AM47" s="457"/>
      <c r="AN47" s="457"/>
      <c r="AO47" s="457"/>
      <c r="AP47" s="457"/>
      <c r="AQ47" s="457"/>
      <c r="AR47" s="457"/>
      <c r="AS47" s="457"/>
      <c r="AT47" s="457"/>
      <c r="AU47" s="457"/>
      <c r="AV47" s="457"/>
      <c r="AW47" s="457"/>
      <c r="AX47" s="457"/>
      <c r="AY47" s="457"/>
      <c r="AZ47" s="457"/>
      <c r="BA47" s="457"/>
      <c r="BB47" s="457"/>
      <c r="BC47" s="457"/>
      <c r="BD47" s="457"/>
      <c r="BE47" s="457"/>
      <c r="BF47" s="457"/>
      <c r="BG47" s="457"/>
      <c r="BH47" s="457"/>
      <c r="BI47" s="457"/>
      <c r="BJ47" s="457"/>
      <c r="BK47" s="457"/>
      <c r="BL47" s="457"/>
      <c r="BM47" s="457"/>
      <c r="BN47" s="457"/>
      <c r="BO47" s="457"/>
      <c r="BP47" s="457"/>
      <c r="BQ47" s="457"/>
      <c r="BR47" s="457"/>
      <c r="BS47" s="457"/>
      <c r="BT47" s="457"/>
      <c r="BU47" s="457"/>
      <c r="BV47" s="457"/>
      <c r="BW47" s="457"/>
      <c r="BX47" s="457"/>
      <c r="BY47" s="457"/>
      <c r="BZ47" s="457"/>
    </row>
    <row r="48" spans="1:78" ht="19.5" customHeight="1" x14ac:dyDescent="0.35">
      <c r="A48" s="457"/>
      <c r="B48" s="238"/>
      <c r="C48" s="238"/>
      <c r="D48" s="238"/>
      <c r="E48" s="238"/>
      <c r="F48" s="446"/>
      <c r="G48" s="446"/>
      <c r="H48" s="446"/>
      <c r="I48" s="446"/>
      <c r="J48" s="446"/>
      <c r="K48" s="446"/>
      <c r="L48" s="446"/>
      <c r="M48" s="446"/>
      <c r="N48" s="446"/>
      <c r="O48" s="446"/>
      <c r="P48" s="446"/>
      <c r="Q48" s="446"/>
      <c r="R48" s="446"/>
      <c r="S48" s="446"/>
      <c r="T48" s="446"/>
      <c r="U48" s="446"/>
      <c r="V48" s="446"/>
      <c r="W48" s="446"/>
      <c r="X48" s="446"/>
      <c r="Y48" s="446"/>
      <c r="Z48" s="446"/>
      <c r="AA48" s="446"/>
      <c r="AB48" s="446"/>
      <c r="AC48" s="446"/>
      <c r="AE48" s="457"/>
      <c r="AF48" s="457"/>
      <c r="AG48" s="457"/>
      <c r="AH48" s="457"/>
      <c r="AI48" s="457"/>
      <c r="AJ48" s="457"/>
      <c r="AK48" s="457"/>
      <c r="AL48" s="457"/>
      <c r="AM48" s="457"/>
      <c r="AN48" s="457"/>
      <c r="AO48" s="457"/>
      <c r="AP48" s="457"/>
      <c r="AQ48" s="457"/>
      <c r="AR48" s="457"/>
      <c r="AS48" s="457"/>
      <c r="AT48" s="457"/>
      <c r="AU48" s="457"/>
      <c r="AV48" s="457"/>
      <c r="AW48" s="457"/>
      <c r="AX48" s="457"/>
      <c r="AY48" s="457"/>
      <c r="AZ48" s="457"/>
      <c r="BA48" s="457"/>
      <c r="BB48" s="457"/>
      <c r="BC48" s="457"/>
      <c r="BD48" s="457"/>
      <c r="BE48" s="457"/>
      <c r="BF48" s="457"/>
      <c r="BG48" s="457"/>
      <c r="BH48" s="457"/>
      <c r="BI48" s="457"/>
      <c r="BJ48" s="457"/>
      <c r="BK48" s="457"/>
      <c r="BL48" s="457"/>
      <c r="BM48" s="457"/>
      <c r="BN48" s="457"/>
      <c r="BO48" s="457"/>
      <c r="BP48" s="457"/>
      <c r="BQ48" s="457"/>
      <c r="BR48" s="457"/>
      <c r="BS48" s="457"/>
      <c r="BT48" s="457"/>
      <c r="BU48" s="457"/>
      <c r="BV48" s="457"/>
      <c r="BW48" s="457"/>
      <c r="BX48" s="457"/>
      <c r="BY48" s="457"/>
      <c r="BZ48" s="457"/>
    </row>
    <row r="49" spans="2:29" x14ac:dyDescent="0.35">
      <c r="B49" s="176"/>
      <c r="C49" s="151"/>
      <c r="D49" s="151"/>
      <c r="E49" s="151"/>
      <c r="F49" s="151"/>
      <c r="G49" s="151"/>
      <c r="H49" s="151"/>
      <c r="I49" s="151"/>
      <c r="J49" s="151"/>
      <c r="K49" s="151"/>
      <c r="L49" s="151"/>
      <c r="M49" s="151"/>
      <c r="N49" s="151"/>
      <c r="O49" s="151"/>
      <c r="P49" s="397"/>
      <c r="Q49" s="397"/>
      <c r="R49" s="397"/>
      <c r="S49" s="397"/>
      <c r="T49" s="397"/>
      <c r="U49" s="397"/>
      <c r="V49" s="397"/>
      <c r="W49" s="397"/>
      <c r="X49" s="397"/>
      <c r="Y49" s="397"/>
      <c r="Z49" s="397"/>
      <c r="AA49" s="397"/>
      <c r="AB49" s="397"/>
      <c r="AC49" s="397"/>
    </row>
    <row r="51" spans="2:29" x14ac:dyDescent="0.3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abSelected="1" topLeftCell="A4" zoomScaleNormal="100" workbookViewId="0">
      <selection activeCell="D7" sqref="D7"/>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1072" t="s">
        <v>37</v>
      </c>
      <c r="B2" s="1073"/>
      <c r="C2" s="1073"/>
      <c r="D2" s="1074"/>
      <c r="E2" s="15"/>
      <c r="F2" s="15"/>
    </row>
    <row r="3" spans="1:7" ht="158.75" customHeight="1" x14ac:dyDescent="0.35">
      <c r="A3" s="18" t="s">
        <v>911</v>
      </c>
      <c r="B3" s="14" t="s">
        <v>912</v>
      </c>
      <c r="C3" s="14" t="s">
        <v>936</v>
      </c>
      <c r="D3" s="22" t="s">
        <v>1017</v>
      </c>
      <c r="E3" s="14"/>
      <c r="F3" s="14"/>
    </row>
    <row r="4" spans="1:7" ht="99.5" customHeight="1" x14ac:dyDescent="0.35">
      <c r="A4" s="18" t="s">
        <v>913</v>
      </c>
      <c r="B4" s="14" t="s">
        <v>38</v>
      </c>
      <c r="C4" s="14" t="s">
        <v>39</v>
      </c>
      <c r="D4" s="22" t="s">
        <v>1017</v>
      </c>
      <c r="E4" s="14"/>
      <c r="F4" s="14"/>
    </row>
    <row r="5" spans="1:7" ht="85.5" customHeight="1" x14ac:dyDescent="0.35">
      <c r="A5" s="18" t="s">
        <v>914</v>
      </c>
      <c r="B5" s="14" t="s">
        <v>40</v>
      </c>
      <c r="C5" s="14" t="s">
        <v>1016</v>
      </c>
      <c r="D5" s="22" t="s">
        <v>1017</v>
      </c>
      <c r="E5" s="14"/>
      <c r="F5" s="14"/>
    </row>
    <row r="6" spans="1:7" ht="61.5" customHeight="1" x14ac:dyDescent="0.35">
      <c r="A6" s="18" t="s">
        <v>915</v>
      </c>
      <c r="B6" s="14" t="s">
        <v>895</v>
      </c>
      <c r="C6" s="14" t="s">
        <v>896</v>
      </c>
      <c r="D6" s="22" t="s">
        <v>1017</v>
      </c>
      <c r="E6" s="14"/>
      <c r="F6" s="14"/>
    </row>
    <row r="7" spans="1:7" ht="100.25" customHeight="1" x14ac:dyDescent="0.35">
      <c r="A7" s="18" t="s">
        <v>42</v>
      </c>
      <c r="B7" s="14" t="s">
        <v>43</v>
      </c>
      <c r="C7" s="28" t="s">
        <v>44</v>
      </c>
      <c r="D7" s="22" t="s">
        <v>1014</v>
      </c>
      <c r="E7" s="16"/>
      <c r="F7" s="14"/>
      <c r="G7" s="29"/>
    </row>
    <row r="8" spans="1:7" ht="78" customHeight="1" x14ac:dyDescent="0.35">
      <c r="A8" s="18" t="s">
        <v>45</v>
      </c>
      <c r="B8" s="14" t="s">
        <v>46</v>
      </c>
      <c r="C8" s="14" t="s">
        <v>942</v>
      </c>
      <c r="D8" s="22" t="s">
        <v>1014</v>
      </c>
      <c r="E8" s="14"/>
      <c r="F8" s="14"/>
    </row>
    <row r="9" spans="1:7" ht="67.5" customHeight="1" x14ac:dyDescent="0.35">
      <c r="A9" s="18" t="s">
        <v>885</v>
      </c>
      <c r="B9" s="14" t="s">
        <v>897</v>
      </c>
      <c r="C9" s="14" t="s">
        <v>956</v>
      </c>
      <c r="D9" s="22" t="s">
        <v>1014</v>
      </c>
      <c r="E9" s="14"/>
      <c r="F9" s="14"/>
    </row>
    <row r="10" spans="1:7" ht="63.5" customHeight="1" x14ac:dyDescent="0.35">
      <c r="A10" s="18" t="s">
        <v>47</v>
      </c>
      <c r="B10" s="14" t="s">
        <v>48</v>
      </c>
      <c r="C10" s="14" t="s">
        <v>916</v>
      </c>
      <c r="D10" s="30" t="s">
        <v>1014</v>
      </c>
      <c r="E10" s="14"/>
      <c r="F10" s="14"/>
    </row>
    <row r="11" spans="1:7" ht="15" customHeight="1" x14ac:dyDescent="0.35">
      <c r="A11" s="1072" t="s">
        <v>917</v>
      </c>
      <c r="B11" s="1073"/>
      <c r="C11" s="1073"/>
      <c r="D11" s="1074"/>
      <c r="E11" s="15"/>
      <c r="F11" s="14"/>
    </row>
    <row r="12" spans="1:7" ht="29.75" customHeight="1" x14ac:dyDescent="0.35">
      <c r="A12" s="19" t="s">
        <v>9</v>
      </c>
      <c r="B12" s="1078" t="s">
        <v>919</v>
      </c>
      <c r="C12" s="1078"/>
      <c r="D12" s="24"/>
      <c r="E12" s="15"/>
      <c r="F12" s="14"/>
    </row>
    <row r="13" spans="1:7" ht="48.5" customHeight="1" x14ac:dyDescent="0.35">
      <c r="A13" s="17" t="s">
        <v>918</v>
      </c>
      <c r="B13" s="1078" t="s">
        <v>929</v>
      </c>
      <c r="C13" s="1078"/>
      <c r="D13" s="22"/>
      <c r="E13" s="15"/>
      <c r="F13" s="14"/>
    </row>
    <row r="14" spans="1:7" ht="48.5" customHeight="1" x14ac:dyDescent="0.35">
      <c r="A14" s="17" t="s">
        <v>920</v>
      </c>
      <c r="B14" s="1078" t="s">
        <v>921</v>
      </c>
      <c r="C14" s="1078"/>
      <c r="D14" s="23"/>
      <c r="E14" s="15"/>
      <c r="F14" s="14"/>
    </row>
    <row r="15" spans="1:7" x14ac:dyDescent="0.35">
      <c r="A15" s="1075" t="s">
        <v>59</v>
      </c>
      <c r="B15" s="1076"/>
      <c r="C15" s="1076"/>
      <c r="D15" s="1077"/>
      <c r="E15" s="14"/>
      <c r="F15" s="14"/>
    </row>
    <row r="16" spans="1:7" ht="36.65" customHeight="1" x14ac:dyDescent="0.35">
      <c r="A16" s="1070" t="s">
        <v>922</v>
      </c>
      <c r="B16" s="1071"/>
      <c r="C16" s="1071"/>
      <c r="D16" s="24"/>
      <c r="E16" s="14"/>
      <c r="F16" s="14"/>
    </row>
    <row r="17" spans="1:6" ht="145.5" customHeight="1" x14ac:dyDescent="0.35">
      <c r="A17" s="18" t="s">
        <v>60</v>
      </c>
      <c r="B17" s="14" t="s">
        <v>943</v>
      </c>
      <c r="C17" s="14" t="s">
        <v>950</v>
      </c>
      <c r="D17" s="22"/>
      <c r="E17" s="14"/>
      <c r="F17" s="14"/>
    </row>
    <row r="18" spans="1:6" ht="63.5" customHeight="1" x14ac:dyDescent="0.35">
      <c r="A18" s="18" t="s">
        <v>61</v>
      </c>
      <c r="B18" s="14" t="s">
        <v>944</v>
      </c>
      <c r="C18" s="14" t="s">
        <v>945</v>
      </c>
      <c r="D18" s="22"/>
      <c r="E18" s="14"/>
      <c r="F18" s="14"/>
    </row>
    <row r="19" spans="1:6" ht="63.5" customHeight="1" x14ac:dyDescent="0.35">
      <c r="A19" s="18" t="s">
        <v>946</v>
      </c>
      <c r="B19" s="14" t="s">
        <v>947</v>
      </c>
      <c r="C19" s="14" t="s">
        <v>948</v>
      </c>
      <c r="D19" s="22"/>
      <c r="E19" s="14"/>
      <c r="F19" s="14"/>
    </row>
    <row r="20" spans="1:6" ht="34.25" customHeight="1" x14ac:dyDescent="0.35">
      <c r="A20" s="1070" t="s">
        <v>892</v>
      </c>
      <c r="B20" s="1071"/>
      <c r="C20" s="1071"/>
      <c r="D20" s="23"/>
      <c r="E20" s="14"/>
      <c r="F20" s="14"/>
    </row>
    <row r="21" spans="1:6" x14ac:dyDescent="0.35">
      <c r="A21" s="1075" t="s">
        <v>62</v>
      </c>
      <c r="B21" s="1076"/>
      <c r="C21" s="1076"/>
      <c r="D21" s="1077"/>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935</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113" t="s">
        <v>54</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29" ht="14.25" customHeight="1" x14ac:dyDescent="0.35">
      <c r="B2" s="1177" t="s">
        <v>932</v>
      </c>
      <c r="C2" s="1177"/>
      <c r="D2" s="1177"/>
      <c r="E2" s="1177"/>
      <c r="F2" s="1177"/>
      <c r="G2" s="1177"/>
      <c r="H2" s="1177"/>
      <c r="I2" s="1177"/>
      <c r="J2" s="1177"/>
      <c r="K2" s="1177"/>
      <c r="L2" s="1177"/>
      <c r="M2" s="1177"/>
      <c r="N2" s="1177"/>
      <c r="O2" s="1177"/>
      <c r="P2" s="1177"/>
      <c r="Q2" s="1177"/>
      <c r="R2" s="1177"/>
      <c r="S2" s="1177"/>
      <c r="T2" s="1177"/>
      <c r="U2" s="1177"/>
      <c r="V2" s="1205" t="s">
        <v>1003</v>
      </c>
      <c r="W2" s="1205"/>
      <c r="X2" s="1205"/>
      <c r="Y2" s="1205"/>
      <c r="Z2" s="1205"/>
      <c r="AA2" s="1205"/>
      <c r="AB2" s="1205"/>
      <c r="AC2" s="502"/>
    </row>
    <row r="3" spans="2:29" ht="59.75" customHeight="1" x14ac:dyDescent="0.35">
      <c r="B3" s="1177"/>
      <c r="C3" s="1177"/>
      <c r="D3" s="1177"/>
      <c r="E3" s="1177"/>
      <c r="F3" s="1177"/>
      <c r="G3" s="1177"/>
      <c r="H3" s="1177"/>
      <c r="I3" s="1177"/>
      <c r="J3" s="1177"/>
      <c r="K3" s="1177"/>
      <c r="L3" s="1177"/>
      <c r="M3" s="1177"/>
      <c r="N3" s="1177"/>
      <c r="O3" s="1177"/>
      <c r="P3" s="1177"/>
      <c r="Q3" s="1177"/>
      <c r="R3" s="1177"/>
      <c r="S3" s="1177"/>
      <c r="T3" s="1177"/>
      <c r="U3" s="1177"/>
      <c r="V3" s="1205"/>
      <c r="W3" s="1205"/>
      <c r="X3" s="1205"/>
      <c r="Y3" s="1205"/>
      <c r="Z3" s="1205"/>
      <c r="AA3" s="1205"/>
      <c r="AB3" s="1205"/>
      <c r="AC3" s="502"/>
    </row>
    <row r="4" spans="2:29" ht="88.5" customHeight="1" x14ac:dyDescent="0.35">
      <c r="B4" s="1177"/>
      <c r="C4" s="1177"/>
      <c r="D4" s="1177"/>
      <c r="E4" s="1177"/>
      <c r="F4" s="1177"/>
      <c r="G4" s="1177"/>
      <c r="H4" s="1177"/>
      <c r="I4" s="1177"/>
      <c r="J4" s="1177"/>
      <c r="K4" s="1177"/>
      <c r="L4" s="1177"/>
      <c r="M4" s="1177"/>
      <c r="N4" s="1177"/>
      <c r="O4" s="1177"/>
      <c r="P4" s="1177"/>
      <c r="Q4" s="1177"/>
      <c r="R4" s="1177"/>
      <c r="S4" s="1177"/>
      <c r="T4" s="1177"/>
      <c r="U4" s="1177"/>
      <c r="V4" s="1205"/>
      <c r="W4" s="1205"/>
      <c r="X4" s="1205"/>
      <c r="Y4" s="1205"/>
      <c r="Z4" s="1205"/>
      <c r="AA4" s="1205"/>
      <c r="AB4" s="1205"/>
      <c r="AC4" s="502"/>
    </row>
    <row r="5" spans="2:29" ht="33" customHeight="1" x14ac:dyDescent="0.35">
      <c r="B5" s="502"/>
      <c r="C5" s="502"/>
      <c r="D5" s="502"/>
      <c r="E5" s="502"/>
      <c r="F5" s="502"/>
      <c r="G5" s="502"/>
      <c r="H5" s="502"/>
      <c r="I5" s="502"/>
      <c r="J5" s="502"/>
      <c r="K5" s="502"/>
      <c r="L5" s="502"/>
      <c r="M5" s="502"/>
      <c r="N5" s="502"/>
      <c r="O5" s="502"/>
      <c r="P5" s="502"/>
      <c r="Q5" s="502"/>
      <c r="R5" s="502"/>
      <c r="S5" s="502"/>
      <c r="T5" s="502"/>
      <c r="U5" s="502"/>
      <c r="V5" s="502"/>
      <c r="W5" s="502"/>
      <c r="X5" s="502"/>
      <c r="Y5" s="502"/>
      <c r="Z5" s="502"/>
      <c r="AA5" s="502"/>
      <c r="AB5" s="502"/>
      <c r="AC5" s="502"/>
    </row>
    <row r="6" spans="2:29" x14ac:dyDescent="0.35">
      <c r="B6" s="502"/>
      <c r="C6" s="502"/>
      <c r="D6" s="502"/>
      <c r="E6" s="502"/>
      <c r="F6" s="502"/>
      <c r="G6" s="502"/>
      <c r="H6" s="502"/>
      <c r="I6" s="502"/>
      <c r="J6" s="502"/>
      <c r="K6" s="502"/>
      <c r="L6" s="502"/>
      <c r="M6" s="502"/>
      <c r="N6" s="502"/>
      <c r="O6" s="502"/>
      <c r="P6" s="502"/>
      <c r="Q6" s="502"/>
      <c r="R6" s="502"/>
      <c r="S6" s="502"/>
      <c r="T6" s="502"/>
      <c r="U6" s="502"/>
      <c r="V6" s="502"/>
      <c r="W6" s="502"/>
      <c r="X6" s="502"/>
      <c r="Y6" s="502"/>
      <c r="Z6" s="502"/>
      <c r="AA6" s="502"/>
      <c r="AB6" s="502"/>
      <c r="AC6" s="502"/>
    </row>
    <row r="7" spans="2:29" ht="14.75" customHeight="1" x14ac:dyDescent="0.35">
      <c r="B7" s="1142" t="s">
        <v>465</v>
      </c>
      <c r="C7" s="1126"/>
      <c r="D7" s="1292" t="s">
        <v>325</v>
      </c>
      <c r="E7" s="1293"/>
      <c r="F7" s="1293"/>
      <c r="G7" s="1293"/>
      <c r="H7" s="1293"/>
      <c r="I7" s="1293"/>
      <c r="J7" s="1293"/>
      <c r="K7" s="1293"/>
      <c r="L7" s="1293"/>
      <c r="M7" s="1293"/>
      <c r="N7" s="1293"/>
      <c r="O7" s="1293"/>
      <c r="P7" s="1293"/>
      <c r="Q7" s="1279"/>
      <c r="R7" s="1279"/>
      <c r="S7" s="1279"/>
      <c r="T7" s="1280"/>
      <c r="U7" s="1296" t="s">
        <v>326</v>
      </c>
      <c r="V7" s="1296"/>
      <c r="W7" s="1296"/>
      <c r="X7" s="1296"/>
      <c r="Y7" s="1296"/>
      <c r="Z7" s="1296"/>
      <c r="AA7" s="1296"/>
      <c r="AB7" s="1296"/>
      <c r="AC7" s="1297"/>
    </row>
    <row r="8" spans="2:29" x14ac:dyDescent="0.35">
      <c r="B8" s="1143"/>
      <c r="C8" s="1179"/>
      <c r="D8" s="140">
        <v>2018</v>
      </c>
      <c r="E8" s="1114">
        <v>2019</v>
      </c>
      <c r="F8" s="1115"/>
      <c r="G8" s="1115"/>
      <c r="H8" s="1122"/>
      <c r="I8" s="1114">
        <v>2020</v>
      </c>
      <c r="J8" s="1115"/>
      <c r="K8" s="1115"/>
      <c r="L8" s="1115"/>
      <c r="M8" s="1114">
        <v>2021</v>
      </c>
      <c r="N8" s="1115"/>
      <c r="O8" s="1115"/>
      <c r="P8" s="1115"/>
      <c r="Q8" s="1098">
        <v>2022</v>
      </c>
      <c r="R8" s="1099"/>
      <c r="S8" s="1099"/>
      <c r="T8" s="1308"/>
      <c r="U8" s="1277">
        <v>2023</v>
      </c>
      <c r="V8" s="1146"/>
      <c r="W8" s="1146"/>
      <c r="X8" s="1146"/>
      <c r="Y8" s="1145">
        <v>2024</v>
      </c>
      <c r="Z8" s="1146"/>
      <c r="AA8" s="1146"/>
      <c r="AB8" s="1147"/>
      <c r="AC8" s="239">
        <v>2025</v>
      </c>
    </row>
    <row r="9" spans="2:29" x14ac:dyDescent="0.35">
      <c r="B9" s="1143"/>
      <c r="C9" s="1179"/>
      <c r="D9" s="149" t="s">
        <v>327</v>
      </c>
      <c r="E9" s="149" t="s">
        <v>328</v>
      </c>
      <c r="F9" s="148" t="s">
        <v>329</v>
      </c>
      <c r="G9" s="148" t="s">
        <v>238</v>
      </c>
      <c r="H9" s="198" t="s">
        <v>327</v>
      </c>
      <c r="I9" s="148" t="s">
        <v>328</v>
      </c>
      <c r="J9" s="148" t="s">
        <v>329</v>
      </c>
      <c r="K9" s="148" t="s">
        <v>238</v>
      </c>
      <c r="L9" s="148" t="s">
        <v>327</v>
      </c>
      <c r="M9" s="149" t="s">
        <v>328</v>
      </c>
      <c r="N9" s="148" t="s">
        <v>329</v>
      </c>
      <c r="O9" s="148" t="s">
        <v>238</v>
      </c>
      <c r="P9" s="148" t="s">
        <v>327</v>
      </c>
      <c r="Q9" s="1051" t="s">
        <v>328</v>
      </c>
      <c r="R9" s="1039" t="s">
        <v>329</v>
      </c>
      <c r="S9" s="1039" t="s">
        <v>238</v>
      </c>
      <c r="T9" s="1052" t="s">
        <v>327</v>
      </c>
      <c r="U9" s="1282" t="s">
        <v>328</v>
      </c>
      <c r="V9" s="329" t="s">
        <v>329</v>
      </c>
      <c r="W9" s="329" t="s">
        <v>238</v>
      </c>
      <c r="X9" s="329" t="s">
        <v>327</v>
      </c>
      <c r="Y9" s="328" t="s">
        <v>328</v>
      </c>
      <c r="Z9" s="230" t="s">
        <v>329</v>
      </c>
      <c r="AA9" s="329" t="s">
        <v>238</v>
      </c>
      <c r="AB9" s="341" t="s">
        <v>327</v>
      </c>
      <c r="AC9" s="356" t="s">
        <v>328</v>
      </c>
    </row>
    <row r="10" spans="2:29" x14ac:dyDescent="0.35">
      <c r="B10" s="476" t="s">
        <v>101</v>
      </c>
      <c r="C10" s="396" t="s">
        <v>491</v>
      </c>
      <c r="D10" s="1399">
        <f>'Haver Pivoted'!GO13</f>
        <v>589.5</v>
      </c>
      <c r="E10" s="1400">
        <f>'Haver Pivoted'!GP13</f>
        <v>598.70000000000005</v>
      </c>
      <c r="F10" s="1400">
        <f>'Haver Pivoted'!GQ13</f>
        <v>614.4</v>
      </c>
      <c r="G10" s="1400">
        <f>'Haver Pivoted'!GR13</f>
        <v>622.4</v>
      </c>
      <c r="H10" s="1400">
        <f>'Haver Pivoted'!GS13</f>
        <v>620.70000000000005</v>
      </c>
      <c r="I10" s="1400">
        <f>'Haver Pivoted'!GT13</f>
        <v>606.6</v>
      </c>
      <c r="J10" s="1400">
        <f>'Haver Pivoted'!GU13</f>
        <v>654.70000000000005</v>
      </c>
      <c r="K10" s="1400">
        <f>'Haver Pivoted'!GV13</f>
        <v>690.7</v>
      </c>
      <c r="L10" s="1400">
        <f>'Haver Pivoted'!GW13</f>
        <v>678.3</v>
      </c>
      <c r="M10" s="1400">
        <f>'Haver Pivoted'!GX13</f>
        <v>704.4</v>
      </c>
      <c r="N10" s="1400">
        <f>'Haver Pivoted'!GY13</f>
        <v>744.8</v>
      </c>
      <c r="O10" s="1400">
        <f>'Haver Pivoted'!GZ13</f>
        <v>748.2</v>
      </c>
      <c r="P10" s="1400">
        <f>'Haver Pivoted'!HA13</f>
        <v>745</v>
      </c>
      <c r="Q10" s="1400">
        <f>'Haver Pivoted'!HB13</f>
        <v>763.1</v>
      </c>
      <c r="R10" s="1400">
        <f>'Haver Pivoted'!HC13</f>
        <v>789.5</v>
      </c>
      <c r="S10" s="1401">
        <f>'Haver Pivoted'!HD13</f>
        <v>786.1</v>
      </c>
      <c r="T10" s="1402">
        <f>'Haver Pivoted'!HE13</f>
        <v>0</v>
      </c>
      <c r="U10" s="225"/>
      <c r="V10" s="225"/>
      <c r="W10" s="225"/>
      <c r="X10" s="225"/>
      <c r="Y10" s="225"/>
      <c r="Z10" s="225"/>
      <c r="AA10" s="225"/>
      <c r="AB10" s="225"/>
      <c r="AC10" s="226"/>
    </row>
    <row r="11" spans="2:29" x14ac:dyDescent="0.35">
      <c r="B11" s="174" t="s">
        <v>492</v>
      </c>
      <c r="C11" s="151" t="s">
        <v>387</v>
      </c>
      <c r="D11" s="498">
        <f>'Haver Pivoted'!GO40</f>
        <v>390.53500000000003</v>
      </c>
      <c r="E11" s="1289">
        <f>'Haver Pivoted'!GP40</f>
        <v>407.62099999999998</v>
      </c>
      <c r="F11" s="1289">
        <f>'Haver Pivoted'!GQ40</f>
        <v>416.459</v>
      </c>
      <c r="G11" s="1289">
        <f>'Haver Pivoted'!GR40</f>
        <v>418.661</v>
      </c>
      <c r="H11" s="1289">
        <f>'Haver Pivoted'!GS40</f>
        <v>411.69499999999999</v>
      </c>
      <c r="I11" s="1289">
        <f>'Haver Pivoted'!GT40</f>
        <v>428.30799999999999</v>
      </c>
      <c r="J11" s="1289">
        <f>'Haver Pivoted'!GU40</f>
        <v>506.81599999999997</v>
      </c>
      <c r="K11" s="1289">
        <f>'Haver Pivoted'!GV40</f>
        <v>484.78</v>
      </c>
      <c r="L11" s="1289">
        <f>'Haver Pivoted'!GW40</f>
        <v>500.25799999999998</v>
      </c>
      <c r="M11" s="1289">
        <f>'Haver Pivoted'!GX40</f>
        <v>509.42099999999999</v>
      </c>
      <c r="N11" s="1289">
        <f>'Haver Pivoted'!GY40</f>
        <v>527.01700000000005</v>
      </c>
      <c r="O11" s="1289">
        <f>'Haver Pivoted'!GZ40</f>
        <v>542.85299999999995</v>
      </c>
      <c r="P11" s="1289">
        <f>'Haver Pivoted'!HA40</f>
        <v>553.86500000000001</v>
      </c>
      <c r="Q11" s="1289">
        <f>'Haver Pivoted'!HB40</f>
        <v>592.26700000000005</v>
      </c>
      <c r="R11" s="1289">
        <f>'Haver Pivoted'!HC40</f>
        <v>590.13</v>
      </c>
      <c r="S11" s="1348">
        <f>'Haver Pivoted'!HD40</f>
        <v>605.63699999999994</v>
      </c>
      <c r="T11" s="386">
        <f>'Haver Pivoted'!HE40</f>
        <v>0</v>
      </c>
      <c r="U11" s="329"/>
      <c r="V11" s="329"/>
      <c r="W11" s="329"/>
      <c r="X11" s="329"/>
      <c r="Y11" s="329"/>
      <c r="Z11" s="329"/>
      <c r="AA11" s="329"/>
      <c r="AB11" s="329"/>
      <c r="AC11" s="341"/>
    </row>
    <row r="12" spans="2:29" ht="27.65" customHeight="1" x14ac:dyDescent="0.35">
      <c r="B12" s="405" t="s">
        <v>972</v>
      </c>
      <c r="C12" s="37"/>
      <c r="D12" s="501">
        <f t="shared" ref="D12:N12" si="0">D11/D10</f>
        <v>0.66248515691263787</v>
      </c>
      <c r="E12" s="475">
        <f t="shared" si="0"/>
        <v>0.68084349423751456</v>
      </c>
      <c r="F12" s="475">
        <f t="shared" si="0"/>
        <v>0.67783040364583336</v>
      </c>
      <c r="G12" s="475">
        <f t="shared" si="0"/>
        <v>0.6726558483290489</v>
      </c>
      <c r="H12" s="475">
        <f t="shared" si="0"/>
        <v>0.66327533429998387</v>
      </c>
      <c r="I12" s="475">
        <f t="shared" si="0"/>
        <v>0.70607978898780077</v>
      </c>
      <c r="J12" s="475">
        <f t="shared" si="0"/>
        <v>0.77411944402016186</v>
      </c>
      <c r="K12" s="475">
        <f t="shared" si="0"/>
        <v>0.70186767047922394</v>
      </c>
      <c r="L12" s="475">
        <f t="shared" si="0"/>
        <v>0.73751732271856119</v>
      </c>
      <c r="M12" s="475">
        <f t="shared" si="0"/>
        <v>0.72319846678023847</v>
      </c>
      <c r="N12" s="475">
        <f t="shared" si="0"/>
        <v>0.70759532760472621</v>
      </c>
      <c r="O12" s="475">
        <f>O11/O10</f>
        <v>0.72554530874097822</v>
      </c>
      <c r="P12" s="475">
        <f>P11/P10</f>
        <v>0.74344295302013419</v>
      </c>
      <c r="Q12" s="475">
        <f>Q11/Q10</f>
        <v>0.77613287904599659</v>
      </c>
      <c r="R12" s="475">
        <f>R11/R10</f>
        <v>0.74747308423052561</v>
      </c>
      <c r="S12" s="1403">
        <f>S11/S10</f>
        <v>0.77043251494720766</v>
      </c>
      <c r="T12" s="467" t="e">
        <f>T11/T10</f>
        <v>#DIV/0!</v>
      </c>
      <c r="U12" s="504" t="e">
        <f t="shared" ref="U12:Y12" si="1">T12</f>
        <v>#DIV/0!</v>
      </c>
      <c r="V12" s="504" t="e">
        <f t="shared" si="1"/>
        <v>#DIV/0!</v>
      </c>
      <c r="W12" s="504" t="e">
        <f>V12-0.05</f>
        <v>#DIV/0!</v>
      </c>
      <c r="X12" s="504" t="e">
        <f>W12++(I50-H50)</f>
        <v>#DIV/0!</v>
      </c>
      <c r="Y12" s="504" t="e">
        <f t="shared" si="1"/>
        <v>#DIV/0!</v>
      </c>
      <c r="Z12" s="504" t="e">
        <f t="shared" ref="Z12" si="2">Y12</f>
        <v>#DIV/0!</v>
      </c>
      <c r="AA12" s="504" t="e">
        <f t="shared" ref="AA12" si="3">Z12</f>
        <v>#DIV/0!</v>
      </c>
      <c r="AB12" s="504" t="e">
        <f>AA12+(J50-I50)</f>
        <v>#DIV/0!</v>
      </c>
      <c r="AC12" s="505" t="e">
        <f t="shared" ref="AC12" si="4">AB12</f>
        <v>#DIV/0!</v>
      </c>
    </row>
    <row r="13" spans="2:29" ht="27.65" customHeight="1" x14ac:dyDescent="0.35"/>
    <row r="14" spans="2:29" ht="27.65" customHeight="1" x14ac:dyDescent="0.35"/>
    <row r="15" spans="2:29" ht="27.65" customHeight="1" x14ac:dyDescent="0.35">
      <c r="B15" s="151"/>
      <c r="C15" s="151"/>
      <c r="D15" s="471"/>
      <c r="E15" s="471"/>
      <c r="F15" s="471"/>
      <c r="G15" s="471"/>
      <c r="H15" s="471"/>
      <c r="I15" s="471"/>
      <c r="J15" s="471"/>
      <c r="K15" s="471"/>
      <c r="L15" s="471"/>
      <c r="M15" s="471"/>
      <c r="N15" s="471"/>
      <c r="O15" s="471"/>
    </row>
    <row r="16" spans="2:29" ht="27.65" customHeight="1" x14ac:dyDescent="0.35"/>
    <row r="17" spans="2:29" ht="27.65" customHeight="1" x14ac:dyDescent="0.35"/>
    <row r="18" spans="2:29" x14ac:dyDescent="0.35">
      <c r="B18" s="151"/>
      <c r="C18" s="151"/>
      <c r="D18" s="471"/>
      <c r="E18" s="471"/>
      <c r="F18" s="471"/>
      <c r="G18" s="471"/>
      <c r="H18" s="471"/>
      <c r="I18" s="471"/>
      <c r="J18" s="471"/>
      <c r="K18" s="471"/>
      <c r="L18" s="471"/>
      <c r="M18" s="471"/>
      <c r="N18" s="471"/>
      <c r="O18" s="471"/>
    </row>
    <row r="20" spans="2:29" x14ac:dyDescent="0.35">
      <c r="B20" s="176" t="s">
        <v>400</v>
      </c>
    </row>
    <row r="21" spans="2:29" ht="25.25" customHeight="1" x14ac:dyDescent="0.35">
      <c r="B21" s="482" t="s">
        <v>493</v>
      </c>
      <c r="C21" s="489">
        <v>2020</v>
      </c>
      <c r="D21" s="490">
        <v>2021</v>
      </c>
      <c r="E21" s="490">
        <v>2022</v>
      </c>
      <c r="F21" s="490">
        <v>2023</v>
      </c>
      <c r="G21" s="491">
        <v>2024</v>
      </c>
      <c r="H21" s="137"/>
      <c r="I21" s="137"/>
      <c r="J21" s="137"/>
    </row>
    <row r="22" spans="2:29" ht="31.5" customHeight="1" x14ac:dyDescent="0.35">
      <c r="B22" s="500" t="s">
        <v>1283</v>
      </c>
      <c r="C22" s="488">
        <v>458.46800000000002</v>
      </c>
      <c r="D22" s="249">
        <v>520.58799999999997</v>
      </c>
      <c r="E22" s="249">
        <v>589.25400000000002</v>
      </c>
      <c r="F22" s="249">
        <f>601.348+F23</f>
        <v>601.45799999999997</v>
      </c>
      <c r="G22" s="506">
        <f>545.425+G23</f>
        <v>546.16399999999999</v>
      </c>
    </row>
    <row r="23" spans="2:29" ht="31.5" customHeight="1" x14ac:dyDescent="0.35">
      <c r="B23" s="474" t="s">
        <v>1282</v>
      </c>
      <c r="C23" s="488"/>
      <c r="D23" s="249"/>
      <c r="E23" s="468"/>
      <c r="F23" s="469">
        <f>'IRA and CHIPS'!E174</f>
        <v>0.11</v>
      </c>
      <c r="G23" s="470">
        <f>'IRA and CHIPS'!F174</f>
        <v>0.73899999999999999</v>
      </c>
    </row>
    <row r="24" spans="2:29" x14ac:dyDescent="0.35">
      <c r="B24" s="174" t="s">
        <v>494</v>
      </c>
      <c r="C24" s="480">
        <f>AVERAGE(H12:K12)</f>
        <v>0.7113355594467925</v>
      </c>
      <c r="D24" s="471">
        <f>AVERAGE(L12:O12)</f>
        <v>0.72346410646112602</v>
      </c>
      <c r="E24" s="471">
        <f>AVERAGE(P12:S12)</f>
        <v>0.75937035781096596</v>
      </c>
      <c r="F24" s="471" t="e">
        <f>AVERAGE(T12:W12)</f>
        <v>#DIV/0!</v>
      </c>
      <c r="G24" s="472" t="e">
        <f>AVERAGE(X12:AA12)</f>
        <v>#DIV/0!</v>
      </c>
    </row>
    <row r="25" spans="2:29" x14ac:dyDescent="0.35">
      <c r="B25" s="174" t="s">
        <v>495</v>
      </c>
      <c r="C25" s="264">
        <f>C22/C24</f>
        <v>644.51719573326511</v>
      </c>
      <c r="D25" s="137">
        <f>D22/D24</f>
        <v>719.5768184637268</v>
      </c>
      <c r="E25" s="137">
        <f>E22/E24</f>
        <v>775.97708935945343</v>
      </c>
      <c r="F25" s="137" t="e">
        <f>F22/F24</f>
        <v>#DIV/0!</v>
      </c>
      <c r="G25" s="150" t="e">
        <f>G22/G24</f>
        <v>#DIV/0!</v>
      </c>
    </row>
    <row r="26" spans="2:29" ht="32.25" customHeight="1" x14ac:dyDescent="0.35">
      <c r="B26" s="405" t="s">
        <v>496</v>
      </c>
      <c r="C26" s="265"/>
      <c r="D26" s="475">
        <f>D25/C25-1</f>
        <v>0.11645868136235937</v>
      </c>
      <c r="E26" s="475">
        <f t="shared" ref="E26:G26" si="5">E25/D25-1</f>
        <v>7.8379777458839506E-2</v>
      </c>
      <c r="F26" s="475" t="e">
        <f>F25/E25-1</f>
        <v>#DIV/0!</v>
      </c>
      <c r="G26" s="503" t="e">
        <f t="shared" si="5"/>
        <v>#DIV/0!</v>
      </c>
      <c r="I26" s="479"/>
      <c r="J26" s="479"/>
      <c r="K26" s="479"/>
      <c r="L26" s="479"/>
      <c r="R26" s="36"/>
      <c r="S26" s="473"/>
      <c r="T26" s="473"/>
      <c r="U26" s="473"/>
    </row>
    <row r="28" spans="2:29" x14ac:dyDescent="0.35">
      <c r="B28" s="176" t="s">
        <v>413</v>
      </c>
    </row>
    <row r="29" spans="2:29" x14ac:dyDescent="0.35">
      <c r="B29" s="1142" t="s">
        <v>497</v>
      </c>
      <c r="C29" s="1125"/>
      <c r="D29" s="1292" t="s">
        <v>325</v>
      </c>
      <c r="E29" s="1293"/>
      <c r="F29" s="1293"/>
      <c r="G29" s="1293"/>
      <c r="H29" s="1293"/>
      <c r="I29" s="1293"/>
      <c r="J29" s="1293"/>
      <c r="K29" s="1293"/>
      <c r="L29" s="1293"/>
      <c r="M29" s="1293"/>
      <c r="N29" s="1293"/>
      <c r="O29" s="1293"/>
      <c r="P29" s="1293"/>
      <c r="Q29" s="1279"/>
      <c r="R29" s="1279"/>
      <c r="S29" s="1279"/>
      <c r="T29" s="1280"/>
      <c r="U29" s="1296" t="s">
        <v>326</v>
      </c>
      <c r="V29" s="1296"/>
      <c r="W29" s="1296"/>
      <c r="X29" s="1296"/>
      <c r="Y29" s="1296"/>
      <c r="Z29" s="1296"/>
      <c r="AA29" s="1296"/>
      <c r="AB29" s="1296"/>
      <c r="AC29" s="1297"/>
    </row>
    <row r="30" spans="2:29" x14ac:dyDescent="0.35">
      <c r="B30" s="1143"/>
      <c r="C30" s="1179"/>
      <c r="D30" s="140">
        <v>2018</v>
      </c>
      <c r="E30" s="1114">
        <v>2019</v>
      </c>
      <c r="F30" s="1115"/>
      <c r="G30" s="1115"/>
      <c r="H30" s="1122"/>
      <c r="I30" s="1114">
        <v>2020</v>
      </c>
      <c r="J30" s="1115"/>
      <c r="K30" s="1115"/>
      <c r="L30" s="1115"/>
      <c r="M30" s="1114">
        <v>2021</v>
      </c>
      <c r="N30" s="1115"/>
      <c r="O30" s="1115"/>
      <c r="P30" s="1115"/>
      <c r="Q30" s="1098">
        <v>2022</v>
      </c>
      <c r="R30" s="1099"/>
      <c r="S30" s="1099"/>
      <c r="T30" s="1308"/>
      <c r="U30" s="1277">
        <v>2023</v>
      </c>
      <c r="V30" s="1146"/>
      <c r="W30" s="1146"/>
      <c r="X30" s="1146"/>
      <c r="Y30" s="1145">
        <v>2024</v>
      </c>
      <c r="Z30" s="1146"/>
      <c r="AA30" s="1146"/>
      <c r="AB30" s="1147"/>
      <c r="AC30" s="239">
        <v>2025</v>
      </c>
    </row>
    <row r="31" spans="2:29" x14ac:dyDescent="0.35">
      <c r="B31" s="1153"/>
      <c r="C31" s="1180"/>
      <c r="D31" s="149" t="s">
        <v>327</v>
      </c>
      <c r="E31" s="149" t="s">
        <v>328</v>
      </c>
      <c r="F31" s="148" t="s">
        <v>329</v>
      </c>
      <c r="G31" s="148" t="s">
        <v>238</v>
      </c>
      <c r="H31" s="198" t="s">
        <v>327</v>
      </c>
      <c r="I31" s="148" t="s">
        <v>328</v>
      </c>
      <c r="J31" s="148" t="s">
        <v>329</v>
      </c>
      <c r="K31" s="148" t="s">
        <v>238</v>
      </c>
      <c r="L31" s="148" t="s">
        <v>327</v>
      </c>
      <c r="M31" s="149" t="s">
        <v>328</v>
      </c>
      <c r="N31" s="148" t="s">
        <v>329</v>
      </c>
      <c r="O31" s="148" t="s">
        <v>238</v>
      </c>
      <c r="P31" s="148" t="s">
        <v>327</v>
      </c>
      <c r="Q31" s="1051" t="s">
        <v>328</v>
      </c>
      <c r="R31" s="1039" t="s">
        <v>329</v>
      </c>
      <c r="S31" s="1039" t="s">
        <v>238</v>
      </c>
      <c r="T31" s="1052" t="s">
        <v>327</v>
      </c>
      <c r="U31" s="1282" t="s">
        <v>328</v>
      </c>
      <c r="V31" s="329" t="s">
        <v>329</v>
      </c>
      <c r="W31" s="329" t="s">
        <v>238</v>
      </c>
      <c r="X31" s="329" t="s">
        <v>327</v>
      </c>
      <c r="Y31" s="328" t="s">
        <v>328</v>
      </c>
      <c r="Z31" s="230" t="s">
        <v>329</v>
      </c>
      <c r="AA31" s="329" t="s">
        <v>238</v>
      </c>
      <c r="AB31" s="341" t="s">
        <v>327</v>
      </c>
      <c r="AC31" s="356" t="s">
        <v>328</v>
      </c>
    </row>
    <row r="32" spans="2:29" ht="19.5" customHeight="1" x14ac:dyDescent="0.35">
      <c r="B32" s="495" t="s">
        <v>498</v>
      </c>
      <c r="C32" s="496"/>
      <c r="D32" s="1406">
        <f t="shared" ref="D32:T32" si="6">D10</f>
        <v>589.5</v>
      </c>
      <c r="E32" s="1407">
        <f t="shared" si="6"/>
        <v>598.70000000000005</v>
      </c>
      <c r="F32" s="1407">
        <f t="shared" si="6"/>
        <v>614.4</v>
      </c>
      <c r="G32" s="1407">
        <f t="shared" si="6"/>
        <v>622.4</v>
      </c>
      <c r="H32" s="1407">
        <f t="shared" si="6"/>
        <v>620.70000000000005</v>
      </c>
      <c r="I32" s="1407">
        <f t="shared" si="6"/>
        <v>606.6</v>
      </c>
      <c r="J32" s="1407">
        <f t="shared" si="6"/>
        <v>654.70000000000005</v>
      </c>
      <c r="K32" s="1407">
        <f t="shared" si="6"/>
        <v>690.7</v>
      </c>
      <c r="L32" s="1407">
        <f t="shared" si="6"/>
        <v>678.3</v>
      </c>
      <c r="M32" s="1407">
        <f t="shared" si="6"/>
        <v>704.4</v>
      </c>
      <c r="N32" s="1407">
        <f t="shared" si="6"/>
        <v>744.8</v>
      </c>
      <c r="O32" s="1407">
        <f t="shared" si="6"/>
        <v>748.2</v>
      </c>
      <c r="P32" s="1407">
        <f t="shared" si="6"/>
        <v>745</v>
      </c>
      <c r="Q32" s="1407">
        <f t="shared" si="6"/>
        <v>763.1</v>
      </c>
      <c r="R32" s="1407">
        <f t="shared" si="6"/>
        <v>789.5</v>
      </c>
      <c r="S32" s="1408">
        <f t="shared" si="6"/>
        <v>786.1</v>
      </c>
      <c r="T32" s="1409">
        <f t="shared" si="6"/>
        <v>0</v>
      </c>
      <c r="U32" s="494" t="e">
        <f>T32*(1+$F$26)^0.25</f>
        <v>#DIV/0!</v>
      </c>
      <c r="V32" s="494" t="e">
        <f>U32*(1+$F$26)^0.25</f>
        <v>#DIV/0!</v>
      </c>
      <c r="W32" s="494" t="e">
        <f>V32*(1+$F$26)^0.25</f>
        <v>#DIV/0!</v>
      </c>
      <c r="X32" s="494" t="e">
        <f t="shared" ref="X32:AC32" si="7">W32*(1+$G$26)^0.25</f>
        <v>#DIV/0!</v>
      </c>
      <c r="Y32" s="494" t="e">
        <f t="shared" si="7"/>
        <v>#DIV/0!</v>
      </c>
      <c r="Z32" s="494" t="e">
        <f t="shared" si="7"/>
        <v>#DIV/0!</v>
      </c>
      <c r="AA32" s="494" t="e">
        <f t="shared" si="7"/>
        <v>#DIV/0!</v>
      </c>
      <c r="AB32" s="494" t="e">
        <f t="shared" si="7"/>
        <v>#DIV/0!</v>
      </c>
      <c r="AC32" s="478" t="e">
        <f t="shared" si="7"/>
        <v>#DIV/0!</v>
      </c>
    </row>
    <row r="33" spans="2:29" ht="19.5" customHeight="1" x14ac:dyDescent="0.35">
      <c r="B33" s="477" t="s">
        <v>1816</v>
      </c>
      <c r="C33" s="238"/>
      <c r="D33" s="497"/>
      <c r="E33" s="1404"/>
      <c r="F33" s="1404"/>
      <c r="G33" s="1404"/>
      <c r="H33" s="1404"/>
      <c r="I33" s="1404"/>
      <c r="J33" s="1404"/>
      <c r="K33" s="1404"/>
      <c r="L33" s="1404"/>
      <c r="M33" s="1404"/>
      <c r="N33" s="1404"/>
      <c r="O33" s="1404"/>
      <c r="P33" s="1404"/>
      <c r="Q33" s="1404"/>
      <c r="R33" s="1404"/>
      <c r="S33" s="1405"/>
      <c r="T33" s="507"/>
      <c r="U33" s="466"/>
      <c r="V33" s="466"/>
      <c r="W33" s="466"/>
      <c r="X33" s="466"/>
      <c r="Y33" s="466"/>
      <c r="Z33" s="466"/>
      <c r="AA33" s="466"/>
      <c r="AB33" s="466"/>
      <c r="AC33" s="466"/>
    </row>
    <row r="34" spans="2:29" ht="19.25" customHeight="1" x14ac:dyDescent="0.35">
      <c r="B34" s="477" t="s">
        <v>207</v>
      </c>
      <c r="C34" s="238"/>
      <c r="D34" s="497">
        <f t="shared" ref="D34:Q34" si="8">D10*D12</f>
        <v>390.53500000000003</v>
      </c>
      <c r="E34" s="1404">
        <f t="shared" si="8"/>
        <v>407.62099999999998</v>
      </c>
      <c r="F34" s="1404">
        <f t="shared" si="8"/>
        <v>416.459</v>
      </c>
      <c r="G34" s="1404">
        <f t="shared" si="8"/>
        <v>418.661</v>
      </c>
      <c r="H34" s="1404">
        <f t="shared" si="8"/>
        <v>411.69499999999999</v>
      </c>
      <c r="I34" s="1404">
        <f t="shared" si="8"/>
        <v>428.30799999999994</v>
      </c>
      <c r="J34" s="1404">
        <f t="shared" si="8"/>
        <v>506.81600000000003</v>
      </c>
      <c r="K34" s="1404">
        <f t="shared" si="8"/>
        <v>484.78000000000003</v>
      </c>
      <c r="L34" s="1404">
        <f t="shared" si="8"/>
        <v>500.25800000000004</v>
      </c>
      <c r="M34" s="1404">
        <f t="shared" si="8"/>
        <v>509.42099999999994</v>
      </c>
      <c r="N34" s="1404">
        <f t="shared" si="8"/>
        <v>527.01700000000005</v>
      </c>
      <c r="O34" s="1404">
        <f t="shared" si="8"/>
        <v>542.85299999999995</v>
      </c>
      <c r="P34" s="1404">
        <f t="shared" si="8"/>
        <v>553.86500000000001</v>
      </c>
      <c r="Q34" s="1404">
        <f t="shared" si="8"/>
        <v>592.26700000000005</v>
      </c>
      <c r="R34" s="1404">
        <f t="shared" ref="R34:AC34" si="9">R32*R12</f>
        <v>590.13</v>
      </c>
      <c r="S34" s="1404">
        <f t="shared" si="9"/>
        <v>605.63699999999994</v>
      </c>
      <c r="T34" s="1410" t="e">
        <f t="shared" si="9"/>
        <v>#DIV/0!</v>
      </c>
      <c r="U34" s="466" t="e">
        <f t="shared" si="9"/>
        <v>#DIV/0!</v>
      </c>
      <c r="V34" s="466" t="e">
        <f t="shared" si="9"/>
        <v>#DIV/0!</v>
      </c>
      <c r="W34" s="466" t="e">
        <f t="shared" si="9"/>
        <v>#DIV/0!</v>
      </c>
      <c r="X34" s="466" t="e">
        <f t="shared" si="9"/>
        <v>#DIV/0!</v>
      </c>
      <c r="Y34" s="466" t="e">
        <f t="shared" si="9"/>
        <v>#DIV/0!</v>
      </c>
      <c r="Z34" s="466" t="e">
        <f t="shared" si="9"/>
        <v>#DIV/0!</v>
      </c>
      <c r="AA34" s="466" t="e">
        <f t="shared" si="9"/>
        <v>#DIV/0!</v>
      </c>
      <c r="AB34" s="466" t="e">
        <f t="shared" si="9"/>
        <v>#DIV/0!</v>
      </c>
      <c r="AC34" s="466" t="e">
        <f t="shared" si="9"/>
        <v>#DIV/0!</v>
      </c>
    </row>
    <row r="35" spans="2:29" ht="19.25" customHeight="1" x14ac:dyDescent="0.35">
      <c r="B35" s="145" t="s">
        <v>499</v>
      </c>
      <c r="C35" s="245"/>
      <c r="D35" s="499">
        <f t="shared" ref="D35:G35" si="10">D32-D34</f>
        <v>198.96499999999997</v>
      </c>
      <c r="E35" s="276">
        <f t="shared" si="10"/>
        <v>191.07900000000006</v>
      </c>
      <c r="F35" s="276">
        <f t="shared" si="10"/>
        <v>197.94099999999997</v>
      </c>
      <c r="G35" s="276">
        <f t="shared" si="10"/>
        <v>203.73899999999998</v>
      </c>
      <c r="H35" s="276">
        <f t="shared" ref="H35:AC35" si="11">H32-H34</f>
        <v>209.00500000000005</v>
      </c>
      <c r="I35" s="276">
        <f t="shared" si="11"/>
        <v>178.29200000000009</v>
      </c>
      <c r="J35" s="276">
        <f t="shared" si="11"/>
        <v>147.88400000000001</v>
      </c>
      <c r="K35" s="276">
        <f t="shared" si="11"/>
        <v>205.92000000000002</v>
      </c>
      <c r="L35" s="276">
        <f t="shared" si="11"/>
        <v>178.04199999999992</v>
      </c>
      <c r="M35" s="276">
        <f t="shared" si="11"/>
        <v>194.97900000000004</v>
      </c>
      <c r="N35" s="276">
        <f t="shared" si="11"/>
        <v>217.7829999999999</v>
      </c>
      <c r="O35" s="276">
        <f>O32-O34</f>
        <v>205.34700000000009</v>
      </c>
      <c r="P35" s="276">
        <f>P32-P34</f>
        <v>191.13499999999999</v>
      </c>
      <c r="Q35" s="276">
        <f t="shared" si="11"/>
        <v>170.83299999999997</v>
      </c>
      <c r="R35" s="276">
        <f t="shared" si="11"/>
        <v>199.37</v>
      </c>
      <c r="S35" s="276">
        <f t="shared" si="11"/>
        <v>180.46300000000008</v>
      </c>
      <c r="T35" s="1411" t="e">
        <f t="shared" si="11"/>
        <v>#DIV/0!</v>
      </c>
      <c r="U35" s="492" t="e">
        <f t="shared" si="11"/>
        <v>#DIV/0!</v>
      </c>
      <c r="V35" s="492" t="e">
        <f t="shared" si="11"/>
        <v>#DIV/0!</v>
      </c>
      <c r="W35" s="492" t="e">
        <f t="shared" si="11"/>
        <v>#DIV/0!</v>
      </c>
      <c r="X35" s="492" t="e">
        <f t="shared" si="11"/>
        <v>#DIV/0!</v>
      </c>
      <c r="Y35" s="492" t="e">
        <f t="shared" si="11"/>
        <v>#DIV/0!</v>
      </c>
      <c r="Z35" s="492" t="e">
        <f t="shared" si="11"/>
        <v>#DIV/0!</v>
      </c>
      <c r="AA35" s="492" t="e">
        <f t="shared" si="11"/>
        <v>#DIV/0!</v>
      </c>
      <c r="AB35" s="492" t="e">
        <f t="shared" si="11"/>
        <v>#DIV/0!</v>
      </c>
      <c r="AC35" s="493" t="e">
        <f t="shared" si="11"/>
        <v>#DIV/0!</v>
      </c>
    </row>
    <row r="36" spans="2:29" ht="19.25" customHeight="1" x14ac:dyDescent="0.35">
      <c r="B36" s="151"/>
      <c r="C36" s="151"/>
      <c r="D36" s="436"/>
      <c r="E36" s="436"/>
      <c r="F36" s="436"/>
      <c r="G36" s="436"/>
      <c r="H36" s="436"/>
      <c r="I36" s="436"/>
      <c r="J36" s="436"/>
      <c r="K36" s="436"/>
      <c r="L36" s="436"/>
      <c r="M36" s="436"/>
      <c r="N36" s="436"/>
      <c r="O36" s="436"/>
      <c r="P36" s="436"/>
      <c r="Q36" s="436"/>
      <c r="R36" s="436"/>
      <c r="S36" s="436"/>
      <c r="T36" s="436"/>
      <c r="U36" s="436"/>
      <c r="V36" s="436"/>
      <c r="W36" s="436"/>
      <c r="X36" s="436"/>
      <c r="Y36" s="436"/>
      <c r="Z36" s="436"/>
      <c r="AA36" s="436"/>
      <c r="AB36" s="436"/>
      <c r="AC36" s="436"/>
    </row>
    <row r="37" spans="2:29" ht="14.75" customHeight="1" x14ac:dyDescent="0.35">
      <c r="H37" s="253"/>
      <c r="I37" s="253"/>
      <c r="J37" s="253"/>
      <c r="K37" s="253"/>
      <c r="L37" s="253"/>
      <c r="M37" s="481"/>
      <c r="N37" s="253"/>
      <c r="O37" s="253"/>
    </row>
    <row r="38" spans="2:29" ht="14.75" customHeight="1" x14ac:dyDescent="0.35">
      <c r="B38" s="483" t="s">
        <v>500</v>
      </c>
      <c r="C38" s="484"/>
      <c r="D38" s="484"/>
      <c r="E38" s="485"/>
      <c r="F38" s="486">
        <v>2021</v>
      </c>
      <c r="G38" s="486">
        <v>2022</v>
      </c>
      <c r="H38" s="486">
        <v>2023</v>
      </c>
      <c r="I38" s="486">
        <v>2024</v>
      </c>
      <c r="J38" s="486">
        <v>2025</v>
      </c>
      <c r="K38" s="486">
        <v>2025</v>
      </c>
      <c r="L38" s="486">
        <v>2027</v>
      </c>
      <c r="M38" s="486">
        <v>2028</v>
      </c>
      <c r="N38" s="486">
        <v>2029</v>
      </c>
      <c r="O38" s="486">
        <v>2030</v>
      </c>
      <c r="P38" s="487">
        <v>2031</v>
      </c>
    </row>
    <row r="39" spans="2:29" ht="15" customHeight="1" x14ac:dyDescent="0.35">
      <c r="B39" s="1193" t="s">
        <v>501</v>
      </c>
      <c r="C39" s="1194"/>
      <c r="D39" s="1194"/>
      <c r="E39" s="1195"/>
      <c r="F39" s="137">
        <v>287</v>
      </c>
      <c r="G39" s="137">
        <v>534</v>
      </c>
      <c r="H39" s="137">
        <v>247</v>
      </c>
      <c r="I39" s="137">
        <v>63</v>
      </c>
      <c r="J39" s="137"/>
      <c r="K39" s="137"/>
      <c r="L39" s="137"/>
      <c r="M39" s="137"/>
      <c r="N39" s="137"/>
      <c r="O39" s="137"/>
      <c r="P39" s="150"/>
    </row>
    <row r="40" spans="2:29" ht="15" customHeight="1" x14ac:dyDescent="0.35">
      <c r="B40" s="1187" t="s">
        <v>502</v>
      </c>
      <c r="C40" s="1188"/>
      <c r="D40" s="1188"/>
      <c r="E40" s="1189"/>
      <c r="F40" s="137">
        <v>0</v>
      </c>
      <c r="G40" s="137">
        <v>0</v>
      </c>
      <c r="H40" s="137">
        <v>756</v>
      </c>
      <c r="I40" s="137">
        <v>1249</v>
      </c>
      <c r="J40" s="137">
        <v>1417</v>
      </c>
      <c r="K40" s="137">
        <v>1522</v>
      </c>
      <c r="L40" s="137">
        <v>1107</v>
      </c>
      <c r="M40" s="137"/>
      <c r="N40" s="137"/>
      <c r="O40" s="137"/>
      <c r="P40" s="150"/>
    </row>
    <row r="41" spans="2:29" x14ac:dyDescent="0.35">
      <c r="B41" s="1187" t="s">
        <v>503</v>
      </c>
      <c r="C41" s="1188"/>
      <c r="D41" s="1188"/>
      <c r="E41" s="1189"/>
      <c r="F41" s="137">
        <v>0</v>
      </c>
      <c r="G41" s="137">
        <v>5</v>
      </c>
      <c r="H41" s="137">
        <v>77</v>
      </c>
      <c r="I41" s="137">
        <v>307</v>
      </c>
      <c r="J41" s="137">
        <v>332</v>
      </c>
      <c r="K41" s="137">
        <v>270</v>
      </c>
      <c r="L41" s="137">
        <v>25</v>
      </c>
      <c r="M41" s="137">
        <v>32</v>
      </c>
      <c r="N41" s="137">
        <v>40</v>
      </c>
      <c r="O41" s="137">
        <v>49</v>
      </c>
      <c r="P41" s="150">
        <v>58</v>
      </c>
    </row>
    <row r="42" spans="2:29" ht="32.75" customHeight="1" x14ac:dyDescent="0.35">
      <c r="B42" s="1190" t="s">
        <v>504</v>
      </c>
      <c r="C42" s="1191"/>
      <c r="D42" s="1191"/>
      <c r="E42" s="1192"/>
      <c r="F42" s="137">
        <v>0</v>
      </c>
      <c r="G42" s="137">
        <v>0</v>
      </c>
      <c r="H42" s="137">
        <v>3768</v>
      </c>
      <c r="I42" s="137">
        <v>3428</v>
      </c>
      <c r="J42" s="137">
        <v>2176</v>
      </c>
      <c r="K42" s="137">
        <v>2304</v>
      </c>
      <c r="L42" s="137">
        <v>2129</v>
      </c>
      <c r="M42" s="137">
        <v>1335</v>
      </c>
      <c r="N42" s="137">
        <v>478</v>
      </c>
      <c r="O42" s="137">
        <v>531</v>
      </c>
      <c r="P42" s="150">
        <v>212</v>
      </c>
    </row>
    <row r="43" spans="2:29" ht="32.75" customHeight="1" x14ac:dyDescent="0.35">
      <c r="B43" s="1190" t="s">
        <v>505</v>
      </c>
      <c r="C43" s="1191"/>
      <c r="D43" s="1191"/>
      <c r="E43" s="1192"/>
      <c r="F43" s="137">
        <v>38</v>
      </c>
      <c r="G43" s="137">
        <v>81</v>
      </c>
      <c r="H43" s="137">
        <v>43</v>
      </c>
      <c r="I43" s="137"/>
      <c r="J43" s="137"/>
      <c r="K43" s="137"/>
      <c r="L43" s="137"/>
      <c r="M43" s="137"/>
      <c r="N43" s="137"/>
      <c r="O43" s="137"/>
      <c r="P43" s="150"/>
    </row>
    <row r="44" spans="2:29" x14ac:dyDescent="0.35">
      <c r="B44" s="1187" t="s">
        <v>506</v>
      </c>
      <c r="C44" s="1188"/>
      <c r="D44" s="1188"/>
      <c r="E44" s="1189"/>
      <c r="F44" s="137"/>
      <c r="G44" s="137"/>
      <c r="H44" s="137"/>
      <c r="I44" s="137">
        <v>-184</v>
      </c>
      <c r="J44" s="137">
        <v>-1830</v>
      </c>
      <c r="K44" s="137">
        <v>-2406</v>
      </c>
      <c r="L44" s="137">
        <v>-2419</v>
      </c>
      <c r="M44" s="137">
        <v>-2467</v>
      </c>
      <c r="N44" s="137">
        <v>-2531</v>
      </c>
      <c r="O44" s="137">
        <v>-2667</v>
      </c>
      <c r="P44" s="150">
        <v>-2809</v>
      </c>
    </row>
    <row r="45" spans="2:29" ht="15.75" customHeight="1" x14ac:dyDescent="0.35">
      <c r="B45" s="1199" t="s">
        <v>507</v>
      </c>
      <c r="C45" s="1200"/>
      <c r="D45" s="1200"/>
      <c r="E45" s="1201"/>
      <c r="F45" s="137">
        <v>6524</v>
      </c>
      <c r="G45" s="137">
        <v>6143</v>
      </c>
      <c r="H45" s="137"/>
      <c r="I45" s="137"/>
      <c r="J45" s="137"/>
      <c r="K45" s="137"/>
      <c r="L45" s="137"/>
      <c r="M45" s="137"/>
      <c r="N45" s="137"/>
      <c r="O45" s="137"/>
      <c r="P45" s="150"/>
    </row>
    <row r="46" spans="2:29" x14ac:dyDescent="0.35">
      <c r="B46" s="1187" t="s">
        <v>508</v>
      </c>
      <c r="C46" s="1188"/>
      <c r="D46" s="1188"/>
      <c r="E46" s="1189"/>
      <c r="F46" s="137">
        <v>50</v>
      </c>
      <c r="G46" s="137">
        <v>175</v>
      </c>
      <c r="H46" s="137">
        <v>25</v>
      </c>
      <c r="I46" s="137"/>
      <c r="J46" s="137"/>
      <c r="K46" s="137"/>
      <c r="L46" s="137"/>
      <c r="M46" s="137"/>
      <c r="N46" s="137"/>
      <c r="O46" s="137"/>
      <c r="P46" s="150"/>
    </row>
    <row r="47" spans="2:29" x14ac:dyDescent="0.35">
      <c r="B47" s="1187" t="s">
        <v>509</v>
      </c>
      <c r="C47" s="1188"/>
      <c r="D47" s="1188"/>
      <c r="E47" s="1189"/>
      <c r="F47" s="137">
        <v>829</v>
      </c>
      <c r="G47" s="137">
        <v>844</v>
      </c>
      <c r="H47" s="137"/>
      <c r="I47" s="137"/>
      <c r="J47" s="137"/>
      <c r="K47" s="137"/>
      <c r="L47" s="137"/>
      <c r="M47" s="137"/>
      <c r="N47" s="137"/>
      <c r="O47" s="137"/>
      <c r="P47" s="150"/>
    </row>
    <row r="48" spans="2:29" x14ac:dyDescent="0.35">
      <c r="B48" s="1202" t="s">
        <v>510</v>
      </c>
      <c r="C48" s="1203"/>
      <c r="D48" s="1203"/>
      <c r="E48" s="1204"/>
      <c r="F48" s="137">
        <f t="shared" ref="F48:P48" si="12">SUM(F39:F47)</f>
        <v>7728</v>
      </c>
      <c r="G48" s="137">
        <f t="shared" si="12"/>
        <v>7782</v>
      </c>
      <c r="H48" s="137">
        <f t="shared" si="12"/>
        <v>4916</v>
      </c>
      <c r="I48" s="137">
        <f t="shared" si="12"/>
        <v>4863</v>
      </c>
      <c r="J48" s="137">
        <f t="shared" si="12"/>
        <v>2095</v>
      </c>
      <c r="K48" s="137">
        <f t="shared" si="12"/>
        <v>1690</v>
      </c>
      <c r="L48" s="137">
        <f t="shared" si="12"/>
        <v>842</v>
      </c>
      <c r="M48" s="137">
        <f t="shared" si="12"/>
        <v>-1100</v>
      </c>
      <c r="N48" s="137">
        <f t="shared" si="12"/>
        <v>-2013</v>
      </c>
      <c r="O48" s="137">
        <f t="shared" si="12"/>
        <v>-2087</v>
      </c>
      <c r="P48" s="150">
        <f t="shared" si="12"/>
        <v>-2539</v>
      </c>
    </row>
    <row r="49" spans="2:17" x14ac:dyDescent="0.35">
      <c r="B49" s="1199" t="s">
        <v>511</v>
      </c>
      <c r="C49" s="1200"/>
      <c r="D49" s="1200"/>
      <c r="E49" s="1201"/>
      <c r="F49" s="137">
        <f t="shared" ref="F49:P49" si="13">F45+F43+F42</f>
        <v>6562</v>
      </c>
      <c r="G49" s="137">
        <f t="shared" si="13"/>
        <v>6224</v>
      </c>
      <c r="H49" s="137">
        <f t="shared" si="13"/>
        <v>3811</v>
      </c>
      <c r="I49" s="137">
        <f t="shared" si="13"/>
        <v>3428</v>
      </c>
      <c r="J49" s="137">
        <f t="shared" si="13"/>
        <v>2176</v>
      </c>
      <c r="K49" s="137">
        <f t="shared" si="13"/>
        <v>2304</v>
      </c>
      <c r="L49" s="137">
        <f t="shared" si="13"/>
        <v>2129</v>
      </c>
      <c r="M49" s="137">
        <f t="shared" si="13"/>
        <v>1335</v>
      </c>
      <c r="N49" s="137">
        <f t="shared" si="13"/>
        <v>478</v>
      </c>
      <c r="O49" s="137">
        <f t="shared" si="13"/>
        <v>531</v>
      </c>
      <c r="P49" s="150">
        <f t="shared" si="13"/>
        <v>212</v>
      </c>
      <c r="Q49" s="151" t="s">
        <v>512</v>
      </c>
    </row>
    <row r="50" spans="2:17" x14ac:dyDescent="0.35">
      <c r="B50" s="1187" t="s">
        <v>513</v>
      </c>
      <c r="C50" s="1188"/>
      <c r="D50" s="1188"/>
      <c r="E50" s="1189"/>
      <c r="F50" s="137">
        <f>(F49/1000)/M32</f>
        <v>9.315729699034641E-3</v>
      </c>
      <c r="G50" s="137">
        <f>(G49/F49)*F50</f>
        <v>8.8358886996024993E-3</v>
      </c>
      <c r="H50" s="137">
        <f>(H49/G49)*G50+H51</f>
        <v>5.4102782509937537E-3</v>
      </c>
      <c r="I50" s="137">
        <f>(I49/H49)*H50+I51</f>
        <v>4.8665530948324813E-3</v>
      </c>
      <c r="J50" s="137">
        <f>J51</f>
        <v>0</v>
      </c>
      <c r="K50" s="137">
        <f t="shared" ref="K50:L50" si="14">K51</f>
        <v>0</v>
      </c>
      <c r="L50" s="137">
        <f t="shared" si="14"/>
        <v>0</v>
      </c>
      <c r="M50" s="137"/>
      <c r="N50" s="137"/>
      <c r="O50" s="137"/>
      <c r="P50" s="150"/>
      <c r="Q50" s="151" t="s">
        <v>514</v>
      </c>
    </row>
    <row r="51" spans="2:17" ht="29.25" customHeight="1" x14ac:dyDescent="0.35">
      <c r="B51" s="463" t="s">
        <v>973</v>
      </c>
      <c r="C51" s="464"/>
      <c r="D51" s="464"/>
      <c r="E51" s="465"/>
      <c r="F51" s="137"/>
      <c r="G51" s="137"/>
      <c r="H51" s="137"/>
      <c r="I51" s="137"/>
      <c r="J51" s="137"/>
      <c r="K51" s="137"/>
      <c r="L51" s="137"/>
      <c r="M51" s="137"/>
      <c r="N51" s="137"/>
      <c r="O51" s="137"/>
      <c r="P51" s="150"/>
      <c r="Q51" s="151"/>
    </row>
    <row r="52" spans="2:17" x14ac:dyDescent="0.35">
      <c r="B52" s="1196"/>
      <c r="C52" s="1197"/>
      <c r="D52" s="1197"/>
      <c r="E52" s="1198"/>
      <c r="F52" s="153"/>
      <c r="G52" s="153"/>
      <c r="H52" s="153"/>
      <c r="I52" s="153"/>
      <c r="J52" s="153"/>
      <c r="K52" s="153"/>
      <c r="L52" s="153"/>
      <c r="M52" s="153"/>
      <c r="N52" s="153"/>
      <c r="O52" s="153"/>
      <c r="P52" s="157"/>
    </row>
  </sheetData>
  <mergeCells count="34">
    <mergeCell ref="U7:AC7"/>
    <mergeCell ref="Q8:T8"/>
    <mergeCell ref="D29:T29"/>
    <mergeCell ref="U29:AC29"/>
    <mergeCell ref="Q30:T30"/>
    <mergeCell ref="U30:X30"/>
    <mergeCell ref="B40:E40"/>
    <mergeCell ref="B1:AC1"/>
    <mergeCell ref="V2:AB4"/>
    <mergeCell ref="B2:U4"/>
    <mergeCell ref="Y30:AB30"/>
    <mergeCell ref="Y8:AB8"/>
    <mergeCell ref="U8:X8"/>
    <mergeCell ref="M30:P30"/>
    <mergeCell ref="M8:P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113" t="s">
        <v>55</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29" ht="14.25" customHeight="1" x14ac:dyDescent="0.35">
      <c r="B2" s="1177" t="s">
        <v>933</v>
      </c>
      <c r="C2" s="1177"/>
      <c r="D2" s="1177"/>
      <c r="E2" s="1177"/>
      <c r="F2" s="1177"/>
      <c r="G2" s="1177"/>
      <c r="H2" s="1177"/>
      <c r="I2" s="1177"/>
      <c r="J2" s="1177"/>
      <c r="K2" s="1177"/>
      <c r="L2" s="1177"/>
      <c r="M2" s="1177"/>
      <c r="N2" s="1177"/>
      <c r="O2" s="1177"/>
      <c r="P2" s="1177"/>
      <c r="Q2" s="1177"/>
      <c r="R2" s="1177"/>
      <c r="S2" s="502"/>
      <c r="T2" s="1206" t="s">
        <v>1004</v>
      </c>
      <c r="U2" s="1206"/>
      <c r="V2" s="1206"/>
      <c r="W2" s="1206"/>
      <c r="X2" s="1206"/>
      <c r="Y2" s="1206"/>
      <c r="Z2" s="1206"/>
      <c r="AA2" s="1206"/>
      <c r="AB2" s="1206"/>
      <c r="AC2" s="1206"/>
    </row>
    <row r="3" spans="2:29" x14ac:dyDescent="0.35">
      <c r="B3" s="1177"/>
      <c r="C3" s="1177"/>
      <c r="D3" s="1177"/>
      <c r="E3" s="1177"/>
      <c r="F3" s="1177"/>
      <c r="G3" s="1177"/>
      <c r="H3" s="1177"/>
      <c r="I3" s="1177"/>
      <c r="J3" s="1177"/>
      <c r="K3" s="1177"/>
      <c r="L3" s="1177"/>
      <c r="M3" s="1177"/>
      <c r="N3" s="1177"/>
      <c r="O3" s="1177"/>
      <c r="P3" s="1177"/>
      <c r="Q3" s="1177"/>
      <c r="R3" s="1177"/>
      <c r="S3" s="502"/>
      <c r="T3" s="1206"/>
      <c r="U3" s="1206"/>
      <c r="V3" s="1206"/>
      <c r="W3" s="1206"/>
      <c r="X3" s="1206"/>
      <c r="Y3" s="1206"/>
      <c r="Z3" s="1206"/>
      <c r="AA3" s="1206"/>
      <c r="AB3" s="1206"/>
      <c r="AC3" s="1206"/>
    </row>
    <row r="4" spans="2:29" ht="21" customHeight="1" x14ac:dyDescent="0.35">
      <c r="B4" s="1177"/>
      <c r="C4" s="1177"/>
      <c r="D4" s="1177"/>
      <c r="E4" s="1177"/>
      <c r="F4" s="1177"/>
      <c r="G4" s="1177"/>
      <c r="H4" s="1177"/>
      <c r="I4" s="1177"/>
      <c r="J4" s="1177"/>
      <c r="K4" s="1177"/>
      <c r="L4" s="1177"/>
      <c r="M4" s="1177"/>
      <c r="N4" s="1177"/>
      <c r="O4" s="1177"/>
      <c r="P4" s="1177"/>
      <c r="Q4" s="1177"/>
      <c r="R4" s="1177"/>
      <c r="S4" s="502"/>
      <c r="T4" s="1206"/>
      <c r="U4" s="1206"/>
      <c r="V4" s="1206"/>
      <c r="W4" s="1206"/>
      <c r="X4" s="1206"/>
      <c r="Y4" s="1206"/>
      <c r="Z4" s="1206"/>
      <c r="AA4" s="1206"/>
      <c r="AB4" s="1206"/>
      <c r="AC4" s="1206"/>
    </row>
    <row r="6" spans="2:29" x14ac:dyDescent="0.35">
      <c r="B6" s="176" t="s">
        <v>381</v>
      </c>
    </row>
    <row r="7" spans="2:29" ht="14.75" customHeight="1" x14ac:dyDescent="0.35">
      <c r="B7" s="1142" t="s">
        <v>465</v>
      </c>
      <c r="C7" s="1125"/>
      <c r="D7" s="1292" t="s">
        <v>325</v>
      </c>
      <c r="E7" s="1293"/>
      <c r="F7" s="1293"/>
      <c r="G7" s="1293"/>
      <c r="H7" s="1293"/>
      <c r="I7" s="1293"/>
      <c r="J7" s="1293"/>
      <c r="K7" s="1293"/>
      <c r="L7" s="1293"/>
      <c r="M7" s="1293"/>
      <c r="N7" s="1293"/>
      <c r="O7" s="1293"/>
      <c r="P7" s="1293"/>
      <c r="Q7" s="1279"/>
      <c r="R7" s="1279"/>
      <c r="S7" s="1279"/>
      <c r="T7" s="1280"/>
      <c r="U7" s="1296" t="s">
        <v>326</v>
      </c>
      <c r="V7" s="1296"/>
      <c r="W7" s="1296"/>
      <c r="X7" s="1296"/>
      <c r="Y7" s="1296"/>
      <c r="Z7" s="1296"/>
      <c r="AA7" s="1296"/>
      <c r="AB7" s="1296"/>
      <c r="AC7" s="1297"/>
    </row>
    <row r="8" spans="2:29" x14ac:dyDescent="0.35">
      <c r="B8" s="1143"/>
      <c r="C8" s="1179"/>
      <c r="D8" s="140">
        <v>2018</v>
      </c>
      <c r="E8" s="1114">
        <v>2019</v>
      </c>
      <c r="F8" s="1115"/>
      <c r="G8" s="1115"/>
      <c r="H8" s="1122"/>
      <c r="I8" s="1114">
        <v>2020</v>
      </c>
      <c r="J8" s="1115"/>
      <c r="K8" s="1115"/>
      <c r="L8" s="1115"/>
      <c r="M8" s="1114">
        <v>2021</v>
      </c>
      <c r="N8" s="1115"/>
      <c r="O8" s="1115"/>
      <c r="P8" s="1099"/>
      <c r="Q8" s="1098">
        <v>2022</v>
      </c>
      <c r="R8" s="1099"/>
      <c r="S8" s="1099"/>
      <c r="T8" s="1308"/>
      <c r="U8" s="1277">
        <v>2023</v>
      </c>
      <c r="V8" s="1146"/>
      <c r="W8" s="1146"/>
      <c r="X8" s="1146"/>
      <c r="Y8" s="1145">
        <v>2024</v>
      </c>
      <c r="Z8" s="1146"/>
      <c r="AA8" s="1146"/>
      <c r="AB8" s="1147"/>
      <c r="AC8" s="239">
        <v>2025</v>
      </c>
    </row>
    <row r="9" spans="2:29" x14ac:dyDescent="0.35">
      <c r="B9" s="1143"/>
      <c r="C9" s="1179"/>
      <c r="D9" s="149" t="s">
        <v>327</v>
      </c>
      <c r="E9" s="149" t="s">
        <v>328</v>
      </c>
      <c r="F9" s="148" t="s">
        <v>329</v>
      </c>
      <c r="G9" s="148" t="s">
        <v>238</v>
      </c>
      <c r="H9" s="198" t="s">
        <v>327</v>
      </c>
      <c r="I9" s="148" t="s">
        <v>328</v>
      </c>
      <c r="J9" s="148" t="s">
        <v>329</v>
      </c>
      <c r="K9" s="148" t="s">
        <v>238</v>
      </c>
      <c r="L9" s="148" t="s">
        <v>327</v>
      </c>
      <c r="M9" s="149" t="s">
        <v>328</v>
      </c>
      <c r="N9" s="148" t="s">
        <v>329</v>
      </c>
      <c r="O9" s="148" t="s">
        <v>238</v>
      </c>
      <c r="P9" s="1039" t="s">
        <v>327</v>
      </c>
      <c r="Q9" s="1051" t="s">
        <v>328</v>
      </c>
      <c r="R9" s="1039" t="s">
        <v>329</v>
      </c>
      <c r="S9" s="1039" t="s">
        <v>238</v>
      </c>
      <c r="T9" s="1052" t="s">
        <v>327</v>
      </c>
      <c r="U9" s="1282" t="s">
        <v>328</v>
      </c>
      <c r="V9" s="329" t="s">
        <v>329</v>
      </c>
      <c r="W9" s="329" t="s">
        <v>238</v>
      </c>
      <c r="X9" s="329" t="s">
        <v>327</v>
      </c>
      <c r="Y9" s="328" t="s">
        <v>328</v>
      </c>
      <c r="Z9" s="230" t="s">
        <v>329</v>
      </c>
      <c r="AA9" s="329" t="s">
        <v>238</v>
      </c>
      <c r="AB9" s="341" t="s">
        <v>327</v>
      </c>
      <c r="AC9" s="356" t="s">
        <v>328</v>
      </c>
    </row>
    <row r="10" spans="2:29" ht="14.75" customHeight="1" x14ac:dyDescent="0.35">
      <c r="B10" s="517" t="s">
        <v>515</v>
      </c>
      <c r="C10" s="36" t="s">
        <v>999</v>
      </c>
      <c r="D10" s="1406">
        <f>'Haver Pivoted'!GO12</f>
        <v>755.3</v>
      </c>
      <c r="E10" s="1407">
        <f>'Haver Pivoted'!GP12</f>
        <v>772.6</v>
      </c>
      <c r="F10" s="1407">
        <f>'Haver Pivoted'!GQ12</f>
        <v>785.8</v>
      </c>
      <c r="G10" s="1407">
        <f>'Haver Pivoted'!GR12</f>
        <v>793.7</v>
      </c>
      <c r="H10" s="1407">
        <f>'Haver Pivoted'!GS12</f>
        <v>796.3</v>
      </c>
      <c r="I10" s="1407">
        <f>'Haver Pivoted'!GT12</f>
        <v>795.3</v>
      </c>
      <c r="J10" s="1407">
        <f>'Haver Pivoted'!GU12</f>
        <v>808</v>
      </c>
      <c r="K10" s="1407">
        <f>'Haver Pivoted'!GV12</f>
        <v>822.1</v>
      </c>
      <c r="L10" s="1407">
        <f>'Haver Pivoted'!GW12</f>
        <v>837.5</v>
      </c>
      <c r="M10" s="1407">
        <f>'Haver Pivoted'!GX12</f>
        <v>857.6</v>
      </c>
      <c r="N10" s="1407">
        <f>'Haver Pivoted'!GY12</f>
        <v>875.4</v>
      </c>
      <c r="O10" s="1407">
        <f>'Haver Pivoted'!GZ12</f>
        <v>889.5</v>
      </c>
      <c r="P10" s="1407">
        <f>'Haver Pivoted'!HA12</f>
        <v>900</v>
      </c>
      <c r="Q10" s="1407">
        <f>'Haver Pivoted'!HB12</f>
        <v>908</v>
      </c>
      <c r="R10" s="1407">
        <f>'Haver Pivoted'!HC12</f>
        <v>911.8</v>
      </c>
      <c r="S10" s="1408">
        <f>'Haver Pivoted'!HD12</f>
        <v>920.3</v>
      </c>
      <c r="T10" s="1409">
        <f>'Haver Pivoted'!HE12</f>
        <v>0</v>
      </c>
      <c r="U10" s="494">
        <f t="shared" ref="U10:AC10" si="0">T10*(1+U12)</f>
        <v>0</v>
      </c>
      <c r="V10" s="494">
        <f t="shared" si="0"/>
        <v>0</v>
      </c>
      <c r="W10" s="494">
        <f t="shared" si="0"/>
        <v>0</v>
      </c>
      <c r="X10" s="494">
        <f t="shared" si="0"/>
        <v>0</v>
      </c>
      <c r="Y10" s="494">
        <f t="shared" si="0"/>
        <v>0</v>
      </c>
      <c r="Z10" s="494">
        <f t="shared" si="0"/>
        <v>0</v>
      </c>
      <c r="AA10" s="494">
        <f t="shared" si="0"/>
        <v>0</v>
      </c>
      <c r="AB10" s="494">
        <f t="shared" si="0"/>
        <v>0</v>
      </c>
      <c r="AC10" s="478">
        <f t="shared" si="0"/>
        <v>0</v>
      </c>
    </row>
    <row r="11" spans="2:29" ht="28.5" customHeight="1" x14ac:dyDescent="0.35">
      <c r="B11" s="528" t="s">
        <v>1001</v>
      </c>
      <c r="C11" s="512" t="s">
        <v>587</v>
      </c>
      <c r="D11" s="529"/>
      <c r="E11" s="1412"/>
      <c r="F11" s="1412"/>
      <c r="G11" s="1412"/>
      <c r="H11" s="1412"/>
      <c r="I11" s="1412"/>
      <c r="J11" s="1413">
        <f>'Haver Pivoted'!GU46</f>
        <v>9.6</v>
      </c>
      <c r="K11" s="1413">
        <f>'Haver Pivoted'!GV46</f>
        <v>14.4</v>
      </c>
      <c r="L11" s="1413">
        <f>'Haver Pivoted'!GW46</f>
        <v>14.3</v>
      </c>
      <c r="M11" s="1413">
        <f>'Haver Pivoted'!GX46</f>
        <v>15</v>
      </c>
      <c r="N11" s="1413">
        <f>'Haver Pivoted'!GY46</f>
        <v>15.3</v>
      </c>
      <c r="O11" s="1413">
        <f>'Haver Pivoted'!GZ46</f>
        <v>15.6</v>
      </c>
      <c r="P11" s="1413">
        <f>'Haver Pivoted'!HA46</f>
        <v>15.7</v>
      </c>
      <c r="Q11" s="1413">
        <f>'Haver Pivoted'!HB46</f>
        <v>15.8</v>
      </c>
      <c r="R11" s="1413">
        <f>'Haver Pivoted'!HC46</f>
        <v>7.9</v>
      </c>
      <c r="S11" s="1414">
        <f>'Haver Pivoted'!HD46</f>
        <v>0</v>
      </c>
      <c r="T11" s="508">
        <f>'Haver Pivoted'!HE46</f>
        <v>0</v>
      </c>
      <c r="U11" s="509">
        <f t="shared" ref="U11:Z11" si="1">T11</f>
        <v>0</v>
      </c>
      <c r="V11" s="509">
        <f t="shared" si="1"/>
        <v>0</v>
      </c>
      <c r="W11" s="509">
        <f t="shared" si="1"/>
        <v>0</v>
      </c>
      <c r="X11" s="509">
        <f t="shared" si="1"/>
        <v>0</v>
      </c>
      <c r="Y11" s="509">
        <f t="shared" si="1"/>
        <v>0</v>
      </c>
      <c r="Z11" s="509">
        <f t="shared" si="1"/>
        <v>0</v>
      </c>
      <c r="AA11" s="509"/>
      <c r="AB11" s="509"/>
      <c r="AC11" s="530"/>
    </row>
    <row r="12" spans="2:29" x14ac:dyDescent="0.35">
      <c r="B12" s="518" t="s">
        <v>516</v>
      </c>
      <c r="C12" s="516"/>
      <c r="D12" s="499"/>
      <c r="E12" s="276"/>
      <c r="F12" s="276"/>
      <c r="G12" s="276"/>
      <c r="H12" s="276"/>
      <c r="I12" s="276"/>
      <c r="J12" s="475"/>
      <c r="K12" s="475"/>
      <c r="L12" s="475"/>
      <c r="M12" s="475"/>
      <c r="N12" s="475">
        <f>(1 + $E$24)^0.25-1</f>
        <v>0</v>
      </c>
      <c r="O12" s="475">
        <f>(1 + $E$24)^0.25-1</f>
        <v>0</v>
      </c>
      <c r="P12" s="475">
        <f>(1 + $F$24)^0.25-1</f>
        <v>2.1178433383513662E-2</v>
      </c>
      <c r="Q12" s="475">
        <f>(1 +$F$24)^0.25-1</f>
        <v>2.1178433383513662E-2</v>
      </c>
      <c r="R12" s="475">
        <f>(1 +$F$24)^0.25-1</f>
        <v>2.1178433383513662E-2</v>
      </c>
      <c r="S12" s="1416">
        <f>(1 +$F$24)^0.25-1</f>
        <v>2.1178433383513662E-2</v>
      </c>
      <c r="T12" s="1415">
        <f>(1 +$G$24)^0.25-1</f>
        <v>2.4294579173445685E-2</v>
      </c>
      <c r="U12" s="504">
        <f>(1 +$G$24)^0.25-1</f>
        <v>2.4294579173445685E-2</v>
      </c>
      <c r="V12" s="504">
        <f>(1 +$G$24)^0.25-1</f>
        <v>2.4294579173445685E-2</v>
      </c>
      <c r="W12" s="504">
        <f>(1 +$G$24)^0.25-1</f>
        <v>2.4294579173445685E-2</v>
      </c>
      <c r="X12" s="504">
        <f t="shared" ref="X12:AC12" si="2">(1 +$H$24)^0.25-1</f>
        <v>2.4113689084445111E-2</v>
      </c>
      <c r="Y12" s="504">
        <f t="shared" si="2"/>
        <v>2.4113689084445111E-2</v>
      </c>
      <c r="Z12" s="504">
        <f t="shared" si="2"/>
        <v>2.4113689084445111E-2</v>
      </c>
      <c r="AA12" s="504">
        <f t="shared" si="2"/>
        <v>2.4113689084445111E-2</v>
      </c>
      <c r="AB12" s="504">
        <f t="shared" si="2"/>
        <v>2.4113689084445111E-2</v>
      </c>
      <c r="AC12" s="505">
        <f t="shared" si="2"/>
        <v>2.4113689084445111E-2</v>
      </c>
    </row>
    <row r="13" spans="2:29" ht="15.75" customHeight="1" x14ac:dyDescent="0.35">
      <c r="B13" s="513"/>
      <c r="C13" s="481"/>
      <c r="D13" s="436"/>
      <c r="E13" s="436"/>
      <c r="F13" s="436"/>
      <c r="G13" s="436"/>
      <c r="H13" s="436"/>
      <c r="I13" s="436"/>
      <c r="J13" s="471"/>
      <c r="K13" s="471"/>
      <c r="L13" s="471"/>
      <c r="M13" s="471"/>
    </row>
    <row r="14" spans="2:29" x14ac:dyDescent="0.35">
      <c r="B14" s="513"/>
      <c r="C14" s="481"/>
      <c r="D14" s="436"/>
      <c r="E14" s="436"/>
      <c r="F14" s="436"/>
      <c r="G14" s="436"/>
      <c r="H14" s="436"/>
      <c r="I14" s="436"/>
      <c r="J14" s="471"/>
      <c r="K14" s="471"/>
      <c r="L14" s="471"/>
      <c r="M14" s="471"/>
    </row>
    <row r="15" spans="2:29" x14ac:dyDescent="0.35">
      <c r="B15" s="513"/>
      <c r="C15" s="481"/>
      <c r="D15" s="436"/>
      <c r="E15" s="436"/>
      <c r="F15" s="436"/>
      <c r="G15" s="436"/>
      <c r="H15" s="436"/>
      <c r="I15" s="436"/>
      <c r="J15" s="471"/>
      <c r="K15" s="471"/>
      <c r="L15" s="471"/>
      <c r="M15" s="471"/>
    </row>
    <row r="16" spans="2:29" ht="14.75" customHeight="1" x14ac:dyDescent="0.35">
      <c r="B16" s="176" t="s">
        <v>400</v>
      </c>
    </row>
    <row r="17" spans="2:32" x14ac:dyDescent="0.35">
      <c r="B17" s="522" t="s">
        <v>493</v>
      </c>
      <c r="C17" s="522">
        <v>2019</v>
      </c>
      <c r="D17" s="523">
        <v>2020</v>
      </c>
      <c r="E17" s="523">
        <v>2021</v>
      </c>
      <c r="F17" s="523">
        <v>2022</v>
      </c>
      <c r="G17" s="523">
        <v>2023</v>
      </c>
      <c r="H17" s="524">
        <v>2024</v>
      </c>
      <c r="I17" s="524">
        <v>2025</v>
      </c>
      <c r="J17" s="524">
        <v>2026</v>
      </c>
    </row>
    <row r="18" spans="2:32" ht="21" customHeight="1" x14ac:dyDescent="0.35">
      <c r="B18" s="515" t="s">
        <v>971</v>
      </c>
      <c r="C18" s="526"/>
      <c r="D18" s="510"/>
      <c r="E18" s="249">
        <v>867.67600000000004</v>
      </c>
      <c r="F18" s="249">
        <v>941.351</v>
      </c>
      <c r="G18" s="249">
        <v>1008.7670000000001</v>
      </c>
      <c r="H18" s="249">
        <v>1085.711</v>
      </c>
      <c r="I18" s="249">
        <v>1165.28</v>
      </c>
      <c r="J18" s="506">
        <v>1262.203</v>
      </c>
      <c r="K18" s="510"/>
      <c r="L18" s="510"/>
      <c r="M18" s="510"/>
      <c r="N18" s="510"/>
      <c r="O18" s="510"/>
      <c r="P18" s="331"/>
      <c r="Q18" s="331"/>
      <c r="R18" s="331"/>
      <c r="S18" s="331"/>
      <c r="T18" s="331"/>
      <c r="U18" s="331"/>
      <c r="V18" s="331"/>
      <c r="W18" s="331"/>
      <c r="X18" s="331"/>
      <c r="Y18" s="331"/>
      <c r="Z18" s="331"/>
      <c r="AA18" s="331"/>
      <c r="AB18" s="331"/>
      <c r="AC18" s="331"/>
    </row>
    <row r="19" spans="2:32" ht="21" customHeight="1" x14ac:dyDescent="0.35">
      <c r="B19" s="515"/>
      <c r="C19" s="526"/>
      <c r="D19" s="510"/>
      <c r="E19" s="249">
        <f>AVERAGE(L10:O10)</f>
        <v>865</v>
      </c>
      <c r="F19" s="249">
        <f>AVERAGE(P10:S10)</f>
        <v>910.02500000000009</v>
      </c>
      <c r="G19" s="249">
        <f>AVERAGE(T10:W10)</f>
        <v>0</v>
      </c>
      <c r="H19" s="249">
        <f>AVERAGE(X10:AA10)</f>
        <v>0</v>
      </c>
      <c r="I19" s="249">
        <f>AVERAGE(AB10:AE10)</f>
        <v>0</v>
      </c>
      <c r="J19" s="272"/>
      <c r="K19" s="510"/>
      <c r="L19" s="510"/>
      <c r="M19" s="510"/>
      <c r="N19" s="510"/>
      <c r="O19" s="510"/>
      <c r="P19" s="331"/>
      <c r="Q19" s="331"/>
      <c r="R19" s="331"/>
      <c r="S19" s="331"/>
      <c r="T19" s="331"/>
      <c r="U19" s="331"/>
      <c r="V19" s="331"/>
      <c r="W19" s="331"/>
      <c r="X19" s="331"/>
      <c r="Y19" s="331"/>
      <c r="Z19" s="331"/>
      <c r="AA19" s="331"/>
      <c r="AB19" s="331"/>
      <c r="AC19" s="331"/>
    </row>
    <row r="20" spans="2:32" ht="21" customHeight="1" x14ac:dyDescent="0.35">
      <c r="B20" s="174" t="s">
        <v>517</v>
      </c>
      <c r="C20" s="174"/>
      <c r="D20" s="151">
        <v>47</v>
      </c>
      <c r="E20" s="151">
        <v>48</v>
      </c>
      <c r="F20" s="36">
        <v>-50</v>
      </c>
      <c r="G20" s="36">
        <v>-45</v>
      </c>
      <c r="H20" s="36"/>
      <c r="I20" s="36"/>
      <c r="J20" s="520">
        <f>SUM(D20:G20)</f>
        <v>0</v>
      </c>
      <c r="M20" s="510"/>
      <c r="N20" s="510"/>
      <c r="O20" s="510"/>
      <c r="P20" s="331"/>
      <c r="Q20" s="331"/>
      <c r="R20" s="331"/>
      <c r="S20" s="331"/>
      <c r="T20" s="331"/>
      <c r="U20" s="331"/>
      <c r="V20" s="331"/>
      <c r="W20" s="331"/>
      <c r="X20" s="331"/>
      <c r="Y20" s="331"/>
      <c r="Z20" s="331"/>
      <c r="AA20" s="331"/>
      <c r="AB20" s="331"/>
      <c r="AC20" s="331"/>
    </row>
    <row r="21" spans="2:32" ht="21" customHeight="1" x14ac:dyDescent="0.35">
      <c r="B21" s="515" t="s">
        <v>1282</v>
      </c>
      <c r="C21" s="174"/>
      <c r="D21" s="151"/>
      <c r="E21" s="151"/>
      <c r="F21" s="36"/>
      <c r="G21" s="77">
        <f>'IRA and CHIPS'!E175</f>
        <v>-0.41499999999999998</v>
      </c>
      <c r="H21" s="77">
        <f>'IRA and CHIPS'!F175</f>
        <v>2.7679999999999998</v>
      </c>
      <c r="I21" s="77">
        <f>'IRA and CHIPS'!G175</f>
        <v>-12.473000000000001</v>
      </c>
      <c r="J21" s="511">
        <f>'IRA and CHIPS'!H175</f>
        <v>-5.3739999999999997</v>
      </c>
      <c r="M21" s="510"/>
      <c r="N21" s="510"/>
      <c r="O21" s="510"/>
      <c r="P21" s="331"/>
      <c r="Q21" s="331"/>
      <c r="R21" s="331"/>
      <c r="S21" s="331"/>
      <c r="T21" s="331"/>
      <c r="U21" s="331"/>
      <c r="V21" s="331"/>
      <c r="W21" s="331"/>
      <c r="X21" s="331"/>
      <c r="Y21" s="331"/>
      <c r="Z21" s="331"/>
      <c r="AA21" s="331"/>
      <c r="AB21" s="331"/>
      <c r="AC21" s="331"/>
    </row>
    <row r="22" spans="2:32" x14ac:dyDescent="0.35">
      <c r="B22" s="174" t="s">
        <v>1476</v>
      </c>
      <c r="C22" s="526"/>
      <c r="D22" s="175"/>
      <c r="E22" s="175">
        <f>E18-E20</f>
        <v>819.67600000000004</v>
      </c>
      <c r="F22" s="175">
        <f>F18+F20</f>
        <v>891.351</v>
      </c>
      <c r="G22" s="175">
        <f>G18+G20+G21</f>
        <v>963.35200000000009</v>
      </c>
      <c r="H22" s="175">
        <f>H18+H20+H21</f>
        <v>1088.479</v>
      </c>
      <c r="I22" s="175">
        <f>I18+I20+I21</f>
        <v>1152.807</v>
      </c>
      <c r="J22" s="520"/>
      <c r="N22" s="521"/>
      <c r="O22" s="481"/>
      <c r="P22" s="331"/>
      <c r="Q22" s="331"/>
      <c r="R22" s="331"/>
      <c r="S22" s="331"/>
      <c r="T22" s="331"/>
      <c r="U22" s="331"/>
      <c r="V22" s="331"/>
      <c r="W22" s="331"/>
      <c r="X22" s="331"/>
      <c r="Y22" s="331"/>
      <c r="Z22" s="331"/>
      <c r="AA22" s="331"/>
      <c r="AB22" s="331"/>
      <c r="AC22" s="331"/>
    </row>
    <row r="23" spans="2:32" x14ac:dyDescent="0.35">
      <c r="B23" s="174" t="s">
        <v>519</v>
      </c>
      <c r="C23" s="527">
        <f>AVERAGE(D10:G10)</f>
        <v>776.84999999999991</v>
      </c>
      <c r="D23" s="253">
        <f>AVERAGE(H10:K10)</f>
        <v>805.42499999999995</v>
      </c>
      <c r="E23" s="175">
        <f>AVERAGE(L10:O10)</f>
        <v>865</v>
      </c>
      <c r="F23" s="36"/>
      <c r="G23" s="36"/>
      <c r="H23" s="36"/>
      <c r="I23" s="36"/>
      <c r="J23" s="520"/>
      <c r="K23" s="151" t="s">
        <v>518</v>
      </c>
      <c r="P23" s="331"/>
      <c r="Q23" s="331"/>
      <c r="R23" s="331"/>
      <c r="S23" s="331"/>
      <c r="T23" s="331"/>
      <c r="U23" s="331"/>
      <c r="V23" s="331"/>
      <c r="W23" s="331"/>
      <c r="X23" s="331"/>
      <c r="Y23" s="331"/>
      <c r="Z23" s="331"/>
      <c r="AA23" s="331"/>
      <c r="AB23" s="331"/>
      <c r="AC23" s="331"/>
    </row>
    <row r="24" spans="2:32" x14ac:dyDescent="0.35">
      <c r="B24" s="525" t="s">
        <v>1015</v>
      </c>
      <c r="C24" s="145"/>
      <c r="D24" s="245"/>
      <c r="E24" s="245"/>
      <c r="F24" s="245">
        <f>F22/E22-1</f>
        <v>8.7443087268628039E-2</v>
      </c>
      <c r="G24" s="245">
        <f>G22/F22-1+0.02</f>
        <v>0.10077738174972616</v>
      </c>
      <c r="H24" s="245">
        <v>0.1</v>
      </c>
      <c r="I24" s="245">
        <f t="shared" ref="I24:J24" si="3">I22/H22-1</f>
        <v>5.9098981238958181E-2</v>
      </c>
      <c r="J24" s="514">
        <f t="shared" si="3"/>
        <v>-1</v>
      </c>
      <c r="P24" s="151"/>
      <c r="Q24" s="151"/>
      <c r="R24" s="151"/>
      <c r="S24" s="151"/>
      <c r="T24" s="151"/>
      <c r="U24" s="151"/>
      <c r="V24" s="151"/>
      <c r="W24" s="151"/>
      <c r="X24" s="151"/>
      <c r="Y24" s="151"/>
      <c r="Z24" s="151"/>
      <c r="AA24" s="151"/>
      <c r="AB24" s="151"/>
      <c r="AC24" s="151"/>
    </row>
    <row r="25" spans="2:32" x14ac:dyDescent="0.35">
      <c r="P25" s="151"/>
      <c r="Q25" s="151"/>
      <c r="R25" s="151"/>
      <c r="S25" s="151"/>
      <c r="T25" s="151"/>
      <c r="U25" s="151"/>
      <c r="V25" s="151"/>
      <c r="W25" s="151"/>
      <c r="X25" s="151"/>
      <c r="Y25" s="151"/>
      <c r="Z25" s="151"/>
      <c r="AA25" s="151"/>
      <c r="AB25" s="151"/>
      <c r="AC25" s="151"/>
    </row>
    <row r="26" spans="2:32" x14ac:dyDescent="0.35">
      <c r="C26" s="519"/>
      <c r="D26" s="519"/>
      <c r="E26" s="519"/>
      <c r="F26" s="519"/>
      <c r="G26" s="519"/>
      <c r="H26" s="519"/>
      <c r="I26" s="519"/>
      <c r="J26" s="519"/>
      <c r="P26" s="151"/>
      <c r="Q26" s="151"/>
      <c r="R26" s="151"/>
      <c r="S26" s="151"/>
      <c r="T26" s="151"/>
      <c r="U26" s="151"/>
      <c r="V26" s="151"/>
      <c r="W26" s="151"/>
      <c r="X26" s="151"/>
      <c r="Y26" s="151"/>
      <c r="Z26" s="151"/>
      <c r="AA26" s="151"/>
      <c r="AB26" s="151"/>
      <c r="AC26" s="151"/>
    </row>
    <row r="27" spans="2:32" x14ac:dyDescent="0.35">
      <c r="K27" s="519"/>
      <c r="L27" s="519"/>
      <c r="M27" s="519"/>
      <c r="N27" s="519"/>
      <c r="P27" s="151"/>
      <c r="Q27" s="151"/>
      <c r="R27" s="151"/>
      <c r="S27" s="151"/>
      <c r="T27" s="151"/>
      <c r="U27" s="151"/>
      <c r="V27" s="151"/>
      <c r="W27" s="151"/>
      <c r="X27" s="151"/>
      <c r="Y27" s="151"/>
      <c r="Z27" s="151"/>
      <c r="AA27" s="151"/>
      <c r="AB27" s="151"/>
      <c r="AC27" s="151"/>
    </row>
    <row r="28" spans="2:32" x14ac:dyDescent="0.35">
      <c r="P28" s="151"/>
      <c r="Q28" s="151"/>
      <c r="R28" s="151"/>
      <c r="S28" s="151"/>
      <c r="T28" s="151"/>
      <c r="U28" s="151"/>
      <c r="V28" s="151"/>
      <c r="W28" s="151"/>
      <c r="X28" s="151"/>
      <c r="Y28" s="151"/>
      <c r="Z28" s="151"/>
      <c r="AA28" s="151"/>
      <c r="AB28" s="151"/>
      <c r="AC28" s="151"/>
    </row>
    <row r="29" spans="2:32" x14ac:dyDescent="0.35">
      <c r="S29" s="151"/>
      <c r="T29" s="151"/>
      <c r="U29" s="151"/>
      <c r="V29" s="151"/>
      <c r="W29" s="151"/>
      <c r="X29" s="151"/>
      <c r="Y29" s="151"/>
      <c r="Z29" s="151"/>
      <c r="AA29" s="151"/>
      <c r="AB29" s="151"/>
      <c r="AC29" s="151"/>
      <c r="AD29" s="151"/>
      <c r="AE29" s="151"/>
      <c r="AF29" s="151"/>
    </row>
    <row r="30" spans="2:32" x14ac:dyDescent="0.35">
      <c r="P30" s="151"/>
      <c r="Q30" s="151"/>
      <c r="R30" s="151"/>
      <c r="S30" s="151"/>
      <c r="T30" s="151"/>
      <c r="U30" s="151"/>
      <c r="V30" s="151"/>
      <c r="W30" s="151"/>
      <c r="X30" s="151"/>
      <c r="Y30" s="151"/>
      <c r="Z30" s="151"/>
      <c r="AA30" s="151"/>
      <c r="AB30" s="151"/>
      <c r="AC30" s="151"/>
    </row>
    <row r="31" spans="2:32" x14ac:dyDescent="0.35">
      <c r="F31" s="36"/>
      <c r="G31" s="36"/>
      <c r="P31" s="151"/>
      <c r="Q31" s="151"/>
      <c r="R31" s="151"/>
      <c r="S31" s="151"/>
      <c r="T31" s="151"/>
      <c r="U31" s="151"/>
      <c r="V31" s="151"/>
      <c r="W31" s="151"/>
      <c r="X31" s="151"/>
      <c r="Y31" s="151"/>
      <c r="Z31" s="151"/>
      <c r="AA31" s="151"/>
      <c r="AB31" s="151"/>
      <c r="AC31" s="151"/>
    </row>
    <row r="32" spans="2:32" x14ac:dyDescent="0.35">
      <c r="P32" s="151"/>
      <c r="Q32" s="151"/>
      <c r="R32" s="151"/>
      <c r="S32" s="151"/>
      <c r="T32" s="151"/>
      <c r="U32" s="151"/>
      <c r="V32" s="151"/>
      <c r="W32" s="151"/>
      <c r="X32" s="151"/>
      <c r="Y32" s="151"/>
      <c r="Z32" s="151"/>
      <c r="AA32" s="151"/>
      <c r="AB32" s="151"/>
      <c r="AC32" s="151"/>
    </row>
    <row r="33" spans="16:29" x14ac:dyDescent="0.35">
      <c r="P33" s="151"/>
      <c r="Q33" s="151"/>
      <c r="R33" s="151"/>
      <c r="S33" s="151"/>
      <c r="T33" s="151"/>
      <c r="U33" s="151"/>
      <c r="V33" s="151"/>
      <c r="W33" s="151"/>
      <c r="X33" s="151"/>
      <c r="Y33" s="151"/>
      <c r="Z33" s="151"/>
      <c r="AA33" s="151"/>
      <c r="AB33" s="151"/>
      <c r="AC33" s="15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113" t="s">
        <v>56</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1:29" ht="14.75" customHeight="1" x14ac:dyDescent="0.35">
      <c r="B2" s="1141" t="s">
        <v>520</v>
      </c>
      <c r="C2" s="1141"/>
      <c r="D2" s="1141"/>
      <c r="E2" s="1141"/>
      <c r="F2" s="1141"/>
      <c r="G2" s="1141"/>
      <c r="H2" s="1141"/>
      <c r="I2" s="1141"/>
      <c r="J2" s="1141"/>
      <c r="K2" s="1141"/>
      <c r="L2" s="1141"/>
      <c r="M2" s="1141"/>
      <c r="N2" s="1141"/>
      <c r="O2" s="1141"/>
      <c r="P2" s="1141"/>
      <c r="Q2" s="1141"/>
      <c r="R2" s="1141"/>
      <c r="S2" s="1141"/>
      <c r="T2" s="1141"/>
      <c r="U2" s="1141"/>
      <c r="V2" s="1141"/>
      <c r="W2" s="1141"/>
      <c r="X2" s="1141"/>
      <c r="Y2" s="1141"/>
      <c r="Z2" s="1141"/>
      <c r="AA2" s="1141"/>
      <c r="AB2" s="1141"/>
      <c r="AC2" s="1141"/>
    </row>
    <row r="3" spans="1:29" x14ac:dyDescent="0.35">
      <c r="B3" s="1141"/>
      <c r="C3" s="1141"/>
      <c r="D3" s="1141"/>
      <c r="E3" s="1141"/>
      <c r="F3" s="1141"/>
      <c r="G3" s="1141"/>
      <c r="H3" s="1141"/>
      <c r="I3" s="1141"/>
      <c r="J3" s="1141"/>
      <c r="K3" s="1141"/>
      <c r="L3" s="1141"/>
      <c r="M3" s="1141"/>
      <c r="N3" s="1141"/>
      <c r="O3" s="1141"/>
      <c r="P3" s="1141"/>
      <c r="Q3" s="1141"/>
      <c r="R3" s="1141"/>
      <c r="S3" s="1141"/>
      <c r="T3" s="1141"/>
      <c r="U3" s="1141"/>
      <c r="V3" s="1141"/>
      <c r="W3" s="1141"/>
      <c r="X3" s="1141"/>
      <c r="Y3" s="1141"/>
      <c r="Z3" s="1141"/>
      <c r="AA3" s="1141"/>
      <c r="AB3" s="1141"/>
      <c r="AC3" s="1141"/>
    </row>
    <row r="4" spans="1:29" x14ac:dyDescent="0.35">
      <c r="B4" s="1141"/>
      <c r="C4" s="1141"/>
      <c r="D4" s="1141"/>
      <c r="E4" s="1141"/>
      <c r="F4" s="1141"/>
      <c r="G4" s="1141"/>
      <c r="H4" s="1141"/>
      <c r="I4" s="1141"/>
      <c r="J4" s="1141"/>
      <c r="K4" s="1141"/>
      <c r="L4" s="1141"/>
      <c r="M4" s="1141"/>
      <c r="N4" s="1141"/>
      <c r="O4" s="1141"/>
      <c r="P4" s="1141"/>
      <c r="Q4" s="1141"/>
      <c r="R4" s="1141"/>
      <c r="S4" s="1141"/>
      <c r="T4" s="1141"/>
      <c r="U4" s="1141"/>
      <c r="V4" s="1141"/>
      <c r="W4" s="1141"/>
      <c r="X4" s="1141"/>
      <c r="Y4" s="1141"/>
      <c r="Z4" s="1141"/>
      <c r="AA4" s="1141"/>
      <c r="AB4" s="1141"/>
      <c r="AC4" s="1141"/>
    </row>
    <row r="5" spans="1:29" x14ac:dyDescent="0.35">
      <c r="B5" s="326"/>
      <c r="C5" s="151"/>
      <c r="D5" s="151"/>
      <c r="E5" s="151"/>
      <c r="F5" s="151"/>
      <c r="G5" s="151"/>
      <c r="H5" s="151"/>
      <c r="I5" s="151"/>
      <c r="J5" s="151"/>
      <c r="K5" s="151"/>
      <c r="L5" s="151"/>
      <c r="M5" s="151"/>
      <c r="N5" s="151"/>
      <c r="O5" s="151"/>
      <c r="P5" s="151"/>
      <c r="Q5" s="151"/>
      <c r="R5" s="151"/>
      <c r="S5" s="151"/>
      <c r="T5" s="151"/>
      <c r="U5" s="151"/>
      <c r="V5" s="151"/>
      <c r="W5" s="151"/>
      <c r="X5" s="151"/>
      <c r="Y5" s="151"/>
    </row>
    <row r="6" spans="1:29" x14ac:dyDescent="0.35">
      <c r="B6" s="1142" t="s">
        <v>465</v>
      </c>
      <c r="C6" s="1126"/>
      <c r="D6" s="1292" t="s">
        <v>325</v>
      </c>
      <c r="E6" s="1293"/>
      <c r="F6" s="1293"/>
      <c r="G6" s="1293"/>
      <c r="H6" s="1293"/>
      <c r="I6" s="1293"/>
      <c r="J6" s="1293"/>
      <c r="K6" s="1293"/>
      <c r="L6" s="1293"/>
      <c r="M6" s="1293"/>
      <c r="N6" s="1293"/>
      <c r="O6" s="1293"/>
      <c r="P6" s="1293"/>
      <c r="Q6" s="1279"/>
      <c r="R6" s="1279"/>
      <c r="S6" s="1279"/>
      <c r="T6" s="1280"/>
      <c r="U6" s="1296" t="s">
        <v>326</v>
      </c>
      <c r="V6" s="1296"/>
      <c r="W6" s="1296"/>
      <c r="X6" s="1296"/>
      <c r="Y6" s="1296"/>
      <c r="Z6" s="1296"/>
      <c r="AA6" s="1296"/>
      <c r="AB6" s="1296"/>
      <c r="AC6" s="1297"/>
    </row>
    <row r="7" spans="1:29" x14ac:dyDescent="0.35">
      <c r="B7" s="1143"/>
      <c r="C7" s="1144"/>
      <c r="D7" s="140">
        <v>2018</v>
      </c>
      <c r="E7" s="1114">
        <v>2019</v>
      </c>
      <c r="F7" s="1115"/>
      <c r="G7" s="1115"/>
      <c r="H7" s="1122"/>
      <c r="I7" s="1114">
        <v>2020</v>
      </c>
      <c r="J7" s="1115"/>
      <c r="K7" s="1115"/>
      <c r="L7" s="1115"/>
      <c r="M7" s="1114">
        <v>2021</v>
      </c>
      <c r="N7" s="1115"/>
      <c r="O7" s="1115"/>
      <c r="P7" s="1115"/>
      <c r="Q7" s="1098">
        <v>2022</v>
      </c>
      <c r="R7" s="1099"/>
      <c r="S7" s="1099"/>
      <c r="T7" s="1308"/>
      <c r="U7" s="1277">
        <v>2023</v>
      </c>
      <c r="V7" s="1146"/>
      <c r="W7" s="1146"/>
      <c r="X7" s="1146"/>
      <c r="Y7" s="1145">
        <v>2024</v>
      </c>
      <c r="Z7" s="1146"/>
      <c r="AA7" s="1146"/>
      <c r="AB7" s="1147"/>
      <c r="AC7" s="239">
        <v>2025</v>
      </c>
    </row>
    <row r="8" spans="1:29" x14ac:dyDescent="0.35">
      <c r="B8" s="1153"/>
      <c r="C8" s="1154"/>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1" t="s">
        <v>328</v>
      </c>
      <c r="R8" s="1039" t="s">
        <v>329</v>
      </c>
      <c r="S8" s="1039" t="s">
        <v>238</v>
      </c>
      <c r="T8" s="1052" t="s">
        <v>327</v>
      </c>
      <c r="U8" s="1282" t="s">
        <v>328</v>
      </c>
      <c r="V8" s="329" t="s">
        <v>329</v>
      </c>
      <c r="W8" s="329" t="s">
        <v>238</v>
      </c>
      <c r="X8" s="329" t="s">
        <v>327</v>
      </c>
      <c r="Y8" s="328" t="s">
        <v>328</v>
      </c>
      <c r="Z8" s="230" t="s">
        <v>329</v>
      </c>
      <c r="AA8" s="329" t="s">
        <v>238</v>
      </c>
      <c r="AB8" s="341" t="s">
        <v>327</v>
      </c>
      <c r="AC8" s="356" t="s">
        <v>328</v>
      </c>
    </row>
    <row r="9" spans="1:29" x14ac:dyDescent="0.35">
      <c r="B9" s="476" t="s">
        <v>56</v>
      </c>
      <c r="C9" s="396" t="s">
        <v>521</v>
      </c>
      <c r="D9" s="1419"/>
      <c r="E9" s="1420"/>
      <c r="F9" s="1420"/>
      <c r="G9" s="1420"/>
      <c r="H9" s="1420"/>
      <c r="I9" s="1420"/>
      <c r="J9" s="1337">
        <f>'Haver Pivoted'!GU45</f>
        <v>1078.0999999999999</v>
      </c>
      <c r="K9" s="1337">
        <f>'Haver Pivoted'!GV45</f>
        <v>15.6</v>
      </c>
      <c r="L9" s="1337">
        <f>'Haver Pivoted'!GW45</f>
        <v>5</v>
      </c>
      <c r="M9" s="1337">
        <f>'Haver Pivoted'!GX45</f>
        <v>1933.7</v>
      </c>
      <c r="N9" s="1337">
        <f>'Haver Pivoted'!GY45</f>
        <v>290.10000000000002</v>
      </c>
      <c r="O9" s="1337">
        <f>'Haver Pivoted'!GZ45</f>
        <v>38.9</v>
      </c>
      <c r="P9" s="1337">
        <f>'Haver Pivoted'!HA45</f>
        <v>14.2</v>
      </c>
      <c r="Q9" s="1337">
        <f>'Haver Pivoted'!HB45</f>
        <v>0</v>
      </c>
      <c r="R9" s="1337">
        <f>'Haver Pivoted'!HC45</f>
        <v>0</v>
      </c>
      <c r="S9" s="1050">
        <f>'Haver Pivoted'!HD45</f>
        <v>0</v>
      </c>
      <c r="T9" s="1329">
        <f>'Haver Pivoted'!HE45</f>
        <v>0</v>
      </c>
      <c r="U9" s="225"/>
      <c r="V9" s="225"/>
      <c r="W9" s="225"/>
      <c r="X9" s="225"/>
      <c r="Y9" s="225"/>
      <c r="Z9" s="225"/>
      <c r="AA9" s="225"/>
      <c r="AB9" s="225"/>
      <c r="AC9" s="226"/>
    </row>
    <row r="10" spans="1:29" x14ac:dyDescent="0.35">
      <c r="B10" s="477" t="s">
        <v>214</v>
      </c>
      <c r="C10" s="238"/>
      <c r="D10" s="477"/>
      <c r="E10" s="1375"/>
      <c r="F10" s="1375"/>
      <c r="G10" s="1375"/>
      <c r="H10" s="1375"/>
      <c r="I10" s="1375"/>
      <c r="J10" s="1417"/>
      <c r="K10" s="1417"/>
      <c r="L10" s="1417"/>
      <c r="M10" s="1417">
        <f t="shared" ref="M10:T10" si="0">M9-M11</f>
        <v>1348.1</v>
      </c>
      <c r="N10" s="1417">
        <f t="shared" si="0"/>
        <v>290.10000000000002</v>
      </c>
      <c r="O10" s="1417">
        <f t="shared" si="0"/>
        <v>38.9</v>
      </c>
      <c r="P10" s="1417">
        <f t="shared" si="0"/>
        <v>14.2</v>
      </c>
      <c r="Q10" s="1417">
        <f t="shared" si="0"/>
        <v>0</v>
      </c>
      <c r="R10" s="1417">
        <f t="shared" si="0"/>
        <v>0</v>
      </c>
      <c r="S10" s="1418">
        <f t="shared" si="0"/>
        <v>0</v>
      </c>
      <c r="T10" s="1421">
        <f t="shared" si="0"/>
        <v>0</v>
      </c>
      <c r="U10" s="532"/>
      <c r="V10" s="532"/>
      <c r="W10" s="532"/>
      <c r="X10" s="532"/>
      <c r="Y10" s="532"/>
      <c r="Z10" s="532"/>
      <c r="AA10" s="532"/>
      <c r="AB10" s="532"/>
      <c r="AC10" s="542"/>
    </row>
    <row r="11" spans="1:29" x14ac:dyDescent="0.35">
      <c r="B11" s="437" t="s">
        <v>522</v>
      </c>
      <c r="C11" s="438"/>
      <c r="D11" s="437"/>
      <c r="E11" s="438"/>
      <c r="F11" s="438"/>
      <c r="G11" s="438"/>
      <c r="H11" s="438"/>
      <c r="I11" s="438"/>
      <c r="J11" s="541">
        <f t="shared" ref="J11:L11" si="1">J9-J10</f>
        <v>1078.0999999999999</v>
      </c>
      <c r="K11" s="541">
        <f t="shared" si="1"/>
        <v>15.6</v>
      </c>
      <c r="L11" s="541">
        <f t="shared" si="1"/>
        <v>5</v>
      </c>
      <c r="M11" s="541">
        <f>SUM(C17:D17)/12*4</f>
        <v>585.6</v>
      </c>
      <c r="N11" s="541">
        <v>0</v>
      </c>
      <c r="O11" s="541">
        <v>0</v>
      </c>
      <c r="P11" s="541">
        <v>0</v>
      </c>
      <c r="Q11" s="541">
        <v>0</v>
      </c>
      <c r="R11" s="541">
        <v>0</v>
      </c>
      <c r="S11" s="541">
        <v>0</v>
      </c>
      <c r="T11" s="1422"/>
      <c r="U11" s="533"/>
      <c r="V11" s="533"/>
      <c r="W11" s="533"/>
      <c r="X11" s="533"/>
      <c r="Y11" s="533"/>
      <c r="Z11" s="533"/>
      <c r="AA11" s="533"/>
      <c r="AB11" s="533"/>
      <c r="AC11" s="534"/>
    </row>
    <row r="12" spans="1:29" x14ac:dyDescent="0.35">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36"/>
      <c r="AA12" s="36"/>
      <c r="AB12" s="36"/>
      <c r="AC12" s="36"/>
    </row>
    <row r="13" spans="1:29" x14ac:dyDescent="0.35">
      <c r="A13" s="77"/>
      <c r="B13" s="77"/>
      <c r="C13" s="77"/>
      <c r="D13" s="77"/>
      <c r="E13" s="77"/>
      <c r="F13" s="77"/>
      <c r="G13" s="77"/>
      <c r="H13" s="77"/>
      <c r="I13" s="77"/>
      <c r="J13" s="77"/>
      <c r="K13" s="77"/>
      <c r="L13" s="93"/>
      <c r="M13" s="93"/>
      <c r="N13" s="93"/>
    </row>
    <row r="14" spans="1:29" x14ac:dyDescent="0.35">
      <c r="A14" s="77"/>
      <c r="N14" s="36"/>
    </row>
    <row r="15" spans="1:29" x14ac:dyDescent="0.35">
      <c r="A15" s="122"/>
      <c r="B15" s="1207" t="s">
        <v>523</v>
      </c>
      <c r="C15" s="1132">
        <v>2021</v>
      </c>
      <c r="D15" s="1133"/>
      <c r="E15" s="1133"/>
      <c r="F15" s="1133"/>
      <c r="G15" s="48"/>
      <c r="K15" s="1209"/>
      <c r="L15" s="1209"/>
      <c r="M15" s="36"/>
      <c r="N15" s="36"/>
    </row>
    <row r="16" spans="1:29" x14ac:dyDescent="0.35">
      <c r="B16" s="1208"/>
      <c r="C16" s="537" t="s">
        <v>234</v>
      </c>
      <c r="D16" s="538" t="s">
        <v>235</v>
      </c>
      <c r="E16" s="538" t="s">
        <v>236</v>
      </c>
      <c r="F16" s="538" t="s">
        <v>237</v>
      </c>
      <c r="G16" s="213"/>
      <c r="H16" s="122"/>
      <c r="I16" s="122"/>
      <c r="J16" s="122"/>
      <c r="K16" s="122"/>
      <c r="L16" s="122"/>
      <c r="M16" s="122"/>
      <c r="N16" s="122"/>
    </row>
    <row r="17" spans="2:29" ht="16.25" customHeight="1" x14ac:dyDescent="0.35">
      <c r="B17" s="536" t="s">
        <v>524</v>
      </c>
      <c r="C17" s="539">
        <v>1660.9</v>
      </c>
      <c r="D17" s="539">
        <v>95.9</v>
      </c>
      <c r="E17" s="539">
        <v>4044.2</v>
      </c>
      <c r="F17" s="540">
        <v>688</v>
      </c>
      <c r="G17" s="535"/>
      <c r="H17" s="535"/>
      <c r="I17" s="535"/>
      <c r="J17" s="535"/>
      <c r="K17" s="535"/>
      <c r="L17" s="535"/>
      <c r="M17" s="151"/>
      <c r="N17" s="151"/>
    </row>
    <row r="18" spans="2:29" x14ac:dyDescent="0.35">
      <c r="B18" s="158" t="s">
        <v>525</v>
      </c>
      <c r="C18" s="151"/>
      <c r="D18" s="151"/>
      <c r="E18" s="151"/>
      <c r="F18" s="151"/>
      <c r="G18" s="151"/>
      <c r="H18" s="151"/>
      <c r="I18" s="151"/>
      <c r="J18" s="151"/>
      <c r="K18" s="151"/>
      <c r="L18" s="151"/>
      <c r="M18" s="151"/>
      <c r="N18" s="151"/>
    </row>
    <row r="19" spans="2:29" x14ac:dyDescent="0.35">
      <c r="B19" s="151"/>
      <c r="C19" s="151"/>
      <c r="D19" s="151"/>
      <c r="E19" s="151"/>
      <c r="F19" s="151"/>
      <c r="G19" s="151"/>
      <c r="H19" s="151"/>
      <c r="I19" s="151"/>
      <c r="J19" s="151"/>
      <c r="K19" s="151"/>
      <c r="L19" s="151"/>
      <c r="M19" s="151"/>
      <c r="N19" s="151"/>
    </row>
    <row r="20" spans="2:29" x14ac:dyDescent="0.35">
      <c r="B20" s="158"/>
      <c r="C20" s="151"/>
      <c r="D20" s="151"/>
      <c r="E20" s="151"/>
      <c r="F20" s="151"/>
      <c r="G20" s="151"/>
      <c r="H20" s="151"/>
      <c r="I20" s="151"/>
      <c r="J20" s="151"/>
      <c r="K20" s="151"/>
      <c r="L20" s="151"/>
      <c r="M20" s="151"/>
      <c r="N20" s="151"/>
    </row>
    <row r="21" spans="2:29" x14ac:dyDescent="0.35">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36"/>
      <c r="AA21" s="36"/>
      <c r="AB21" s="36"/>
      <c r="AC21" s="36"/>
    </row>
    <row r="22" spans="2:29" x14ac:dyDescent="0.35">
      <c r="B22" s="77"/>
      <c r="C22" s="77"/>
      <c r="D22" s="77"/>
      <c r="E22" s="77"/>
      <c r="F22" s="77"/>
      <c r="G22" s="77"/>
      <c r="H22" s="77"/>
      <c r="I22" s="77"/>
      <c r="J22" s="77"/>
      <c r="K22" s="77"/>
      <c r="L22" s="93"/>
      <c r="M22" s="93"/>
      <c r="N22" s="93"/>
    </row>
    <row r="23" spans="2:29" x14ac:dyDescent="0.35">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row>
    <row r="24" spans="2:29" x14ac:dyDescent="0.35">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row>
    <row r="25" spans="2:29" x14ac:dyDescent="0.35">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row>
    <row r="26" spans="2:29" x14ac:dyDescent="0.35">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row>
    <row r="27" spans="2:29" x14ac:dyDescent="0.35">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row>
    <row r="28" spans="2:29" x14ac:dyDescent="0.35">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row>
    <row r="29" spans="2:29" x14ac:dyDescent="0.35">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row>
    <row r="30" spans="2:29" x14ac:dyDescent="0.35">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row>
    <row r="31" spans="2:29" x14ac:dyDescent="0.35">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row>
    <row r="32" spans="2:29" x14ac:dyDescent="0.35">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row>
    <row r="33" spans="2:25" x14ac:dyDescent="0.35">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row>
    <row r="34" spans="2:25" x14ac:dyDescent="0.35">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row>
    <row r="35" spans="2:25" x14ac:dyDescent="0.35">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row>
    <row r="36" spans="2:25" x14ac:dyDescent="0.35">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row>
    <row r="37" spans="2:25" x14ac:dyDescent="0.35">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row>
    <row r="38" spans="2:25" x14ac:dyDescent="0.35">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row>
    <row r="39" spans="2:25" x14ac:dyDescent="0.35">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row>
    <row r="40" spans="2:25" x14ac:dyDescent="0.35">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row>
    <row r="41" spans="2:25" x14ac:dyDescent="0.35">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row>
    <row r="42" spans="2:25" x14ac:dyDescent="0.35">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row>
    <row r="43" spans="2:25" x14ac:dyDescent="0.35">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row>
    <row r="44" spans="2:25" x14ac:dyDescent="0.35">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row>
    <row r="45" spans="2:25" x14ac:dyDescent="0.35">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row>
    <row r="46" spans="2:25" x14ac:dyDescent="0.35">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row>
    <row r="47" spans="2:25" x14ac:dyDescent="0.35">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row>
    <row r="48" spans="2:25" x14ac:dyDescent="0.35">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row>
    <row r="49" spans="2:25" x14ac:dyDescent="0.35">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row>
    <row r="50" spans="2:25" x14ac:dyDescent="0.35">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row>
    <row r="51" spans="2:25" x14ac:dyDescent="0.35">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row>
    <row r="52" spans="2:25" x14ac:dyDescent="0.35">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4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workbookViewId="0">
      <selection activeCell="V12" sqref="V12"/>
    </sheetView>
  </sheetViews>
  <sheetFormatPr defaultColWidth="11.453125" defaultRowHeight="14.5" x14ac:dyDescent="0.35"/>
  <sheetData>
    <row r="1" spans="2:32" x14ac:dyDescent="0.35">
      <c r="B1" s="1113" t="s">
        <v>1481</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32" x14ac:dyDescent="0.35">
      <c r="B2" s="1141" t="s">
        <v>1484</v>
      </c>
      <c r="C2" s="1141"/>
      <c r="D2" s="1141"/>
      <c r="E2" s="1141"/>
      <c r="F2" s="1141"/>
      <c r="G2" s="1141"/>
      <c r="H2" s="1141"/>
      <c r="I2" s="1141"/>
      <c r="J2" s="1141"/>
      <c r="K2" s="1141"/>
      <c r="L2" s="1141"/>
      <c r="M2" s="1141"/>
      <c r="N2" s="1141"/>
      <c r="O2" s="1141"/>
      <c r="P2" s="1141"/>
      <c r="Q2" s="1141"/>
      <c r="R2" s="1141"/>
      <c r="S2" s="1141"/>
      <c r="T2" s="1141"/>
      <c r="U2" s="1141"/>
      <c r="V2" s="1141"/>
      <c r="W2" s="1141"/>
      <c r="X2" s="1141"/>
      <c r="Y2" s="1141"/>
      <c r="Z2" s="1141"/>
      <c r="AA2" s="1141"/>
      <c r="AB2" s="1141"/>
      <c r="AC2" s="1141"/>
    </row>
    <row r="3" spans="2:32" x14ac:dyDescent="0.35">
      <c r="B3" s="1141"/>
      <c r="C3" s="1141"/>
      <c r="D3" s="1141"/>
      <c r="E3" s="1141"/>
      <c r="F3" s="1141"/>
      <c r="G3" s="1141"/>
      <c r="H3" s="1141"/>
      <c r="I3" s="1141"/>
      <c r="J3" s="1141"/>
      <c r="K3" s="1141"/>
      <c r="L3" s="1141"/>
      <c r="M3" s="1141"/>
      <c r="N3" s="1141"/>
      <c r="O3" s="1141"/>
      <c r="P3" s="1141"/>
      <c r="Q3" s="1141"/>
      <c r="R3" s="1141"/>
      <c r="S3" s="1141"/>
      <c r="T3" s="1141"/>
      <c r="U3" s="1141"/>
      <c r="V3" s="1141"/>
      <c r="W3" s="1141"/>
      <c r="X3" s="1141"/>
      <c r="Y3" s="1141"/>
      <c r="Z3" s="1141"/>
      <c r="AA3" s="1141"/>
      <c r="AB3" s="1141"/>
      <c r="AC3" s="1141"/>
    </row>
    <row r="4" spans="2:32" x14ac:dyDescent="0.35">
      <c r="B4" s="1141"/>
      <c r="C4" s="1141"/>
      <c r="D4" s="1141"/>
      <c r="E4" s="1141"/>
      <c r="F4" s="1141"/>
      <c r="G4" s="1141"/>
      <c r="H4" s="1141"/>
      <c r="I4" s="1141"/>
      <c r="J4" s="1141"/>
      <c r="K4" s="1141"/>
      <c r="L4" s="1141"/>
      <c r="M4" s="1141"/>
      <c r="N4" s="1141"/>
      <c r="O4" s="1141"/>
      <c r="P4" s="1141"/>
      <c r="Q4" s="1141"/>
      <c r="R4" s="1141"/>
      <c r="S4" s="1141"/>
      <c r="T4" s="1141"/>
      <c r="U4" s="1141"/>
      <c r="V4" s="1141"/>
      <c r="W4" s="1141"/>
      <c r="X4" s="1141"/>
      <c r="Y4" s="1141"/>
      <c r="Z4" s="1141"/>
      <c r="AA4" s="1141"/>
      <c r="AB4" s="1141"/>
      <c r="AC4" s="1141"/>
    </row>
    <row r="5" spans="2:32" x14ac:dyDescent="0.35">
      <c r="B5" s="326"/>
      <c r="C5" s="151"/>
      <c r="D5" s="151"/>
      <c r="E5" s="151"/>
      <c r="F5" s="151"/>
      <c r="G5" s="151"/>
      <c r="H5" s="151"/>
      <c r="I5" s="151"/>
      <c r="J5" s="151"/>
      <c r="K5" s="151"/>
      <c r="L5" s="151"/>
      <c r="M5" s="151"/>
      <c r="N5" s="151"/>
      <c r="O5" s="151"/>
      <c r="P5" s="151"/>
      <c r="Q5" s="151"/>
      <c r="R5" s="151"/>
      <c r="S5" s="151"/>
      <c r="T5" s="151"/>
      <c r="U5" s="151"/>
      <c r="V5" s="151"/>
      <c r="W5" s="151"/>
      <c r="X5" s="151"/>
      <c r="Y5" s="151"/>
    </row>
    <row r="6" spans="2:32" x14ac:dyDescent="0.35">
      <c r="B6" s="1142" t="s">
        <v>1808</v>
      </c>
      <c r="C6" s="1125"/>
      <c r="D6" s="1123" t="s">
        <v>325</v>
      </c>
      <c r="E6" s="1124"/>
      <c r="F6" s="1124"/>
      <c r="G6" s="1124"/>
      <c r="H6" s="1124"/>
      <c r="I6" s="1124"/>
      <c r="J6" s="1124"/>
      <c r="K6" s="1124"/>
      <c r="L6" s="1124"/>
      <c r="M6" s="1124"/>
      <c r="N6" s="1124"/>
      <c r="O6" s="1124"/>
      <c r="P6" s="1124"/>
      <c r="Q6" s="1125"/>
      <c r="R6" s="1125"/>
      <c r="S6" s="143"/>
      <c r="T6" s="1150" t="s">
        <v>326</v>
      </c>
      <c r="U6" s="1150"/>
      <c r="V6" s="1150"/>
      <c r="W6" s="1150"/>
      <c r="X6" s="1150"/>
      <c r="Y6" s="1150"/>
      <c r="Z6" s="1150"/>
      <c r="AA6" s="1150"/>
      <c r="AB6" s="1150"/>
      <c r="AC6" s="1150"/>
      <c r="AD6" s="1150"/>
      <c r="AE6" s="1150"/>
      <c r="AF6" s="1151"/>
    </row>
    <row r="7" spans="2:32" x14ac:dyDescent="0.35">
      <c r="B7" s="1143"/>
      <c r="C7" s="1144"/>
      <c r="D7" s="149">
        <v>2018</v>
      </c>
      <c r="E7" s="1161">
        <v>2019</v>
      </c>
      <c r="F7" s="1162"/>
      <c r="G7" s="1162"/>
      <c r="H7" s="1169"/>
      <c r="I7" s="1161">
        <v>2020</v>
      </c>
      <c r="J7" s="1162"/>
      <c r="K7" s="1162"/>
      <c r="L7" s="1162"/>
      <c r="M7" s="1161">
        <v>2021</v>
      </c>
      <c r="N7" s="1162"/>
      <c r="O7" s="1162"/>
      <c r="P7" s="1162"/>
      <c r="Q7" s="1148">
        <v>2022</v>
      </c>
      <c r="R7" s="1149"/>
      <c r="S7" s="233"/>
      <c r="T7" s="267"/>
      <c r="U7" s="1145">
        <v>2023</v>
      </c>
      <c r="V7" s="1146"/>
      <c r="W7" s="1146"/>
      <c r="X7" s="1146"/>
      <c r="Y7" s="1145">
        <v>2024</v>
      </c>
      <c r="Z7" s="1146"/>
      <c r="AA7" s="1146"/>
      <c r="AB7" s="1147"/>
      <c r="AC7" s="1145">
        <v>2025</v>
      </c>
      <c r="AD7" s="1146"/>
      <c r="AE7" s="1146"/>
      <c r="AF7" s="1147"/>
    </row>
    <row r="8" spans="2:32" x14ac:dyDescent="0.35">
      <c r="B8" s="1153"/>
      <c r="C8" s="1154"/>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70" t="s">
        <v>328</v>
      </c>
      <c r="R8" s="172" t="s">
        <v>329</v>
      </c>
      <c r="S8" s="152" t="s">
        <v>238</v>
      </c>
      <c r="T8" s="256" t="s">
        <v>327</v>
      </c>
      <c r="U8" s="254" t="s">
        <v>328</v>
      </c>
      <c r="V8" s="255" t="s">
        <v>329</v>
      </c>
      <c r="W8" s="255" t="s">
        <v>238</v>
      </c>
      <c r="X8" s="255" t="s">
        <v>327</v>
      </c>
      <c r="Y8" s="254" t="s">
        <v>328</v>
      </c>
      <c r="Z8" s="250" t="s">
        <v>329</v>
      </c>
      <c r="AA8" s="255" t="s">
        <v>238</v>
      </c>
      <c r="AB8" s="256" t="s">
        <v>327</v>
      </c>
      <c r="AC8" s="258" t="s">
        <v>328</v>
      </c>
      <c r="AD8" s="255" t="s">
        <v>329</v>
      </c>
      <c r="AE8" s="255" t="s">
        <v>238</v>
      </c>
      <c r="AF8" s="256" t="s">
        <v>327</v>
      </c>
    </row>
    <row r="9" spans="2:32" x14ac:dyDescent="0.35">
      <c r="B9" s="394" t="s">
        <v>1483</v>
      </c>
      <c r="C9" s="546"/>
      <c r="D9" s="547"/>
      <c r="E9" s="546"/>
      <c r="F9" s="546"/>
      <c r="G9" s="546"/>
      <c r="H9" s="546"/>
      <c r="I9" s="546"/>
      <c r="J9" s="548"/>
      <c r="K9" s="548"/>
      <c r="L9" s="548"/>
      <c r="M9" s="548"/>
      <c r="N9" s="548"/>
      <c r="O9" s="548"/>
      <c r="P9" s="548"/>
      <c r="Q9" s="548"/>
      <c r="R9" s="544">
        <v>0</v>
      </c>
      <c r="S9" s="545">
        <v>0</v>
      </c>
      <c r="T9" s="549">
        <v>0</v>
      </c>
      <c r="U9" s="549">
        <v>0</v>
      </c>
      <c r="V9" s="549">
        <v>0</v>
      </c>
      <c r="W9" s="549">
        <v>-7.7999999999999999E-4</v>
      </c>
      <c r="X9" s="549">
        <v>-7.7999999999999999E-4</v>
      </c>
      <c r="Y9" s="549">
        <v>-9.5E-4</v>
      </c>
      <c r="Z9" s="549">
        <v>-9.5E-4</v>
      </c>
      <c r="AA9" s="549">
        <v>-9.5E-4</v>
      </c>
      <c r="AB9" s="549">
        <v>-9.5E-4</v>
      </c>
      <c r="AC9" s="549">
        <v>-9.3999999999999997E-4</v>
      </c>
      <c r="AD9" s="549">
        <v>-9.3999999999999997E-4</v>
      </c>
      <c r="AE9" s="549">
        <v>-9.3999999999999997E-4</v>
      </c>
      <c r="AF9" s="550">
        <v>-9.3999999999999997E-4</v>
      </c>
    </row>
    <row r="10" spans="2:32" x14ac:dyDescent="0.35">
      <c r="B10" s="36" t="s">
        <v>1482</v>
      </c>
      <c r="C10" s="238"/>
      <c r="D10" s="477"/>
      <c r="E10" s="238"/>
      <c r="F10" s="238"/>
      <c r="G10" s="238"/>
      <c r="H10" s="238"/>
      <c r="I10" s="238"/>
      <c r="J10" s="531"/>
      <c r="K10" s="531"/>
      <c r="L10" s="531"/>
      <c r="M10" s="531"/>
      <c r="N10" s="531"/>
      <c r="O10" s="531"/>
      <c r="P10" s="531"/>
      <c r="Q10" s="531"/>
      <c r="R10" s="122"/>
      <c r="S10" s="84"/>
      <c r="T10" s="122"/>
      <c r="U10" s="122">
        <v>26095</v>
      </c>
      <c r="V10" s="122">
        <v>26404</v>
      </c>
      <c r="W10" s="122">
        <v>26686</v>
      </c>
      <c r="X10" s="122">
        <v>26931</v>
      </c>
      <c r="Y10" s="122">
        <v>27174</v>
      </c>
      <c r="Z10" s="122">
        <v>27411</v>
      </c>
      <c r="AA10" s="122">
        <v>27647</v>
      </c>
      <c r="AB10" s="122">
        <v>27893</v>
      </c>
      <c r="AC10" s="122">
        <v>28143</v>
      </c>
      <c r="AD10" s="122">
        <v>28400</v>
      </c>
      <c r="AE10" s="122">
        <v>28649</v>
      </c>
      <c r="AF10" s="84">
        <v>28910</v>
      </c>
    </row>
    <row r="11" spans="2:32" x14ac:dyDescent="0.35">
      <c r="B11" s="36" t="s">
        <v>360</v>
      </c>
      <c r="C11" s="438"/>
      <c r="D11" s="437"/>
      <c r="E11" s="438"/>
      <c r="F11" s="438"/>
      <c r="G11" s="438"/>
      <c r="H11" s="438"/>
      <c r="I11" s="438"/>
      <c r="J11" s="541"/>
      <c r="K11" s="541"/>
      <c r="L11" s="541"/>
      <c r="M11" s="541"/>
      <c r="N11" s="541"/>
      <c r="O11" s="541"/>
      <c r="P11" s="541"/>
      <c r="Q11" s="541"/>
      <c r="R11" s="200">
        <f>R9*R10</f>
        <v>0</v>
      </c>
      <c r="S11" s="543">
        <f t="shared" ref="S11:T11" si="0">S9*S10</f>
        <v>0</v>
      </c>
      <c r="T11" s="200">
        <f t="shared" si="0"/>
        <v>0</v>
      </c>
      <c r="U11" s="551">
        <f>U9*U10*-1</f>
        <v>0</v>
      </c>
      <c r="V11" s="551">
        <f t="shared" ref="V11:AF11" si="1">V9*V10*-1</f>
        <v>0</v>
      </c>
      <c r="W11" s="551">
        <f t="shared" si="1"/>
        <v>20.815079999999998</v>
      </c>
      <c r="X11" s="551">
        <f t="shared" si="1"/>
        <v>21.006180000000001</v>
      </c>
      <c r="Y11" s="551">
        <f t="shared" si="1"/>
        <v>25.815300000000001</v>
      </c>
      <c r="Z11" s="551">
        <f t="shared" si="1"/>
        <v>26.04045</v>
      </c>
      <c r="AA11" s="551">
        <f t="shared" si="1"/>
        <v>26.26465</v>
      </c>
      <c r="AB11" s="551">
        <f t="shared" si="1"/>
        <v>26.498349999999999</v>
      </c>
      <c r="AC11" s="551">
        <f t="shared" si="1"/>
        <v>26.454419999999999</v>
      </c>
      <c r="AD11" s="551">
        <f t="shared" si="1"/>
        <v>26.695999999999998</v>
      </c>
      <c r="AE11" s="551">
        <f t="shared" si="1"/>
        <v>26.930059999999997</v>
      </c>
      <c r="AF11" s="551">
        <f t="shared" si="1"/>
        <v>27.1754</v>
      </c>
    </row>
    <row r="12" spans="2:32" x14ac:dyDescent="0.35">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36"/>
      <c r="AA12" s="36"/>
      <c r="AB12" s="36"/>
      <c r="AC12" s="36"/>
    </row>
    <row r="14" spans="2:32" x14ac:dyDescent="0.35">
      <c r="B14" s="1142" t="s">
        <v>1807</v>
      </c>
      <c r="C14" s="1125"/>
      <c r="D14" s="1123" t="s">
        <v>325</v>
      </c>
      <c r="E14" s="1124"/>
      <c r="F14" s="1124"/>
      <c r="G14" s="1124"/>
      <c r="H14" s="1124"/>
      <c r="I14" s="1124"/>
      <c r="J14" s="1124"/>
      <c r="K14" s="1124"/>
      <c r="L14" s="1124"/>
      <c r="M14" s="1124"/>
      <c r="N14" s="1124"/>
      <c r="O14" s="1124"/>
      <c r="P14" s="1124"/>
      <c r="Q14" s="1125"/>
      <c r="R14" s="1125"/>
      <c r="S14" s="143"/>
      <c r="T14" s="1150" t="s">
        <v>326</v>
      </c>
      <c r="U14" s="1150"/>
      <c r="V14" s="1150"/>
      <c r="W14" s="1150"/>
      <c r="X14" s="1150"/>
      <c r="Y14" s="1150"/>
      <c r="Z14" s="1150"/>
      <c r="AA14" s="1150"/>
      <c r="AB14" s="1150"/>
      <c r="AC14" s="1150"/>
      <c r="AD14" s="1150"/>
      <c r="AE14" s="1150"/>
      <c r="AF14" s="1151"/>
    </row>
    <row r="15" spans="2:32" x14ac:dyDescent="0.35">
      <c r="B15" s="1143"/>
      <c r="C15" s="1144"/>
      <c r="D15" s="149">
        <v>2018</v>
      </c>
      <c r="E15" s="1161">
        <v>2019</v>
      </c>
      <c r="F15" s="1162"/>
      <c r="G15" s="1162"/>
      <c r="H15" s="1169"/>
      <c r="I15" s="1161">
        <v>2020</v>
      </c>
      <c r="J15" s="1162"/>
      <c r="K15" s="1162"/>
      <c r="L15" s="1162"/>
      <c r="M15" s="1161">
        <v>2021</v>
      </c>
      <c r="N15" s="1162"/>
      <c r="O15" s="1162"/>
      <c r="P15" s="1162"/>
      <c r="Q15" s="1148">
        <v>2022</v>
      </c>
      <c r="R15" s="1149"/>
      <c r="S15" s="233"/>
      <c r="T15" s="267"/>
      <c r="U15" s="1145">
        <v>2023</v>
      </c>
      <c r="V15" s="1146"/>
      <c r="W15" s="1146"/>
      <c r="X15" s="1146"/>
      <c r="Y15" s="1145">
        <v>2024</v>
      </c>
      <c r="Z15" s="1146"/>
      <c r="AA15" s="1146"/>
      <c r="AB15" s="1147"/>
      <c r="AC15" s="1145">
        <v>2025</v>
      </c>
      <c r="AD15" s="1146"/>
      <c r="AE15" s="1146"/>
      <c r="AF15" s="1147"/>
    </row>
    <row r="16" spans="2:32" x14ac:dyDescent="0.35">
      <c r="B16" s="1153"/>
      <c r="C16" s="1154"/>
      <c r="D16" s="149" t="s">
        <v>327</v>
      </c>
      <c r="E16" s="149" t="s">
        <v>328</v>
      </c>
      <c r="F16" s="148" t="s">
        <v>329</v>
      </c>
      <c r="G16" s="148" t="s">
        <v>238</v>
      </c>
      <c r="H16" s="198" t="s">
        <v>327</v>
      </c>
      <c r="I16" s="148" t="s">
        <v>328</v>
      </c>
      <c r="J16" s="148" t="s">
        <v>329</v>
      </c>
      <c r="K16" s="148" t="s">
        <v>238</v>
      </c>
      <c r="L16" s="148" t="s">
        <v>327</v>
      </c>
      <c r="M16" s="149" t="s">
        <v>328</v>
      </c>
      <c r="N16" s="148" t="s">
        <v>329</v>
      </c>
      <c r="O16" s="148" t="s">
        <v>238</v>
      </c>
      <c r="P16" s="148" t="s">
        <v>327</v>
      </c>
      <c r="Q16" s="170" t="s">
        <v>328</v>
      </c>
      <c r="R16" s="172" t="s">
        <v>329</v>
      </c>
      <c r="S16" s="152" t="s">
        <v>238</v>
      </c>
      <c r="T16" s="256" t="s">
        <v>327</v>
      </c>
      <c r="U16" s="254" t="s">
        <v>328</v>
      </c>
      <c r="V16" s="255" t="s">
        <v>329</v>
      </c>
      <c r="W16" s="255" t="s">
        <v>238</v>
      </c>
      <c r="X16" s="255" t="s">
        <v>327</v>
      </c>
      <c r="Y16" s="254" t="s">
        <v>328</v>
      </c>
      <c r="Z16" s="250" t="s">
        <v>329</v>
      </c>
      <c r="AA16" s="255" t="s">
        <v>238</v>
      </c>
      <c r="AB16" s="256" t="s">
        <v>327</v>
      </c>
      <c r="AC16" s="258" t="s">
        <v>328</v>
      </c>
      <c r="AD16" s="255" t="s">
        <v>329</v>
      </c>
      <c r="AE16" s="255" t="s">
        <v>238</v>
      </c>
      <c r="AF16" s="256" t="s">
        <v>327</v>
      </c>
    </row>
    <row r="17" spans="2:32" x14ac:dyDescent="0.35">
      <c r="B17" s="394" t="s">
        <v>1483</v>
      </c>
      <c r="C17" s="546"/>
      <c r="D17" s="547"/>
      <c r="E17" s="546"/>
      <c r="F17" s="546"/>
      <c r="G17" s="546"/>
      <c r="H17" s="546"/>
      <c r="I17" s="546"/>
      <c r="J17" s="548"/>
      <c r="K17" s="548"/>
      <c r="L17" s="548"/>
      <c r="M17" s="548"/>
      <c r="N17" s="548"/>
      <c r="O17" s="548"/>
      <c r="P17" s="548"/>
      <c r="Q17" s="548"/>
      <c r="R17" s="544">
        <v>0</v>
      </c>
      <c r="S17" s="545">
        <v>0</v>
      </c>
      <c r="T17" s="549">
        <v>0</v>
      </c>
      <c r="U17" s="549">
        <v>-7.7999999999999999E-4</v>
      </c>
      <c r="V17" s="549">
        <v>-7.7999999999999999E-4</v>
      </c>
      <c r="W17" s="549">
        <v>-7.7999999999999999E-4</v>
      </c>
      <c r="X17" s="549">
        <v>-7.7999999999999999E-4</v>
      </c>
      <c r="Y17" s="549">
        <v>-9.5E-4</v>
      </c>
      <c r="Z17" s="549">
        <v>-9.5E-4</v>
      </c>
      <c r="AA17" s="549">
        <v>-9.5E-4</v>
      </c>
      <c r="AB17" s="549">
        <v>-9.5E-4</v>
      </c>
      <c r="AC17" s="549">
        <v>-9.3999999999999997E-4</v>
      </c>
      <c r="AD17" s="549">
        <v>-9.3999999999999997E-4</v>
      </c>
      <c r="AE17" s="549">
        <v>-9.3999999999999997E-4</v>
      </c>
      <c r="AF17" s="550">
        <v>-9.3999999999999997E-4</v>
      </c>
    </row>
    <row r="18" spans="2:32" x14ac:dyDescent="0.35">
      <c r="B18" s="36" t="s">
        <v>1482</v>
      </c>
      <c r="C18" s="238"/>
      <c r="D18" s="477"/>
      <c r="E18" s="238"/>
      <c r="F18" s="238"/>
      <c r="G18" s="238"/>
      <c r="H18" s="238"/>
      <c r="I18" s="238"/>
      <c r="J18" s="531"/>
      <c r="K18" s="531"/>
      <c r="L18" s="531"/>
      <c r="M18" s="531"/>
      <c r="N18" s="531"/>
      <c r="O18" s="531"/>
      <c r="P18" s="531"/>
      <c r="Q18" s="531"/>
      <c r="R18" s="122"/>
      <c r="S18" s="84"/>
      <c r="T18" s="122"/>
      <c r="U18" s="122">
        <v>26095</v>
      </c>
      <c r="V18" s="122">
        <v>26404</v>
      </c>
      <c r="W18" s="122">
        <v>26686</v>
      </c>
      <c r="X18" s="122">
        <v>26931</v>
      </c>
      <c r="Y18" s="122">
        <v>27174</v>
      </c>
      <c r="Z18" s="122">
        <v>27411</v>
      </c>
      <c r="AA18" s="122">
        <v>27647</v>
      </c>
      <c r="AB18" s="122">
        <v>27893</v>
      </c>
      <c r="AC18" s="122">
        <v>28143</v>
      </c>
      <c r="AD18" s="122">
        <v>28400</v>
      </c>
      <c r="AE18" s="122">
        <v>28649</v>
      </c>
      <c r="AF18" s="84">
        <v>28910</v>
      </c>
    </row>
    <row r="19" spans="2:32" x14ac:dyDescent="0.35">
      <c r="B19" s="36" t="s">
        <v>360</v>
      </c>
      <c r="C19" s="438"/>
      <c r="D19" s="437"/>
      <c r="E19" s="438"/>
      <c r="F19" s="438"/>
      <c r="G19" s="438"/>
      <c r="H19" s="438"/>
      <c r="I19" s="438"/>
      <c r="J19" s="541"/>
      <c r="K19" s="541"/>
      <c r="L19" s="541"/>
      <c r="M19" s="541"/>
      <c r="N19" s="541"/>
      <c r="O19" s="541"/>
      <c r="P19" s="541"/>
      <c r="Q19" s="541"/>
      <c r="R19" s="200">
        <f>R17*R18</f>
        <v>0</v>
      </c>
      <c r="S19" s="543">
        <f t="shared" ref="S19:T19" si="2">S17*S18</f>
        <v>0</v>
      </c>
      <c r="T19" s="200">
        <f t="shared" si="2"/>
        <v>0</v>
      </c>
      <c r="U19" s="551">
        <f>U17*U18*-1</f>
        <v>20.354099999999999</v>
      </c>
      <c r="V19" s="551">
        <f t="shared" ref="V19:AF19" si="3">V17*V18*-1</f>
        <v>20.595119999999998</v>
      </c>
      <c r="W19" s="551">
        <f t="shared" si="3"/>
        <v>20.815079999999998</v>
      </c>
      <c r="X19" s="551">
        <f t="shared" si="3"/>
        <v>21.006180000000001</v>
      </c>
      <c r="Y19" s="551">
        <f t="shared" si="3"/>
        <v>25.815300000000001</v>
      </c>
      <c r="Z19" s="551">
        <f t="shared" si="3"/>
        <v>26.04045</v>
      </c>
      <c r="AA19" s="551">
        <f t="shared" si="3"/>
        <v>26.26465</v>
      </c>
      <c r="AB19" s="551">
        <f t="shared" si="3"/>
        <v>26.498349999999999</v>
      </c>
      <c r="AC19" s="551">
        <f t="shared" si="3"/>
        <v>26.454419999999999</v>
      </c>
      <c r="AD19" s="551">
        <f t="shared" si="3"/>
        <v>26.695999999999998</v>
      </c>
      <c r="AE19" s="551">
        <f t="shared" si="3"/>
        <v>26.930059999999997</v>
      </c>
      <c r="AF19" s="551">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topLeftCell="K1" zoomScaleNormal="100" workbookViewId="0">
      <selection activeCell="T68" sqref="T68"/>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213" t="s">
        <v>526</v>
      </c>
      <c r="C1" s="1213"/>
      <c r="D1" s="1213"/>
      <c r="E1" s="1213"/>
      <c r="F1" s="1213"/>
      <c r="G1" s="1213"/>
      <c r="H1" s="1213"/>
      <c r="I1" s="1213"/>
      <c r="J1" s="1213"/>
      <c r="K1" s="1213"/>
      <c r="L1" s="1213"/>
      <c r="M1" s="1213"/>
      <c r="N1" s="1213"/>
      <c r="O1" s="1213"/>
      <c r="P1" s="1213"/>
      <c r="Q1" s="1213"/>
      <c r="R1" s="1213"/>
      <c r="S1" s="1213"/>
      <c r="T1" s="1213"/>
      <c r="U1" s="1213"/>
      <c r="V1" s="1213"/>
      <c r="W1" s="1213"/>
      <c r="X1" s="1213"/>
      <c r="Y1" s="1213"/>
      <c r="Z1" s="1213"/>
      <c r="AA1" s="1213"/>
      <c r="AB1" s="1213"/>
      <c r="AC1" s="1213"/>
    </row>
    <row r="2" spans="2:29" ht="34.5" customHeight="1" x14ac:dyDescent="0.35">
      <c r="B2" s="1141" t="s">
        <v>934</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29" ht="3" customHeight="1"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29" ht="10.25" customHeight="1"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29" ht="14.25" customHeight="1" x14ac:dyDescent="0.35">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29" ht="14.25" customHeight="1" x14ac:dyDescent="0.35">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29" x14ac:dyDescent="0.35">
      <c r="B7" s="572" t="s">
        <v>381</v>
      </c>
      <c r="C7" s="248"/>
      <c r="D7" s="248"/>
      <c r="E7" s="248"/>
      <c r="F7" s="248"/>
      <c r="G7" s="248"/>
      <c r="H7" s="249"/>
      <c r="I7" s="249"/>
      <c r="J7" s="249"/>
      <c r="K7" s="249"/>
      <c r="L7" s="249"/>
      <c r="M7" s="249"/>
      <c r="N7" s="249"/>
      <c r="O7" s="249"/>
      <c r="P7" s="249"/>
      <c r="Q7" s="249"/>
      <c r="R7" s="249"/>
      <c r="S7" s="249"/>
      <c r="T7" s="249"/>
      <c r="U7" s="249"/>
    </row>
    <row r="8" spans="2:29" ht="14.75" customHeight="1" x14ac:dyDescent="0.35">
      <c r="B8" s="1142" t="s">
        <v>352</v>
      </c>
      <c r="C8" s="1126"/>
      <c r="D8" s="1292" t="s">
        <v>325</v>
      </c>
      <c r="E8" s="1293"/>
      <c r="F8" s="1293"/>
      <c r="G8" s="1293"/>
      <c r="H8" s="1293"/>
      <c r="I8" s="1293"/>
      <c r="J8" s="1293"/>
      <c r="K8" s="1293"/>
      <c r="L8" s="1293"/>
      <c r="M8" s="1293"/>
      <c r="N8" s="1293"/>
      <c r="O8" s="1293"/>
      <c r="P8" s="1293"/>
      <c r="Q8" s="1279"/>
      <c r="R8" s="1279"/>
      <c r="S8" s="1279"/>
      <c r="T8" s="1280"/>
      <c r="U8" s="1296" t="s">
        <v>326</v>
      </c>
      <c r="V8" s="1296"/>
      <c r="W8" s="1296"/>
      <c r="X8" s="1296"/>
      <c r="Y8" s="1296"/>
      <c r="Z8" s="1296"/>
      <c r="AA8" s="1296"/>
      <c r="AB8" s="1296"/>
      <c r="AC8" s="1297"/>
    </row>
    <row r="9" spans="2:29" ht="14.75" customHeight="1" x14ac:dyDescent="0.35">
      <c r="B9" s="1143"/>
      <c r="C9" s="1179"/>
      <c r="D9" s="140">
        <v>2018</v>
      </c>
      <c r="E9" s="1114">
        <v>2019</v>
      </c>
      <c r="F9" s="1115"/>
      <c r="G9" s="1115"/>
      <c r="H9" s="1122"/>
      <c r="I9" s="1114">
        <v>2020</v>
      </c>
      <c r="J9" s="1115"/>
      <c r="K9" s="1115"/>
      <c r="L9" s="1115"/>
      <c r="M9" s="1114">
        <v>2021</v>
      </c>
      <c r="N9" s="1115"/>
      <c r="O9" s="1115"/>
      <c r="P9" s="1115"/>
      <c r="Q9" s="1098">
        <v>2022</v>
      </c>
      <c r="R9" s="1099"/>
      <c r="S9" s="1099"/>
      <c r="T9" s="1308"/>
      <c r="U9" s="1277">
        <v>2023</v>
      </c>
      <c r="V9" s="1146"/>
      <c r="W9" s="1146"/>
      <c r="X9" s="1146"/>
      <c r="Y9" s="1145">
        <v>2024</v>
      </c>
      <c r="Z9" s="1146"/>
      <c r="AA9" s="1146"/>
      <c r="AB9" s="1147"/>
      <c r="AC9" s="239">
        <v>2025</v>
      </c>
    </row>
    <row r="10" spans="2:29" x14ac:dyDescent="0.35">
      <c r="B10" s="1143"/>
      <c r="C10" s="1179"/>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1" t="s">
        <v>328</v>
      </c>
      <c r="R10" s="1039" t="s">
        <v>329</v>
      </c>
      <c r="S10" s="1039" t="s">
        <v>238</v>
      </c>
      <c r="T10" s="1052" t="s">
        <v>327</v>
      </c>
      <c r="U10" s="1282" t="s">
        <v>328</v>
      </c>
      <c r="V10" s="329" t="s">
        <v>329</v>
      </c>
      <c r="W10" s="329" t="s">
        <v>238</v>
      </c>
      <c r="X10" s="329" t="s">
        <v>327</v>
      </c>
      <c r="Y10" s="328" t="s">
        <v>328</v>
      </c>
      <c r="Z10" s="230" t="s">
        <v>329</v>
      </c>
      <c r="AA10" s="329" t="s">
        <v>238</v>
      </c>
      <c r="AB10" s="341" t="s">
        <v>327</v>
      </c>
      <c r="AC10" s="356" t="s">
        <v>328</v>
      </c>
    </row>
    <row r="11" spans="2:29" x14ac:dyDescent="0.35">
      <c r="B11" s="1210" t="s">
        <v>527</v>
      </c>
      <c r="C11" s="1211"/>
      <c r="D11" s="1425"/>
      <c r="E11" s="1426"/>
      <c r="F11" s="1426"/>
      <c r="G11" s="1426"/>
      <c r="H11" s="1337"/>
      <c r="I11" s="1337"/>
      <c r="J11" s="1337"/>
      <c r="K11" s="1337"/>
      <c r="L11" s="1337"/>
      <c r="M11" s="1400"/>
      <c r="N11" s="1400"/>
      <c r="O11" s="1400"/>
      <c r="P11" s="1337"/>
      <c r="Q11" s="1337"/>
      <c r="R11" s="1337"/>
      <c r="S11" s="1337"/>
      <c r="T11" s="1427"/>
      <c r="U11" s="225"/>
      <c r="V11" s="225"/>
      <c r="W11" s="225"/>
      <c r="X11" s="225"/>
      <c r="Y11" s="225"/>
      <c r="Z11" s="225"/>
      <c r="AA11" s="225"/>
      <c r="AB11" s="225"/>
      <c r="AC11" s="226"/>
    </row>
    <row r="12" spans="2:29" ht="17" customHeight="1" x14ac:dyDescent="0.35">
      <c r="B12" s="406" t="s">
        <v>528</v>
      </c>
      <c r="C12" s="151" t="s">
        <v>529</v>
      </c>
      <c r="D12" s="498">
        <f>'Haver Pivoted'!GO31</f>
        <v>2224.3000000000002</v>
      </c>
      <c r="E12" s="1289">
        <f>'Haver Pivoted'!GP31</f>
        <v>2303.4</v>
      </c>
      <c r="F12" s="1289">
        <f>'Haver Pivoted'!GQ31</f>
        <v>2319.4</v>
      </c>
      <c r="G12" s="1289">
        <f>'Haver Pivoted'!GR31</f>
        <v>2333.8000000000002</v>
      </c>
      <c r="H12" s="1289">
        <f>'Haver Pivoted'!GS31</f>
        <v>2346.4</v>
      </c>
      <c r="I12" s="1289">
        <f>'Haver Pivoted'!GT31</f>
        <v>2407.5</v>
      </c>
      <c r="J12" s="1289">
        <f>'Haver Pivoted'!GU31</f>
        <v>4698.7</v>
      </c>
      <c r="K12" s="1289">
        <f>'Haver Pivoted'!GV31</f>
        <v>3492.4</v>
      </c>
      <c r="L12" s="1289">
        <f>'Haver Pivoted'!GW31</f>
        <v>2881.6</v>
      </c>
      <c r="M12" s="1289">
        <f>'Haver Pivoted'!GX31</f>
        <v>5094.8</v>
      </c>
      <c r="N12" s="1289">
        <f>'Haver Pivoted'!GY31</f>
        <v>3395.6</v>
      </c>
      <c r="O12" s="1289">
        <f>'Haver Pivoted'!GZ31</f>
        <v>3146.3</v>
      </c>
      <c r="P12" s="1289">
        <f>'Haver Pivoted'!HA31</f>
        <v>2937.4</v>
      </c>
      <c r="Q12" s="1289">
        <f>'Haver Pivoted'!HB31</f>
        <v>2863</v>
      </c>
      <c r="R12" s="1289">
        <f>'Haver Pivoted'!HC31</f>
        <v>2846.5</v>
      </c>
      <c r="S12" s="1348">
        <f>'Haver Pivoted'!HD31</f>
        <v>2840.1</v>
      </c>
      <c r="T12" s="386">
        <f>'Haver Pivoted'!HE31</f>
        <v>0</v>
      </c>
      <c r="U12" s="391">
        <f>SUM(U14:U25)-U24</f>
        <v>44.431574999999782</v>
      </c>
      <c r="V12" s="391">
        <f t="shared" ref="T12:AC12" si="0">SUM(V14:V25)-V24</f>
        <v>51.431574999999782</v>
      </c>
      <c r="W12" s="391">
        <f t="shared" si="0"/>
        <v>58.431574999999782</v>
      </c>
      <c r="X12" s="391">
        <f t="shared" si="0"/>
        <v>57.716574999999963</v>
      </c>
      <c r="Y12" s="391">
        <f t="shared" si="0"/>
        <v>65.916575000000009</v>
      </c>
      <c r="Z12" s="391">
        <f t="shared" si="0"/>
        <v>72.916575000000009</v>
      </c>
      <c r="AA12" s="391">
        <f t="shared" si="0"/>
        <v>79.916575000000009</v>
      </c>
      <c r="AB12" s="391">
        <f t="shared" si="0"/>
        <v>85.217575000000011</v>
      </c>
      <c r="AC12" s="586">
        <f t="shared" si="0"/>
        <v>93.657575000000065</v>
      </c>
    </row>
    <row r="13" spans="2:29" x14ac:dyDescent="0.35">
      <c r="B13" s="406"/>
      <c r="C13" s="151"/>
      <c r="D13" s="498"/>
      <c r="E13" s="1289"/>
      <c r="F13" s="1289"/>
      <c r="G13" s="1289"/>
      <c r="H13" s="1289"/>
      <c r="I13" s="1289"/>
      <c r="J13" s="1289"/>
      <c r="K13" s="1289"/>
      <c r="L13" s="1289"/>
      <c r="M13" s="1289"/>
      <c r="N13" s="1289"/>
      <c r="O13" s="1289"/>
      <c r="P13" s="1339"/>
      <c r="Q13" s="1283"/>
      <c r="R13" s="1283"/>
      <c r="S13" s="1283"/>
      <c r="T13" s="1428"/>
      <c r="U13" s="329"/>
      <c r="V13" s="329"/>
      <c r="W13" s="329"/>
      <c r="X13" s="329"/>
      <c r="Y13" s="329"/>
      <c r="Z13" s="329"/>
      <c r="AA13" s="329"/>
      <c r="AB13" s="329"/>
      <c r="AC13" s="341"/>
    </row>
    <row r="14" spans="2:29" ht="35.75" customHeight="1" x14ac:dyDescent="0.35">
      <c r="B14" s="251" t="s">
        <v>530</v>
      </c>
      <c r="C14" s="151"/>
      <c r="D14" s="498">
        <f>'Unemployment Insurance'!D20+'Unemployment Insurance'!D19</f>
        <v>27.8</v>
      </c>
      <c r="E14" s="1289">
        <f>'Unemployment Insurance'!E20+'Unemployment Insurance'!E19</f>
        <v>29.4</v>
      </c>
      <c r="F14" s="1289">
        <f>'Unemployment Insurance'!F20+'Unemployment Insurance'!F19</f>
        <v>26.9</v>
      </c>
      <c r="G14" s="1289">
        <f>'Unemployment Insurance'!G20+'Unemployment Insurance'!G19</f>
        <v>26.4</v>
      </c>
      <c r="H14" s="1289">
        <f>'Unemployment Insurance'!H20+'Unemployment Insurance'!H19</f>
        <v>27.7</v>
      </c>
      <c r="I14" s="1289">
        <f>'Unemployment Insurance'!I20+'Unemployment Insurance'!I19</f>
        <v>40.700000000000003</v>
      </c>
      <c r="J14" s="1289">
        <f>'Unemployment Insurance'!J20+'Unemployment Insurance'!J19</f>
        <v>1007.5</v>
      </c>
      <c r="K14" s="1289">
        <f>'Unemployment Insurance'!K20+'Unemployment Insurance'!K19</f>
        <v>792.89999999999986</v>
      </c>
      <c r="L14" s="1289">
        <f>'Unemployment Insurance'!L20+'Unemployment Insurance'!L19</f>
        <v>308.5</v>
      </c>
      <c r="M14" s="1289">
        <f>'Unemployment Insurance'!M20+'Unemployment Insurance'!M19</f>
        <v>556.20000000000005</v>
      </c>
      <c r="N14" s="1289">
        <f>'Unemployment Insurance'!N20+'Unemployment Insurance'!N19</f>
        <v>448.6</v>
      </c>
      <c r="O14" s="1289">
        <f>'Unemployment Insurance'!O20+'Unemployment Insurance'!O19</f>
        <v>245.1</v>
      </c>
      <c r="P14" s="1289">
        <f>'Unemployment Insurance'!P20+'Unemployment Insurance'!P19</f>
        <v>33.799999999999997</v>
      </c>
      <c r="Q14" s="1289">
        <f>'Unemployment Insurance'!Q20+'Unemployment Insurance'!Q19</f>
        <v>23.6</v>
      </c>
      <c r="R14" s="1289">
        <f>'Unemployment Insurance'!R20+'Unemployment Insurance'!R19</f>
        <v>18.600000000000001</v>
      </c>
      <c r="S14" s="1289">
        <f>'Unemployment Insurance'!S20+'Unemployment Insurance'!S19</f>
        <v>18.5</v>
      </c>
      <c r="T14" s="1429">
        <f>'Unemployment Insurance'!T20+'Unemployment Insurance'!T19</f>
        <v>0</v>
      </c>
      <c r="U14" s="391">
        <f>'Unemployment Insurance'!U20+'Unemployment Insurance'!U19</f>
        <v>0</v>
      </c>
      <c r="V14" s="391">
        <f>'Unemployment Insurance'!V20+'Unemployment Insurance'!V19</f>
        <v>0</v>
      </c>
      <c r="W14" s="391">
        <f>'Unemployment Insurance'!W20+'Unemployment Insurance'!W19</f>
        <v>0</v>
      </c>
      <c r="X14" s="391">
        <f>'Unemployment Insurance'!X20+'Unemployment Insurance'!X19</f>
        <v>0</v>
      </c>
      <c r="Y14" s="391">
        <f>'Unemployment Insurance'!Y20+'Unemployment Insurance'!Y19</f>
        <v>0</v>
      </c>
      <c r="Z14" s="391">
        <f>'Unemployment Insurance'!Z20+'Unemployment Insurance'!Z19</f>
        <v>0</v>
      </c>
      <c r="AA14" s="391">
        <f>'Unemployment Insurance'!AA20+'Unemployment Insurance'!AA19</f>
        <v>0</v>
      </c>
      <c r="AB14" s="391">
        <f>'Unemployment Insurance'!AB20+'Unemployment Insurance'!AB19</f>
        <v>0</v>
      </c>
      <c r="AC14" s="586">
        <f>'Unemployment Insurance'!AC20+'Unemployment Insurance'!AC19</f>
        <v>0</v>
      </c>
    </row>
    <row r="15" spans="2:29" ht="17.75" customHeight="1" x14ac:dyDescent="0.35">
      <c r="B15" s="251" t="s">
        <v>55</v>
      </c>
      <c r="C15" s="151"/>
      <c r="D15" s="498">
        <f>Medicare!D10</f>
        <v>755.3</v>
      </c>
      <c r="E15" s="1289">
        <f>Medicare!E10</f>
        <v>772.6</v>
      </c>
      <c r="F15" s="1289">
        <f>Medicare!F10</f>
        <v>785.8</v>
      </c>
      <c r="G15" s="1289">
        <f>Medicare!G10</f>
        <v>793.7</v>
      </c>
      <c r="H15" s="1289">
        <f>Medicare!H10</f>
        <v>796.3</v>
      </c>
      <c r="I15" s="1289">
        <f>Medicare!I10</f>
        <v>795.3</v>
      </c>
      <c r="J15" s="1289">
        <f>Medicare!J10</f>
        <v>808</v>
      </c>
      <c r="K15" s="1289">
        <f>Medicare!K10</f>
        <v>822.1</v>
      </c>
      <c r="L15" s="1289">
        <f>Medicare!L10</f>
        <v>837.5</v>
      </c>
      <c r="M15" s="1289">
        <f>Medicare!M10</f>
        <v>857.6</v>
      </c>
      <c r="N15" s="1289">
        <f>Medicare!N10</f>
        <v>875.4</v>
      </c>
      <c r="O15" s="1289">
        <f>Medicare!O10</f>
        <v>889.5</v>
      </c>
      <c r="P15" s="1289">
        <f>Medicare!P10</f>
        <v>900</v>
      </c>
      <c r="Q15" s="1289">
        <f>Medicare!Q10</f>
        <v>908</v>
      </c>
      <c r="R15" s="1289">
        <f>Medicare!R10</f>
        <v>911.8</v>
      </c>
      <c r="S15" s="1289">
        <f>Medicare!S10</f>
        <v>920.3</v>
      </c>
      <c r="T15" s="1429">
        <f>Medicare!T10</f>
        <v>0</v>
      </c>
      <c r="U15" s="391">
        <f>Medicare!U10</f>
        <v>0</v>
      </c>
      <c r="V15" s="391">
        <f>Medicare!V10</f>
        <v>0</v>
      </c>
      <c r="W15" s="391">
        <f>Medicare!W10</f>
        <v>0</v>
      </c>
      <c r="X15" s="391">
        <f>Medicare!X10</f>
        <v>0</v>
      </c>
      <c r="Y15" s="391">
        <f>Medicare!Y10</f>
        <v>0</v>
      </c>
      <c r="Z15" s="391">
        <f>Medicare!Z10</f>
        <v>0</v>
      </c>
      <c r="AA15" s="391">
        <f>Medicare!AA10</f>
        <v>0</v>
      </c>
      <c r="AB15" s="391">
        <f>Medicare!AB10</f>
        <v>0</v>
      </c>
      <c r="AC15" s="586">
        <f>Medicare!AC10</f>
        <v>0</v>
      </c>
    </row>
    <row r="16" spans="2:29" ht="18" customHeight="1" x14ac:dyDescent="0.35">
      <c r="B16" s="406" t="s">
        <v>531</v>
      </c>
      <c r="C16" s="151"/>
      <c r="D16" s="264"/>
      <c r="E16" s="1283"/>
      <c r="F16" s="1283"/>
      <c r="G16" s="1283"/>
      <c r="H16" s="1289">
        <f>'Rebate Checks'!H10 +'Rebate Checks'!H11</f>
        <v>0</v>
      </c>
      <c r="I16" s="1289">
        <f>'Rebate Checks'!I10 +'Rebate Checks'!I11</f>
        <v>0</v>
      </c>
      <c r="J16" s="1289">
        <f>'Rebate Checks'!J10 +'Rebate Checks'!J11</f>
        <v>1078.0999999999999</v>
      </c>
      <c r="K16" s="1289">
        <f>'Rebate Checks'!K10 +'Rebate Checks'!K11</f>
        <v>15.6</v>
      </c>
      <c r="L16" s="1289">
        <f>'Rebate Checks'!L10 +'Rebate Checks'!L11</f>
        <v>5</v>
      </c>
      <c r="M16" s="1289">
        <f>'Rebate Checks'!M10 +'Rebate Checks'!M11</f>
        <v>1933.6999999999998</v>
      </c>
      <c r="N16" s="1289">
        <f>'Rebate Checks'!N10 +'Rebate Checks'!N11</f>
        <v>290.10000000000002</v>
      </c>
      <c r="O16" s="1289">
        <f>'Rebate Checks'!O10 +'Rebate Checks'!O11</f>
        <v>38.9</v>
      </c>
      <c r="P16" s="1289">
        <f>'Rebate Checks'!P10 +'Rebate Checks'!P11</f>
        <v>14.2</v>
      </c>
      <c r="Q16" s="1289">
        <f>'Rebate Checks'!Q10 +'Rebate Checks'!Q11</f>
        <v>0</v>
      </c>
      <c r="R16" s="1289">
        <f>'Rebate Checks'!Q10 +'Rebate Checks'!R11</f>
        <v>0</v>
      </c>
      <c r="S16" s="1289">
        <f>'Rebate Checks'!S10 +'Rebate Checks'!S11</f>
        <v>0</v>
      </c>
      <c r="T16" s="1429">
        <f>'Rebate Checks'!T10 +'Rebate Checks'!T11</f>
        <v>0</v>
      </c>
      <c r="U16" s="391">
        <f>'Rebate Checks'!U10 +'Rebate Checks'!U11</f>
        <v>0</v>
      </c>
      <c r="V16" s="391">
        <f>'Rebate Checks'!V10 +'Rebate Checks'!V11</f>
        <v>0</v>
      </c>
      <c r="W16" s="391">
        <f>'Rebate Checks'!W10 +'Rebate Checks'!W11</f>
        <v>0</v>
      </c>
      <c r="X16" s="391">
        <f>'Rebate Checks'!X10 +'Rebate Checks'!X11</f>
        <v>0</v>
      </c>
      <c r="Y16" s="391">
        <f>'Rebate Checks'!Y10 +'Rebate Checks'!Y11</f>
        <v>0</v>
      </c>
      <c r="Z16" s="391">
        <f>'Rebate Checks'!Z10 +'Rebate Checks'!Z11</f>
        <v>0</v>
      </c>
      <c r="AA16" s="391">
        <f>'Rebate Checks'!AA10 +'Rebate Checks'!AA11</f>
        <v>0</v>
      </c>
      <c r="AB16" s="391">
        <f>'Rebate Checks'!AB10 +'Rebate Checks'!AB11</f>
        <v>0</v>
      </c>
      <c r="AC16" s="586">
        <f>'Rebate Checks'!AC10 +'Rebate Checks'!AC11</f>
        <v>0</v>
      </c>
    </row>
    <row r="17" spans="2:101" ht="20" customHeight="1" x14ac:dyDescent="0.35">
      <c r="B17" s="252" t="s">
        <v>534</v>
      </c>
      <c r="C17" s="238"/>
      <c r="D17" s="557"/>
      <c r="E17" s="1417"/>
      <c r="F17" s="1417"/>
      <c r="G17" s="1417"/>
      <c r="H17" s="1404"/>
      <c r="I17" s="1404"/>
      <c r="J17" s="1404"/>
      <c r="K17" s="1404"/>
      <c r="L17" s="1404"/>
      <c r="M17" s="1404">
        <f>'ARP Quarterly'!C5</f>
        <v>0</v>
      </c>
      <c r="N17" s="1404">
        <f>'ARP Quarterly'!D5</f>
        <v>33.921840000000024</v>
      </c>
      <c r="O17" s="1404">
        <f>'ARP Quarterly'!E5</f>
        <v>44.966160000000031</v>
      </c>
      <c r="P17" s="1404">
        <f>'ARP Quarterly'!F5</f>
        <v>52.756999999999998</v>
      </c>
      <c r="Q17" s="1404">
        <f>'ARP Quarterly'!G5</f>
        <v>52.756999999999998</v>
      </c>
      <c r="R17" s="1404">
        <f>'ARP Quarterly'!H5</f>
        <v>52.756999999999998</v>
      </c>
      <c r="S17" s="1404">
        <f>'ARP Quarterly'!I5</f>
        <v>52.756999999999998</v>
      </c>
      <c r="T17" s="1410">
        <f>'ARP Quarterly'!J5</f>
        <v>12</v>
      </c>
      <c r="U17" s="466">
        <f>'ARP Quarterly'!K5</f>
        <v>12</v>
      </c>
      <c r="V17" s="466">
        <f>'ARP Quarterly'!L5</f>
        <v>12</v>
      </c>
      <c r="W17" s="466">
        <f>'ARP Quarterly'!M5</f>
        <v>12</v>
      </c>
      <c r="X17" s="466">
        <f>'ARP Quarterly'!N5</f>
        <v>4.2219999999999995</v>
      </c>
      <c r="Y17" s="466">
        <f>'ARP Quarterly'!O5</f>
        <v>4.2219999999999995</v>
      </c>
      <c r="Z17" s="466">
        <f>'ARP Quarterly'!P5</f>
        <v>4.2219999999999995</v>
      </c>
      <c r="AA17" s="466">
        <f>'ARP Quarterly'!Q5</f>
        <v>4.2219999999999995</v>
      </c>
      <c r="AB17" s="466">
        <f>'ARP Quarterly'!R5</f>
        <v>2.3719999999999999</v>
      </c>
      <c r="AC17" s="566">
        <f>'ARP Quarterly'!S5</f>
        <v>2.3719999999999999</v>
      </c>
    </row>
    <row r="18" spans="2:101" ht="22.25" customHeight="1" x14ac:dyDescent="0.35">
      <c r="B18" s="251" t="s">
        <v>218</v>
      </c>
      <c r="C18" s="573"/>
      <c r="D18" s="262"/>
      <c r="E18" s="1285"/>
      <c r="F18" s="1285"/>
      <c r="G18" s="1285"/>
      <c r="H18" s="1285"/>
      <c r="I18" s="1285"/>
      <c r="J18" s="1285"/>
      <c r="K18" s="1285"/>
      <c r="L18" s="1285"/>
      <c r="M18" s="1289">
        <f>'ARP Quarterly'!C4</f>
        <v>0</v>
      </c>
      <c r="N18" s="1289">
        <f>'ARP Quarterly'!D4</f>
        <v>0</v>
      </c>
      <c r="O18" s="1289">
        <f>'ARP Quarterly'!E4</f>
        <v>3.1040000000000418</v>
      </c>
      <c r="P18" s="1289">
        <f>'ARP Quarterly'!F4</f>
        <v>19.719000000000005</v>
      </c>
      <c r="Q18" s="1289">
        <f>'ARP Quarterly'!G4</f>
        <v>19.719000000000005</v>
      </c>
      <c r="R18" s="1289">
        <f>'ARP Quarterly'!H4</f>
        <v>19.719000000000005</v>
      </c>
      <c r="S18" s="1289">
        <f>'ARP Quarterly'!I4</f>
        <v>19.719000000000005</v>
      </c>
      <c r="T18" s="1429">
        <f>'ARP Quarterly'!J4</f>
        <v>1.4159999999999999</v>
      </c>
      <c r="U18" s="391">
        <f>'ARP Quarterly'!K4</f>
        <v>1.4159999999999999</v>
      </c>
      <c r="V18" s="391">
        <f>'ARP Quarterly'!L4</f>
        <v>1.4159999999999999</v>
      </c>
      <c r="W18" s="391">
        <f>'ARP Quarterly'!M4</f>
        <v>1.4159999999999999</v>
      </c>
      <c r="X18" s="391">
        <f>'ARP Quarterly'!N4</f>
        <v>1.4790000000000001</v>
      </c>
      <c r="Y18" s="391">
        <f>'ARP Quarterly'!O4</f>
        <v>1.4790000000000001</v>
      </c>
      <c r="Z18" s="391">
        <f>'ARP Quarterly'!P4</f>
        <v>1.4790000000000001</v>
      </c>
      <c r="AA18" s="391">
        <f>'ARP Quarterly'!Q4</f>
        <v>1.4790000000000001</v>
      </c>
      <c r="AB18" s="391">
        <f>'ARP Quarterly'!R4</f>
        <v>1.63</v>
      </c>
      <c r="AC18" s="586">
        <f>'ARP Quarterly'!S4</f>
        <v>1.63</v>
      </c>
      <c r="AE18" s="573"/>
      <c r="AF18" s="573"/>
      <c r="AG18" s="573"/>
      <c r="AH18" s="573"/>
      <c r="AI18" s="573"/>
      <c r="AJ18" s="573"/>
      <c r="AK18" s="573"/>
      <c r="AL18" s="573"/>
      <c r="AM18" s="573"/>
      <c r="AN18" s="573"/>
      <c r="AO18" s="573"/>
      <c r="AP18" s="573"/>
      <c r="AQ18" s="573"/>
      <c r="AR18" s="573"/>
      <c r="AS18" s="573"/>
      <c r="AT18" s="573"/>
      <c r="AU18" s="573"/>
      <c r="AV18" s="573"/>
      <c r="AW18" s="573"/>
      <c r="AX18" s="573"/>
      <c r="AY18" s="573"/>
      <c r="AZ18" s="573"/>
      <c r="BA18" s="573"/>
      <c r="BB18" s="573"/>
      <c r="BC18" s="573"/>
      <c r="BD18" s="573"/>
      <c r="BE18" s="573"/>
      <c r="BF18" s="573"/>
      <c r="BG18" s="573"/>
      <c r="BH18" s="573"/>
      <c r="BI18" s="573"/>
      <c r="BJ18" s="573"/>
      <c r="BK18" s="573"/>
      <c r="BL18" s="573"/>
      <c r="BM18" s="573"/>
      <c r="BN18" s="573"/>
      <c r="BO18" s="573"/>
      <c r="BP18" s="573"/>
      <c r="BQ18" s="573"/>
      <c r="BR18" s="573"/>
      <c r="BS18" s="573"/>
      <c r="BT18" s="573"/>
      <c r="BU18" s="573"/>
      <c r="BV18" s="573"/>
      <c r="BW18" s="573"/>
      <c r="BX18" s="573"/>
      <c r="BY18" s="573"/>
      <c r="BZ18" s="573"/>
      <c r="CA18" s="573"/>
      <c r="CB18" s="573"/>
      <c r="CC18" s="573"/>
      <c r="CD18" s="573"/>
      <c r="CE18" s="573"/>
      <c r="CF18" s="573"/>
      <c r="CG18" s="573"/>
      <c r="CH18" s="573"/>
      <c r="CI18" s="573"/>
      <c r="CJ18" s="573"/>
      <c r="CK18" s="573"/>
      <c r="CL18" s="573"/>
      <c r="CM18" s="573"/>
      <c r="CN18" s="573"/>
      <c r="CO18" s="573"/>
      <c r="CP18" s="573"/>
      <c r="CQ18" s="573"/>
      <c r="CR18" s="573"/>
      <c r="CS18" s="573"/>
      <c r="CT18" s="573"/>
      <c r="CU18" s="573"/>
      <c r="CV18" s="573"/>
      <c r="CW18" s="573"/>
    </row>
    <row r="19" spans="2:101" ht="19.5" customHeight="1" x14ac:dyDescent="0.35">
      <c r="B19" s="251" t="s">
        <v>49</v>
      </c>
      <c r="C19" s="573"/>
      <c r="D19" s="262">
        <f>'Provider Relief'!D11</f>
        <v>0</v>
      </c>
      <c r="E19" s="1285">
        <f>'Provider Relief'!E11</f>
        <v>0</v>
      </c>
      <c r="F19" s="1285">
        <f>'Provider Relief'!F11</f>
        <v>0</v>
      </c>
      <c r="G19" s="1285">
        <f>'Provider Relief'!G11</f>
        <v>0</v>
      </c>
      <c r="H19" s="1285">
        <f>'Provider Relief'!H11</f>
        <v>0</v>
      </c>
      <c r="I19" s="1285">
        <f>'Provider Relief'!I11</f>
        <v>0</v>
      </c>
      <c r="J19" s="1285">
        <f>'Provider Relief'!J11</f>
        <v>160.9</v>
      </c>
      <c r="K19" s="1285">
        <f>'Provider Relief'!K11</f>
        <v>58.4</v>
      </c>
      <c r="L19" s="1285">
        <f>'Provider Relief'!L11</f>
        <v>34.5</v>
      </c>
      <c r="M19" s="1285">
        <f>'Provider Relief'!M11</f>
        <v>21.4</v>
      </c>
      <c r="N19" s="1285">
        <f>'Provider Relief'!N11</f>
        <v>13.3</v>
      </c>
      <c r="O19" s="1285">
        <f>'Provider Relief'!O11</f>
        <v>18.7</v>
      </c>
      <c r="P19" s="1285">
        <f>'Provider Relief'!P11</f>
        <v>32.200000000000003</v>
      </c>
      <c r="Q19" s="1285">
        <f>'Provider Relief'!Q11</f>
        <v>26.9</v>
      </c>
      <c r="R19" s="1285">
        <f>'Provider Relief'!R11</f>
        <v>20</v>
      </c>
      <c r="S19" s="1285">
        <f>'Provider Relief'!S11</f>
        <v>8.1</v>
      </c>
      <c r="T19" s="1430">
        <f>'Provider Relief'!T11</f>
        <v>0</v>
      </c>
      <c r="U19" s="558">
        <f>'Provider Relief'!U11</f>
        <v>0</v>
      </c>
      <c r="V19" s="558">
        <f>'Provider Relief'!V11</f>
        <v>0</v>
      </c>
      <c r="W19" s="558">
        <f>'Provider Relief'!W11</f>
        <v>0</v>
      </c>
      <c r="X19" s="558">
        <f>'Provider Relief'!X11</f>
        <v>0</v>
      </c>
      <c r="Y19" s="558">
        <f>'Provider Relief'!Y11</f>
        <v>0</v>
      </c>
      <c r="Z19" s="558">
        <f>'Provider Relief'!Z11</f>
        <v>0</v>
      </c>
      <c r="AA19" s="558">
        <f>'Provider Relief'!AA11</f>
        <v>0</v>
      </c>
      <c r="AB19" s="558">
        <f>'Provider Relief'!AB11</f>
        <v>0</v>
      </c>
      <c r="AC19" s="574">
        <f>'Provider Relief'!AC11</f>
        <v>0</v>
      </c>
      <c r="AE19" s="573"/>
      <c r="AF19" s="573"/>
      <c r="AG19" s="573"/>
      <c r="AH19" s="573"/>
      <c r="AI19" s="573"/>
      <c r="AJ19" s="573"/>
      <c r="AK19" s="573"/>
      <c r="AL19" s="573"/>
      <c r="AM19" s="573"/>
      <c r="AN19" s="573"/>
      <c r="AO19" s="573"/>
      <c r="AP19" s="573"/>
      <c r="AQ19" s="573"/>
      <c r="AR19" s="573"/>
      <c r="AS19" s="573"/>
      <c r="AT19" s="573"/>
      <c r="AU19" s="573"/>
      <c r="AV19" s="573"/>
      <c r="AW19" s="573"/>
      <c r="AX19" s="573"/>
      <c r="AY19" s="573"/>
      <c r="AZ19" s="573"/>
      <c r="BA19" s="573"/>
      <c r="BB19" s="573"/>
      <c r="BC19" s="573"/>
      <c r="BD19" s="573"/>
      <c r="BE19" s="573"/>
      <c r="BF19" s="573"/>
      <c r="BG19" s="573"/>
      <c r="BH19" s="573"/>
      <c r="BI19" s="573"/>
      <c r="BJ19" s="573"/>
      <c r="BK19" s="573"/>
      <c r="BL19" s="573"/>
      <c r="BM19" s="573"/>
      <c r="BN19" s="573"/>
      <c r="BO19" s="573"/>
      <c r="BP19" s="573"/>
      <c r="BQ19" s="573"/>
      <c r="BR19" s="573"/>
      <c r="BS19" s="573"/>
      <c r="BT19" s="573"/>
      <c r="BU19" s="573"/>
      <c r="BV19" s="573"/>
      <c r="BW19" s="573"/>
      <c r="BX19" s="573"/>
      <c r="BY19" s="573"/>
      <c r="BZ19" s="573"/>
      <c r="CA19" s="573"/>
      <c r="CB19" s="573"/>
      <c r="CC19" s="573"/>
      <c r="CD19" s="573"/>
      <c r="CE19" s="573"/>
      <c r="CF19" s="573"/>
      <c r="CG19" s="573"/>
      <c r="CH19" s="573"/>
      <c r="CI19" s="573"/>
      <c r="CJ19" s="573"/>
      <c r="CK19" s="573"/>
      <c r="CL19" s="573"/>
      <c r="CM19" s="573"/>
      <c r="CN19" s="573"/>
      <c r="CO19" s="573"/>
      <c r="CP19" s="573"/>
      <c r="CQ19" s="573"/>
      <c r="CR19" s="573"/>
      <c r="CS19" s="573"/>
      <c r="CT19" s="573"/>
      <c r="CU19" s="573"/>
      <c r="CV19" s="573"/>
      <c r="CW19" s="573"/>
    </row>
    <row r="20" spans="2:101" ht="36.5" customHeight="1" x14ac:dyDescent="0.35">
      <c r="B20" s="251" t="s">
        <v>1541</v>
      </c>
      <c r="C20" s="151"/>
      <c r="D20" s="264">
        <f>D63</f>
        <v>0</v>
      </c>
      <c r="E20" s="1283">
        <f t="shared" ref="E20:AC20" si="1">E63</f>
        <v>0</v>
      </c>
      <c r="F20" s="1283">
        <f t="shared" si="1"/>
        <v>0</v>
      </c>
      <c r="G20" s="1283">
        <f t="shared" si="1"/>
        <v>0</v>
      </c>
      <c r="H20" s="1283">
        <f t="shared" si="1"/>
        <v>0</v>
      </c>
      <c r="I20" s="1289">
        <f t="shared" si="1"/>
        <v>5.0234999999999914</v>
      </c>
      <c r="J20" s="1289">
        <f t="shared" si="1"/>
        <v>45.406499999999987</v>
      </c>
      <c r="K20" s="1289">
        <f t="shared" si="1"/>
        <v>50.178499999999993</v>
      </c>
      <c r="L20" s="1289">
        <f t="shared" si="1"/>
        <v>60.014499999999991</v>
      </c>
      <c r="M20" s="1289">
        <f t="shared" si="1"/>
        <v>86.04249999999999</v>
      </c>
      <c r="N20" s="1289">
        <f t="shared" si="1"/>
        <v>100.69149999999999</v>
      </c>
      <c r="O20" s="1289">
        <f t="shared" si="1"/>
        <v>95.460499999999996</v>
      </c>
      <c r="P20" s="1289">
        <f t="shared" si="1"/>
        <v>100.72550000000001</v>
      </c>
      <c r="Q20" s="1289">
        <f t="shared" si="1"/>
        <v>80.643499999999989</v>
      </c>
      <c r="R20" s="1289">
        <f t="shared" si="1"/>
        <v>63.702499999999993</v>
      </c>
      <c r="S20" s="1289">
        <f t="shared" si="1"/>
        <v>56.879499999999986</v>
      </c>
      <c r="T20" s="1429">
        <f t="shared" si="1"/>
        <v>-54.711500000000008</v>
      </c>
      <c r="U20" s="391">
        <f t="shared" si="1"/>
        <v>-51.975925000000004</v>
      </c>
      <c r="V20" s="391">
        <f t="shared" si="1"/>
        <v>-51.975925000000004</v>
      </c>
      <c r="W20" s="391">
        <f t="shared" si="1"/>
        <v>-51.975925000000004</v>
      </c>
      <c r="X20" s="391">
        <f t="shared" si="1"/>
        <v>-51.975925000000004</v>
      </c>
      <c r="Y20" s="391">
        <f t="shared" si="1"/>
        <v>-51.975925000000004</v>
      </c>
      <c r="Z20" s="391">
        <f t="shared" si="1"/>
        <v>-51.975925000000004</v>
      </c>
      <c r="AA20" s="391">
        <f t="shared" si="1"/>
        <v>-51.975925000000004</v>
      </c>
      <c r="AB20" s="391">
        <f t="shared" si="1"/>
        <v>-51.975925000000004</v>
      </c>
      <c r="AC20" s="586">
        <f t="shared" si="1"/>
        <v>-51.975925000000004</v>
      </c>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row>
    <row r="21" spans="2:101" ht="15.5" customHeight="1" x14ac:dyDescent="0.35">
      <c r="B21" s="251" t="s">
        <v>865</v>
      </c>
      <c r="C21" s="151" t="s">
        <v>894</v>
      </c>
      <c r="D21" s="262">
        <v>30</v>
      </c>
      <c r="E21" s="1285">
        <v>30</v>
      </c>
      <c r="F21" s="1285">
        <v>30</v>
      </c>
      <c r="G21" s="1285">
        <v>30</v>
      </c>
      <c r="H21" s="1285">
        <v>30</v>
      </c>
      <c r="I21" s="1285">
        <v>30</v>
      </c>
      <c r="J21" s="1285">
        <v>30</v>
      </c>
      <c r="K21" s="1288">
        <v>30.2</v>
      </c>
      <c r="L21" s="1288">
        <v>30.2</v>
      </c>
      <c r="M21" s="1288">
        <f>'Haver Pivoted'!GX89</f>
        <v>34.4</v>
      </c>
      <c r="N21" s="1288">
        <f>'Haver Pivoted'!GY89</f>
        <v>34.4</v>
      </c>
      <c r="O21" s="1288">
        <f>'Haver Pivoted'!GZ89</f>
        <v>218.933333333333</v>
      </c>
      <c r="P21" s="1288">
        <f>'Haver Pivoted'!HA89</f>
        <v>223.13333333333301</v>
      </c>
      <c r="Q21" s="1288">
        <f>'Haver Pivoted'!HB89</f>
        <v>94.3</v>
      </c>
      <c r="R21" s="1288">
        <f>'Haver Pivoted'!HC89</f>
        <v>94.3</v>
      </c>
      <c r="S21" s="1423">
        <f>'Haver Pivoted'!HD89</f>
        <v>94.3</v>
      </c>
      <c r="T21" s="1431">
        <f>'Haver Pivoted'!HE89</f>
        <v>0</v>
      </c>
      <c r="U21" s="391">
        <v>34</v>
      </c>
      <c r="V21" s="391">
        <v>34</v>
      </c>
      <c r="W21" s="391">
        <v>34</v>
      </c>
      <c r="X21" s="391">
        <v>34</v>
      </c>
      <c r="Y21" s="391">
        <v>34</v>
      </c>
      <c r="Z21" s="391">
        <v>34</v>
      </c>
      <c r="AA21" s="391">
        <v>34</v>
      </c>
      <c r="AB21" s="391">
        <v>34</v>
      </c>
      <c r="AC21" s="586">
        <v>34</v>
      </c>
    </row>
    <row r="22" spans="2:101" ht="21.5" customHeight="1" x14ac:dyDescent="0.35">
      <c r="B22" s="251" t="s">
        <v>532</v>
      </c>
      <c r="C22" s="151"/>
      <c r="D22" s="264"/>
      <c r="E22" s="1283"/>
      <c r="F22" s="1283"/>
      <c r="G22" s="1283"/>
      <c r="H22" s="1289"/>
      <c r="I22" s="1289"/>
      <c r="J22" s="1289">
        <f>PPP!J53</f>
        <v>57.2</v>
      </c>
      <c r="K22" s="1289">
        <f>PPP!K53</f>
        <v>81.2</v>
      </c>
      <c r="L22" s="1289">
        <f>PPP!L53</f>
        <v>24.4</v>
      </c>
      <c r="M22" s="1289">
        <f>PPP!M53</f>
        <v>11.7</v>
      </c>
      <c r="N22" s="1289">
        <f>PPP!N53</f>
        <v>28.5</v>
      </c>
      <c r="O22" s="1289">
        <f>PPP!O53</f>
        <v>18.8</v>
      </c>
      <c r="P22" s="1289">
        <f>PPP!P53</f>
        <v>1.6</v>
      </c>
      <c r="Q22" s="1289">
        <f>PPP!Q53</f>
        <v>0</v>
      </c>
      <c r="R22" s="1289">
        <f>PPP!Q61</f>
        <v>0</v>
      </c>
      <c r="S22" s="1289">
        <f>PPP!S53</f>
        <v>0</v>
      </c>
      <c r="T22" s="1429">
        <f>PPP!T53</f>
        <v>0</v>
      </c>
      <c r="U22" s="391">
        <f>PPP!U53</f>
        <v>0</v>
      </c>
      <c r="V22" s="391">
        <f>PPP!V53</f>
        <v>0</v>
      </c>
      <c r="W22" s="391">
        <f>PPP!W53</f>
        <v>0</v>
      </c>
      <c r="X22" s="391">
        <f>PPP!X53</f>
        <v>0</v>
      </c>
      <c r="Y22" s="391">
        <f>PPP!Y53</f>
        <v>0</v>
      </c>
      <c r="Z22" s="391">
        <f>PPP!Z53</f>
        <v>0</v>
      </c>
      <c r="AA22" s="391">
        <f>PPP!AA53</f>
        <v>0</v>
      </c>
      <c r="AB22" s="391">
        <f>PPP!AB53</f>
        <v>0</v>
      </c>
      <c r="AC22" s="586">
        <f>PPP!AC53</f>
        <v>0</v>
      </c>
    </row>
    <row r="23" spans="2:101" ht="21.5" customHeight="1" x14ac:dyDescent="0.35">
      <c r="B23" s="406" t="s">
        <v>866</v>
      </c>
      <c r="C23" s="151"/>
      <c r="D23" s="498">
        <f t="shared" ref="D23:AC23" si="2">D79</f>
        <v>0</v>
      </c>
      <c r="E23" s="1289">
        <f t="shared" si="2"/>
        <v>0</v>
      </c>
      <c r="F23" s="1289">
        <f t="shared" si="2"/>
        <v>0</v>
      </c>
      <c r="G23" s="1289">
        <f t="shared" si="2"/>
        <v>0</v>
      </c>
      <c r="H23" s="1289">
        <f t="shared" si="2"/>
        <v>0</v>
      </c>
      <c r="I23" s="1289">
        <f t="shared" si="2"/>
        <v>-5.0235000000002401</v>
      </c>
      <c r="J23" s="1289">
        <f t="shared" si="2"/>
        <v>-36.906500000000278</v>
      </c>
      <c r="K23" s="1289">
        <f t="shared" si="2"/>
        <v>86.321499999999787</v>
      </c>
      <c r="L23" s="1289">
        <f t="shared" si="2"/>
        <v>18.985499999999547</v>
      </c>
      <c r="M23" s="1289">
        <f t="shared" si="2"/>
        <v>6.8144999999999527</v>
      </c>
      <c r="N23" s="1289">
        <f t="shared" si="2"/>
        <v>-23.256340000000137</v>
      </c>
      <c r="O23" s="1289">
        <f t="shared" si="2"/>
        <v>-28.106993333332866</v>
      </c>
      <c r="P23" s="1289">
        <f t="shared" si="2"/>
        <v>-48.677833333332956</v>
      </c>
      <c r="Q23" s="1289">
        <f t="shared" si="2"/>
        <v>-29.785220000000209</v>
      </c>
      <c r="R23" s="1289">
        <f t="shared" si="2"/>
        <v>-28.244220000000269</v>
      </c>
      <c r="S23" s="1289">
        <f t="shared" si="2"/>
        <v>-31.321220000000267</v>
      </c>
      <c r="T23" s="1429">
        <f t="shared" si="2"/>
        <v>-1666.5702200000003</v>
      </c>
      <c r="U23" s="391">
        <f t="shared" si="2"/>
        <v>-1666.5702200000003</v>
      </c>
      <c r="V23" s="391">
        <f t="shared" si="2"/>
        <v>-1666.5702200000003</v>
      </c>
      <c r="W23" s="391">
        <f t="shared" si="2"/>
        <v>-1666.5702200000003</v>
      </c>
      <c r="X23" s="391">
        <f t="shared" si="2"/>
        <v>-1666.5702200000003</v>
      </c>
      <c r="Y23" s="391">
        <f t="shared" si="2"/>
        <v>-1666.5702200000003</v>
      </c>
      <c r="Z23" s="391">
        <f t="shared" si="2"/>
        <v>-1666.5702200000003</v>
      </c>
      <c r="AA23" s="391">
        <f t="shared" si="2"/>
        <v>-1666.5702200000003</v>
      </c>
      <c r="AB23" s="391">
        <f t="shared" si="2"/>
        <v>-1666.5702200000003</v>
      </c>
      <c r="AC23" s="586">
        <f t="shared" si="2"/>
        <v>-1666.5702200000003</v>
      </c>
    </row>
    <row r="24" spans="2:101" ht="21" customHeight="1" x14ac:dyDescent="0.35">
      <c r="B24" s="252" t="s">
        <v>863</v>
      </c>
      <c r="C24" s="238"/>
      <c r="D24" s="557">
        <f t="shared" ref="D24:AC24" si="3">D18+D19</f>
        <v>0</v>
      </c>
      <c r="E24" s="1417">
        <f t="shared" si="3"/>
        <v>0</v>
      </c>
      <c r="F24" s="1417">
        <f t="shared" si="3"/>
        <v>0</v>
      </c>
      <c r="G24" s="1417">
        <f t="shared" si="3"/>
        <v>0</v>
      </c>
      <c r="H24" s="1417">
        <f t="shared" si="3"/>
        <v>0</v>
      </c>
      <c r="I24" s="1417">
        <f t="shared" si="3"/>
        <v>0</v>
      </c>
      <c r="J24" s="1417">
        <f t="shared" si="3"/>
        <v>160.9</v>
      </c>
      <c r="K24" s="1417">
        <f t="shared" si="3"/>
        <v>58.4</v>
      </c>
      <c r="L24" s="1417">
        <f t="shared" si="3"/>
        <v>34.5</v>
      </c>
      <c r="M24" s="1417">
        <f t="shared" si="3"/>
        <v>21.4</v>
      </c>
      <c r="N24" s="1417">
        <f t="shared" si="3"/>
        <v>13.3</v>
      </c>
      <c r="O24" s="1417">
        <f t="shared" si="3"/>
        <v>21.804000000000041</v>
      </c>
      <c r="P24" s="1404">
        <f>P18+P19</f>
        <v>51.919000000000011</v>
      </c>
      <c r="Q24" s="1417">
        <f t="shared" si="3"/>
        <v>46.619</v>
      </c>
      <c r="R24" s="1417">
        <f t="shared" si="3"/>
        <v>39.719000000000008</v>
      </c>
      <c r="S24" s="1417">
        <f t="shared" si="3"/>
        <v>27.819000000000003</v>
      </c>
      <c r="T24" s="1432">
        <f t="shared" si="3"/>
        <v>1.4159999999999999</v>
      </c>
      <c r="U24" s="532">
        <f t="shared" si="3"/>
        <v>1.4159999999999999</v>
      </c>
      <c r="V24" s="532">
        <f t="shared" si="3"/>
        <v>1.4159999999999999</v>
      </c>
      <c r="W24" s="532">
        <f t="shared" si="3"/>
        <v>1.4159999999999999</v>
      </c>
      <c r="X24" s="532">
        <f t="shared" si="3"/>
        <v>1.4790000000000001</v>
      </c>
      <c r="Y24" s="532">
        <f t="shared" si="3"/>
        <v>1.4790000000000001</v>
      </c>
      <c r="Z24" s="532">
        <f t="shared" si="3"/>
        <v>1.4790000000000001</v>
      </c>
      <c r="AA24" s="532">
        <f t="shared" si="3"/>
        <v>1.4790000000000001</v>
      </c>
      <c r="AB24" s="532">
        <f t="shared" si="3"/>
        <v>1.63</v>
      </c>
      <c r="AC24" s="542">
        <f t="shared" si="3"/>
        <v>1.63</v>
      </c>
    </row>
    <row r="25" spans="2:101" ht="44.75" customHeight="1" x14ac:dyDescent="0.35">
      <c r="B25" s="251" t="s">
        <v>871</v>
      </c>
      <c r="C25" s="151"/>
      <c r="D25" s="498">
        <f t="shared" ref="D25:AC25" si="4">D77</f>
        <v>1411.2</v>
      </c>
      <c r="E25" s="1289">
        <f t="shared" si="4"/>
        <v>1471.4</v>
      </c>
      <c r="F25" s="1289">
        <f t="shared" si="4"/>
        <v>1476.7</v>
      </c>
      <c r="G25" s="1289">
        <f t="shared" si="4"/>
        <v>1483.7</v>
      </c>
      <c r="H25" s="1289">
        <f t="shared" si="4"/>
        <v>1492.4000000000003</v>
      </c>
      <c r="I25" s="1289">
        <f t="shared" si="4"/>
        <v>1541.5000000000002</v>
      </c>
      <c r="J25" s="1289">
        <f t="shared" si="4"/>
        <v>1548.5000000000002</v>
      </c>
      <c r="K25" s="1289">
        <f t="shared" si="4"/>
        <v>1555.5000000000002</v>
      </c>
      <c r="L25" s="1289">
        <f t="shared" si="4"/>
        <v>1562.5000000000002</v>
      </c>
      <c r="M25" s="1289">
        <f t="shared" si="4"/>
        <v>1586.9430000000002</v>
      </c>
      <c r="N25" s="1289">
        <f t="shared" si="4"/>
        <v>1593.9430000000002</v>
      </c>
      <c r="O25" s="1289">
        <f t="shared" si="4"/>
        <v>1600.9430000000002</v>
      </c>
      <c r="P25" s="1289">
        <f>P77</f>
        <v>1607.9430000000002</v>
      </c>
      <c r="Q25" s="1289">
        <f t="shared" si="4"/>
        <v>1686.8657200000002</v>
      </c>
      <c r="R25" s="1289">
        <f t="shared" si="4"/>
        <v>1693.8657200000002</v>
      </c>
      <c r="S25" s="1289">
        <f t="shared" si="4"/>
        <v>1700.8657200000002</v>
      </c>
      <c r="T25" s="1429">
        <f t="shared" si="4"/>
        <v>1707.8657200000002</v>
      </c>
      <c r="U25" s="391">
        <f t="shared" si="4"/>
        <v>1715.5617200000002</v>
      </c>
      <c r="V25" s="391">
        <f t="shared" si="4"/>
        <v>1722.5617200000002</v>
      </c>
      <c r="W25" s="391">
        <f t="shared" si="4"/>
        <v>1729.5617200000002</v>
      </c>
      <c r="X25" s="391">
        <f t="shared" si="4"/>
        <v>1736.5617200000002</v>
      </c>
      <c r="Y25" s="391">
        <f t="shared" si="4"/>
        <v>1744.7617200000002</v>
      </c>
      <c r="Z25" s="391">
        <f t="shared" si="4"/>
        <v>1751.7617200000002</v>
      </c>
      <c r="AA25" s="391">
        <f t="shared" si="4"/>
        <v>1758.7617200000002</v>
      </c>
      <c r="AB25" s="391">
        <f t="shared" si="4"/>
        <v>1765.7617200000002</v>
      </c>
      <c r="AC25" s="586">
        <f t="shared" si="4"/>
        <v>1774.2017200000003</v>
      </c>
    </row>
    <row r="26" spans="2:101" ht="44.75" customHeight="1" x14ac:dyDescent="0.35">
      <c r="B26" s="373" t="s">
        <v>883</v>
      </c>
      <c r="D26" s="498"/>
      <c r="E26" s="1289"/>
      <c r="F26" s="1289"/>
      <c r="G26" s="1289"/>
      <c r="H26" s="1289"/>
      <c r="I26" s="1289"/>
      <c r="J26" s="1289"/>
      <c r="K26" s="1289"/>
      <c r="L26" s="1289"/>
      <c r="M26" s="1289"/>
      <c r="N26" s="1289"/>
      <c r="O26" s="1289"/>
      <c r="P26" s="1289"/>
      <c r="Q26" s="1289">
        <v>-2.5</v>
      </c>
      <c r="R26" s="1289">
        <v>-2.5</v>
      </c>
      <c r="S26" s="1289">
        <v>-2.5</v>
      </c>
      <c r="T26" s="1429">
        <v>-6</v>
      </c>
      <c r="U26" s="391">
        <v>-6</v>
      </c>
      <c r="V26" s="391">
        <v>-6</v>
      </c>
      <c r="W26" s="391">
        <v>-6</v>
      </c>
      <c r="X26" s="391">
        <v>-4.3</v>
      </c>
      <c r="Y26" s="391">
        <v>-4.3</v>
      </c>
      <c r="Z26" s="391">
        <v>-4.3</v>
      </c>
      <c r="AA26" s="391">
        <v>-4.3</v>
      </c>
      <c r="AB26" s="391">
        <v>-4.8</v>
      </c>
      <c r="AC26" s="586">
        <v>-4.8</v>
      </c>
    </row>
    <row r="27" spans="2:101" ht="44.75" customHeight="1" x14ac:dyDescent="0.35">
      <c r="B27" s="373" t="s">
        <v>1282</v>
      </c>
      <c r="D27" s="498"/>
      <c r="E27" s="1289"/>
      <c r="F27" s="1289"/>
      <c r="G27" s="1289"/>
      <c r="H27" s="1289"/>
      <c r="I27" s="1289"/>
      <c r="J27" s="1289"/>
      <c r="K27" s="1289"/>
      <c r="L27" s="1289"/>
      <c r="M27" s="1289"/>
      <c r="N27" s="1289"/>
      <c r="O27" s="1289"/>
      <c r="P27" s="1289"/>
      <c r="Q27" s="1289"/>
      <c r="R27" s="1289"/>
      <c r="S27" s="1424">
        <f>'IRA and CHIPS'!E191</f>
        <v>-0.622</v>
      </c>
      <c r="T27" s="1433">
        <f>'IRA and CHIPS'!F191</f>
        <v>21.89</v>
      </c>
      <c r="U27" s="559">
        <f>'IRA and CHIPS'!G191</f>
        <v>21.89</v>
      </c>
      <c r="V27" s="559">
        <f>'IRA and CHIPS'!H191</f>
        <v>21.89</v>
      </c>
      <c r="W27" s="559">
        <f>'IRA and CHIPS'!I191</f>
        <v>21.89</v>
      </c>
      <c r="X27" s="559">
        <f>'IRA and CHIPS'!J191</f>
        <v>15.439</v>
      </c>
      <c r="Y27" s="559">
        <f>'IRA and CHIPS'!K191</f>
        <v>15.439</v>
      </c>
      <c r="Z27" s="559">
        <f>'IRA and CHIPS'!L191</f>
        <v>15.439</v>
      </c>
      <c r="AA27" s="559">
        <f>'IRA and CHIPS'!M191</f>
        <v>15.439</v>
      </c>
      <c r="AB27" s="559">
        <f>'IRA and CHIPS'!N191</f>
        <v>16.966999999999999</v>
      </c>
      <c r="AC27" s="560">
        <f>'IRA and CHIPS'!O191</f>
        <v>16.966999999999999</v>
      </c>
    </row>
    <row r="28" spans="2:101" ht="31.25" customHeight="1" x14ac:dyDescent="0.35">
      <c r="B28" s="477" t="s">
        <v>867</v>
      </c>
      <c r="C28" s="238"/>
      <c r="D28" s="497">
        <f>D25+SUM(D20:D23) + D26</f>
        <v>1441.2</v>
      </c>
      <c r="E28" s="1404">
        <f t="shared" ref="E28:O28" si="5">E25+SUM(E20:E23) + E26</f>
        <v>1501.4</v>
      </c>
      <c r="F28" s="1404">
        <f t="shared" si="5"/>
        <v>1506.7</v>
      </c>
      <c r="G28" s="1404">
        <f t="shared" si="5"/>
        <v>1513.7</v>
      </c>
      <c r="H28" s="1404">
        <f t="shared" si="5"/>
        <v>1522.4000000000003</v>
      </c>
      <c r="I28" s="1404">
        <f t="shared" si="5"/>
        <v>1571.5</v>
      </c>
      <c r="J28" s="1404">
        <f t="shared" si="5"/>
        <v>1644.1999999999998</v>
      </c>
      <c r="K28" s="1404">
        <f>K25+SUM(K20:K23) + K26</f>
        <v>1803.4</v>
      </c>
      <c r="L28" s="1404">
        <f t="shared" si="5"/>
        <v>1696.0999999999997</v>
      </c>
      <c r="M28" s="1404">
        <f t="shared" si="5"/>
        <v>1725.9</v>
      </c>
      <c r="N28" s="1404">
        <f t="shared" si="5"/>
        <v>1734.2781600000001</v>
      </c>
      <c r="O28" s="1404">
        <f t="shared" si="5"/>
        <v>1906.0298400000004</v>
      </c>
      <c r="P28" s="1404">
        <f>P25+SUM(P20:P23) + P26</f>
        <v>1884.7240000000002</v>
      </c>
      <c r="Q28" s="1404">
        <f>Q25+SUM(Q20:Q23) + Q26</f>
        <v>1829.5239999999999</v>
      </c>
      <c r="R28" s="1404">
        <f t="shared" ref="R28" si="6">R25+SUM(R20:R23) + R26</f>
        <v>1821.124</v>
      </c>
      <c r="S28" s="1404">
        <f>S25+SUM(S20:S23) + S26+S27</f>
        <v>1817.6019999999999</v>
      </c>
      <c r="T28" s="1410">
        <f t="shared" ref="T28:AC28" si="7">T25+SUM(T20:T23) + T26+T27</f>
        <v>2.4739999999998332</v>
      </c>
      <c r="U28" s="562">
        <f t="shared" si="7"/>
        <v>46.905574999999899</v>
      </c>
      <c r="V28" s="562">
        <f t="shared" si="7"/>
        <v>53.905574999999899</v>
      </c>
      <c r="W28" s="562">
        <f t="shared" si="7"/>
        <v>60.905574999999899</v>
      </c>
      <c r="X28" s="562">
        <f t="shared" si="7"/>
        <v>63.154574999999902</v>
      </c>
      <c r="Y28" s="562">
        <f t="shared" si="7"/>
        <v>71.354574999999954</v>
      </c>
      <c r="Z28" s="562">
        <f t="shared" si="7"/>
        <v>78.354574999999954</v>
      </c>
      <c r="AA28" s="562">
        <f t="shared" si="7"/>
        <v>85.354574999999954</v>
      </c>
      <c r="AB28" s="562">
        <f t="shared" si="7"/>
        <v>93.382574999999946</v>
      </c>
      <c r="AC28" s="563">
        <f t="shared" si="7"/>
        <v>101.822575</v>
      </c>
    </row>
    <row r="29" spans="2:101" ht="31.25" customHeight="1" x14ac:dyDescent="0.35">
      <c r="B29" s="1210" t="s">
        <v>535</v>
      </c>
      <c r="C29" s="1211"/>
      <c r="D29" s="1406"/>
      <c r="E29" s="1407"/>
      <c r="F29" s="1407"/>
      <c r="G29" s="1407"/>
      <c r="H29" s="1407"/>
      <c r="I29" s="1407"/>
      <c r="J29" s="1407"/>
      <c r="K29" s="1407"/>
      <c r="L29" s="1407"/>
      <c r="M29" s="1407"/>
      <c r="N29" s="1407"/>
      <c r="O29" s="1407"/>
      <c r="P29" s="1407"/>
      <c r="Q29" s="1407"/>
      <c r="R29" s="1407"/>
      <c r="S29" s="1407"/>
      <c r="T29" s="1434"/>
      <c r="U29" s="466"/>
      <c r="V29" s="466"/>
      <c r="W29" s="466"/>
      <c r="X29" s="466"/>
      <c r="Y29" s="466"/>
      <c r="Z29" s="466"/>
      <c r="AA29" s="466"/>
      <c r="AB29" s="466"/>
      <c r="AC29" s="566"/>
    </row>
    <row r="30" spans="2:101" x14ac:dyDescent="0.35">
      <c r="B30" s="406" t="s">
        <v>873</v>
      </c>
      <c r="C30" s="151" t="s">
        <v>536</v>
      </c>
      <c r="D30" s="264">
        <f>'Haver Pivoted'!GO37</f>
        <v>734.3</v>
      </c>
      <c r="E30" s="1283">
        <f>'Haver Pivoted'!GP37</f>
        <v>745.2</v>
      </c>
      <c r="F30" s="1283">
        <f>'Haver Pivoted'!GQ37</f>
        <v>763.2</v>
      </c>
      <c r="G30" s="1283">
        <f>'Haver Pivoted'!GR37</f>
        <v>773.5</v>
      </c>
      <c r="H30" s="1283">
        <f>'Haver Pivoted'!GS37</f>
        <v>773.8</v>
      </c>
      <c r="I30" s="1283">
        <f>'Haver Pivoted'!GT37</f>
        <v>762.4</v>
      </c>
      <c r="J30" s="1283">
        <f>'Haver Pivoted'!GU37</f>
        <v>813.3</v>
      </c>
      <c r="K30" s="1283">
        <f>'Haver Pivoted'!GV37</f>
        <v>851.9</v>
      </c>
      <c r="L30" s="1283">
        <f>'Haver Pivoted'!GW37</f>
        <v>840.6</v>
      </c>
      <c r="M30" s="1283">
        <f>'Haver Pivoted'!GX37</f>
        <v>868</v>
      </c>
      <c r="N30" s="1283">
        <f>'Haver Pivoted'!GY37</f>
        <v>910.1</v>
      </c>
      <c r="O30" s="1283">
        <f>'Haver Pivoted'!GZ37</f>
        <v>918.1</v>
      </c>
      <c r="P30" s="1283">
        <f>'Haver Pivoted'!HA37</f>
        <v>915.2</v>
      </c>
      <c r="Q30" s="1283">
        <f>'Haver Pivoted'!HB37</f>
        <v>934.7</v>
      </c>
      <c r="R30" s="1283">
        <f>'Haver Pivoted'!HC37</f>
        <v>962.7</v>
      </c>
      <c r="S30" s="1271">
        <f>'Haver Pivoted'!HD37</f>
        <v>982.9</v>
      </c>
      <c r="T30" s="1435"/>
      <c r="U30" s="561"/>
      <c r="V30" s="561"/>
      <c r="W30" s="561"/>
      <c r="X30" s="561"/>
      <c r="Y30" s="561"/>
      <c r="Z30" s="561"/>
      <c r="AA30" s="561"/>
      <c r="AB30" s="561"/>
      <c r="AC30" s="587"/>
    </row>
    <row r="31" spans="2:101" x14ac:dyDescent="0.35">
      <c r="B31" s="174" t="s">
        <v>209</v>
      </c>
      <c r="C31" s="151"/>
      <c r="D31" s="498">
        <f>Medicaid!D32</f>
        <v>589.5</v>
      </c>
      <c r="E31" s="1289">
        <f>Medicaid!E32</f>
        <v>598.70000000000005</v>
      </c>
      <c r="F31" s="1289">
        <f>Medicaid!F32</f>
        <v>614.4</v>
      </c>
      <c r="G31" s="1289">
        <f>Medicaid!G32</f>
        <v>622.4</v>
      </c>
      <c r="H31" s="1289">
        <f>Medicaid!H32</f>
        <v>620.70000000000005</v>
      </c>
      <c r="I31" s="1289">
        <f>Medicaid!I32</f>
        <v>606.6</v>
      </c>
      <c r="J31" s="1289">
        <f>Medicaid!J32</f>
        <v>654.70000000000005</v>
      </c>
      <c r="K31" s="1289">
        <f>Medicaid!K32</f>
        <v>690.7</v>
      </c>
      <c r="L31" s="1289">
        <f>Medicaid!L32</f>
        <v>678.3</v>
      </c>
      <c r="M31" s="1289">
        <f>Medicaid!M32</f>
        <v>704.4</v>
      </c>
      <c r="N31" s="1289">
        <f>Medicaid!N32</f>
        <v>744.8</v>
      </c>
      <c r="O31" s="1289">
        <f>Medicaid!O32</f>
        <v>748.2</v>
      </c>
      <c r="P31" s="1289">
        <f>Medicaid!P32</f>
        <v>745</v>
      </c>
      <c r="Q31" s="1289">
        <f>Medicaid!Q32</f>
        <v>763.1</v>
      </c>
      <c r="R31" s="1289">
        <f>Medicaid!R32</f>
        <v>789.5</v>
      </c>
      <c r="S31" s="1271">
        <f>Medicaid!S32</f>
        <v>786.1</v>
      </c>
      <c r="T31" s="1429">
        <f>Medicaid!T32</f>
        <v>0</v>
      </c>
      <c r="U31" s="391" t="e">
        <f>Medicaid!U32</f>
        <v>#DIV/0!</v>
      </c>
      <c r="V31" s="391" t="e">
        <f>Medicaid!V32</f>
        <v>#DIV/0!</v>
      </c>
      <c r="W31" s="391" t="e">
        <f>Medicaid!W32</f>
        <v>#DIV/0!</v>
      </c>
      <c r="X31" s="391" t="e">
        <f>Medicaid!X32</f>
        <v>#DIV/0!</v>
      </c>
      <c r="Y31" s="391" t="e">
        <f>Medicaid!Y32</f>
        <v>#DIV/0!</v>
      </c>
      <c r="Z31" s="391" t="e">
        <f>Medicaid!Z32</f>
        <v>#DIV/0!</v>
      </c>
      <c r="AA31" s="391" t="e">
        <f>Medicaid!AA32</f>
        <v>#DIV/0!</v>
      </c>
      <c r="AB31" s="391" t="e">
        <f>Medicaid!AB32</f>
        <v>#DIV/0!</v>
      </c>
      <c r="AC31" s="586" t="e">
        <f>Medicaid!AC32</f>
        <v>#DIV/0!</v>
      </c>
    </row>
    <row r="32" spans="2:101" ht="14.75" customHeight="1" x14ac:dyDescent="0.35">
      <c r="B32" s="477" t="s">
        <v>874</v>
      </c>
      <c r="C32" s="238"/>
      <c r="D32" s="497">
        <f>D30-D31</f>
        <v>144.79999999999995</v>
      </c>
      <c r="E32" s="1404">
        <f t="shared" ref="E32:O32" si="8">E30-E31</f>
        <v>146.5</v>
      </c>
      <c r="F32" s="1404">
        <f t="shared" si="8"/>
        <v>148.80000000000007</v>
      </c>
      <c r="G32" s="1404">
        <f t="shared" si="8"/>
        <v>151.10000000000002</v>
      </c>
      <c r="H32" s="1404">
        <f t="shared" si="8"/>
        <v>153.09999999999991</v>
      </c>
      <c r="I32" s="1404">
        <f t="shared" si="8"/>
        <v>155.79999999999995</v>
      </c>
      <c r="J32" s="1404">
        <f t="shared" si="8"/>
        <v>158.59999999999991</v>
      </c>
      <c r="K32" s="1404">
        <f t="shared" si="8"/>
        <v>161.19999999999993</v>
      </c>
      <c r="L32" s="1404">
        <f t="shared" si="8"/>
        <v>162.30000000000007</v>
      </c>
      <c r="M32" s="1404">
        <f t="shared" si="8"/>
        <v>163.60000000000002</v>
      </c>
      <c r="N32" s="1404">
        <f t="shared" si="8"/>
        <v>165.30000000000007</v>
      </c>
      <c r="O32" s="1404">
        <f t="shared" si="8"/>
        <v>169.89999999999998</v>
      </c>
      <c r="P32" s="1404">
        <f>P30-P31</f>
        <v>170.20000000000005</v>
      </c>
      <c r="Q32" s="1404">
        <f>Q30-Q31</f>
        <v>171.60000000000002</v>
      </c>
      <c r="R32" s="1404">
        <f>R30-R31</f>
        <v>173.20000000000005</v>
      </c>
      <c r="S32" s="1271">
        <f>S30-S31</f>
        <v>196.79999999999995</v>
      </c>
      <c r="T32" s="1410">
        <f>S32*(1+AVERAGE($F$34:$I$34))+T33</f>
        <v>177.85179962461578</v>
      </c>
      <c r="U32" s="466">
        <f t="shared" ref="U32:AC32" si="9">T32*(1+AVERAGE($F$34:$I$34))</f>
        <v>180.60976738544733</v>
      </c>
      <c r="V32" s="466">
        <f t="shared" si="9"/>
        <v>183.41050326100046</v>
      </c>
      <c r="W32" s="466">
        <f t="shared" si="9"/>
        <v>186.25467046121651</v>
      </c>
      <c r="X32" s="466">
        <f t="shared" si="9"/>
        <v>189.14294248050757</v>
      </c>
      <c r="Y32" s="466">
        <f t="shared" si="9"/>
        <v>192.07600325723899</v>
      </c>
      <c r="Z32" s="466">
        <f t="shared" si="9"/>
        <v>195.05454733568487</v>
      </c>
      <c r="AA32" s="466">
        <f t="shared" si="9"/>
        <v>198.07928003049508</v>
      </c>
      <c r="AB32" s="466">
        <f t="shared" si="9"/>
        <v>201.15091759371273</v>
      </c>
      <c r="AC32" s="566">
        <f t="shared" si="9"/>
        <v>204.27018738438153</v>
      </c>
    </row>
    <row r="33" spans="2:29" ht="14.75" customHeight="1" x14ac:dyDescent="0.35">
      <c r="B33" s="477" t="s">
        <v>1805</v>
      </c>
      <c r="C33" s="238"/>
      <c r="D33" s="497"/>
      <c r="E33" s="1404"/>
      <c r="F33" s="1404"/>
      <c r="G33" s="1404"/>
      <c r="H33" s="1404"/>
      <c r="I33" s="1404"/>
      <c r="J33" s="1404"/>
      <c r="K33" s="1404"/>
      <c r="L33" s="1404"/>
      <c r="M33" s="1404"/>
      <c r="N33" s="1404"/>
      <c r="O33" s="1404"/>
      <c r="P33" s="1404"/>
      <c r="Q33" s="1404"/>
      <c r="R33" s="1404"/>
      <c r="S33" s="1271"/>
      <c r="T33" s="1410">
        <v>-22</v>
      </c>
      <c r="U33" s="466"/>
      <c r="V33" s="466"/>
      <c r="W33" s="466"/>
      <c r="X33" s="466"/>
      <c r="Y33" s="466"/>
      <c r="Z33" s="466"/>
      <c r="AA33" s="466"/>
      <c r="AB33" s="466"/>
      <c r="AC33" s="566"/>
    </row>
    <row r="34" spans="2:29" x14ac:dyDescent="0.35">
      <c r="B34" s="525" t="s">
        <v>875</v>
      </c>
      <c r="C34" s="245"/>
      <c r="D34" s="499"/>
      <c r="E34" s="475">
        <f>E32/D32-1</f>
        <v>1.1740331491713052E-2</v>
      </c>
      <c r="F34" s="475">
        <f t="shared" ref="F34:N34" si="10">F32/E32-1</f>
        <v>1.5699658703072217E-2</v>
      </c>
      <c r="G34" s="475">
        <f t="shared" si="10"/>
        <v>1.5456989247311537E-2</v>
      </c>
      <c r="H34" s="475">
        <f t="shared" si="10"/>
        <v>1.3236267372600086E-2</v>
      </c>
      <c r="I34" s="475">
        <f t="shared" si="10"/>
        <v>1.7635532331809589E-2</v>
      </c>
      <c r="J34" s="475">
        <f t="shared" si="10"/>
        <v>1.7971758664954818E-2</v>
      </c>
      <c r="K34" s="475">
        <f t="shared" si="10"/>
        <v>1.639344262295106E-2</v>
      </c>
      <c r="L34" s="475">
        <f t="shared" si="10"/>
        <v>6.823821339951186E-3</v>
      </c>
      <c r="M34" s="475">
        <f t="shared" si="10"/>
        <v>8.0098582871224178E-3</v>
      </c>
      <c r="N34" s="475">
        <f t="shared" si="10"/>
        <v>1.0391198044010119E-2</v>
      </c>
      <c r="O34" s="475">
        <f>O32/N32-1</f>
        <v>2.7828191167573513E-2</v>
      </c>
      <c r="P34" s="475">
        <f t="shared" ref="P34:S34" si="11">P32/O32-1</f>
        <v>1.7657445556213958E-3</v>
      </c>
      <c r="Q34" s="475">
        <f t="shared" si="11"/>
        <v>8.2256169212688857E-3</v>
      </c>
      <c r="R34" s="475">
        <f t="shared" si="11"/>
        <v>9.3240093240094524E-3</v>
      </c>
      <c r="S34" s="200">
        <f t="shared" si="11"/>
        <v>0.13625866050808266</v>
      </c>
      <c r="T34" s="1411"/>
      <c r="U34" s="492"/>
      <c r="V34" s="492"/>
      <c r="W34" s="492"/>
      <c r="X34" s="492"/>
      <c r="Y34" s="492"/>
      <c r="Z34" s="492"/>
      <c r="AA34" s="492"/>
      <c r="AB34" s="492"/>
      <c r="AC34" s="493"/>
    </row>
    <row r="49" spans="2:29" x14ac:dyDescent="0.35">
      <c r="C49" s="593" t="s">
        <v>1543</v>
      </c>
      <c r="D49" s="594">
        <v>2022</v>
      </c>
      <c r="E49" s="594">
        <v>2023</v>
      </c>
      <c r="F49" s="83">
        <v>2024</v>
      </c>
    </row>
    <row r="50" spans="2:29" x14ac:dyDescent="0.35">
      <c r="C50" s="48" t="s">
        <v>160</v>
      </c>
      <c r="D50" s="36">
        <v>159</v>
      </c>
      <c r="E50" s="36">
        <v>140</v>
      </c>
      <c r="F50" s="272">
        <v>110</v>
      </c>
    </row>
    <row r="51" spans="2:29" x14ac:dyDescent="0.35">
      <c r="C51" s="48"/>
      <c r="D51" s="36"/>
      <c r="E51" s="36"/>
      <c r="F51" s="272"/>
    </row>
    <row r="52" spans="2:29" x14ac:dyDescent="0.35">
      <c r="C52" s="381"/>
      <c r="D52" s="37"/>
      <c r="E52" s="37"/>
      <c r="F52" s="274"/>
      <c r="G52" s="473"/>
    </row>
    <row r="57" spans="2:29" x14ac:dyDescent="0.35">
      <c r="P57" s="397"/>
      <c r="Q57" s="397"/>
    </row>
    <row r="58" spans="2:29" x14ac:dyDescent="0.35">
      <c r="B58" s="176" t="s">
        <v>400</v>
      </c>
      <c r="D58" s="436"/>
      <c r="E58" s="436"/>
      <c r="F58" s="436"/>
      <c r="G58" s="436"/>
      <c r="H58" s="436"/>
      <c r="I58" s="436"/>
      <c r="J58" s="436"/>
      <c r="K58" s="436"/>
      <c r="L58" s="436"/>
      <c r="M58" s="436"/>
      <c r="N58" s="436"/>
      <c r="O58" s="436"/>
      <c r="P58" s="436"/>
      <c r="Q58" s="436"/>
      <c r="R58" s="436"/>
      <c r="S58" s="436"/>
      <c r="T58" s="436"/>
      <c r="U58" s="436"/>
      <c r="V58" s="436"/>
      <c r="W58" s="436"/>
      <c r="X58" s="436"/>
      <c r="Y58" s="436"/>
      <c r="Z58" s="436"/>
      <c r="AA58" s="436"/>
      <c r="AB58" s="436"/>
      <c r="AC58" s="436"/>
    </row>
    <row r="59" spans="2:29" ht="45.75" customHeight="1" x14ac:dyDescent="0.35">
      <c r="B59" s="1212" t="s">
        <v>539</v>
      </c>
      <c r="C59" s="1212"/>
      <c r="D59" s="1212"/>
      <c r="E59" s="1212"/>
      <c r="F59" s="1212"/>
      <c r="G59" s="1212"/>
      <c r="H59" s="1212"/>
      <c r="I59" s="1212"/>
      <c r="J59" s="1212"/>
      <c r="K59" s="1212"/>
      <c r="L59" s="1212"/>
      <c r="M59" s="1212"/>
      <c r="N59" s="1212"/>
      <c r="O59" s="1212"/>
      <c r="P59" s="1212"/>
      <c r="Q59" s="1212"/>
      <c r="R59" s="1212"/>
      <c r="S59" s="1212"/>
      <c r="T59" s="1212"/>
      <c r="U59" s="1212"/>
      <c r="V59" s="1212"/>
      <c r="W59" s="1212"/>
      <c r="X59" s="1212"/>
      <c r="Y59" s="1212"/>
      <c r="Z59" s="1212"/>
      <c r="AA59" s="1212"/>
      <c r="AB59" s="1212"/>
      <c r="AC59" s="1212"/>
    </row>
    <row r="60" spans="2:29" ht="14.75" customHeight="1" x14ac:dyDescent="0.35">
      <c r="B60" s="1143" t="s">
        <v>540</v>
      </c>
      <c r="C60" s="1144"/>
      <c r="D60" s="1292" t="s">
        <v>325</v>
      </c>
      <c r="E60" s="1293"/>
      <c r="F60" s="1293"/>
      <c r="G60" s="1293"/>
      <c r="H60" s="1293"/>
      <c r="I60" s="1293"/>
      <c r="J60" s="1293"/>
      <c r="K60" s="1293"/>
      <c r="L60" s="1293"/>
      <c r="M60" s="1293"/>
      <c r="N60" s="1293"/>
      <c r="O60" s="1293"/>
      <c r="P60" s="1293"/>
      <c r="Q60" s="1279"/>
      <c r="R60" s="1279"/>
      <c r="S60" s="1279"/>
      <c r="T60" s="1280"/>
      <c r="U60" s="1296" t="s">
        <v>326</v>
      </c>
      <c r="V60" s="1296"/>
      <c r="W60" s="1296"/>
      <c r="X60" s="1296"/>
      <c r="Y60" s="1296"/>
      <c r="Z60" s="1296"/>
      <c r="AA60" s="1296"/>
      <c r="AB60" s="1296"/>
      <c r="AC60" s="1297"/>
    </row>
    <row r="61" spans="2:29" x14ac:dyDescent="0.35">
      <c r="B61" s="1143"/>
      <c r="C61" s="1144"/>
      <c r="D61" s="140">
        <v>2018</v>
      </c>
      <c r="E61" s="1114">
        <v>2019</v>
      </c>
      <c r="F61" s="1115"/>
      <c r="G61" s="1115"/>
      <c r="H61" s="1122"/>
      <c r="I61" s="1114">
        <v>2020</v>
      </c>
      <c r="J61" s="1115"/>
      <c r="K61" s="1115"/>
      <c r="L61" s="1115"/>
      <c r="M61" s="1114">
        <v>2021</v>
      </c>
      <c r="N61" s="1115"/>
      <c r="O61" s="1115"/>
      <c r="P61" s="1115"/>
      <c r="Q61" s="1098">
        <v>2022</v>
      </c>
      <c r="R61" s="1099"/>
      <c r="S61" s="1099"/>
      <c r="T61" s="1308"/>
      <c r="U61" s="1277">
        <v>2023</v>
      </c>
      <c r="V61" s="1146"/>
      <c r="W61" s="1146"/>
      <c r="X61" s="1146"/>
      <c r="Y61" s="1145">
        <v>2024</v>
      </c>
      <c r="Z61" s="1146"/>
      <c r="AA61" s="1146"/>
      <c r="AB61" s="1147"/>
      <c r="AC61" s="239">
        <v>2025</v>
      </c>
    </row>
    <row r="62" spans="2:29" x14ac:dyDescent="0.35">
      <c r="B62" s="1153"/>
      <c r="C62" s="1154"/>
      <c r="D62" s="149" t="s">
        <v>327</v>
      </c>
      <c r="E62" s="149" t="s">
        <v>328</v>
      </c>
      <c r="F62" s="148" t="s">
        <v>329</v>
      </c>
      <c r="G62" s="148" t="s">
        <v>238</v>
      </c>
      <c r="H62" s="198" t="s">
        <v>327</v>
      </c>
      <c r="I62" s="148" t="s">
        <v>328</v>
      </c>
      <c r="J62" s="148" t="s">
        <v>329</v>
      </c>
      <c r="K62" s="148" t="s">
        <v>238</v>
      </c>
      <c r="L62" s="148" t="s">
        <v>327</v>
      </c>
      <c r="M62" s="149" t="s">
        <v>328</v>
      </c>
      <c r="N62" s="148" t="s">
        <v>329</v>
      </c>
      <c r="O62" s="148" t="s">
        <v>238</v>
      </c>
      <c r="P62" s="148" t="s">
        <v>327</v>
      </c>
      <c r="Q62" s="1051" t="s">
        <v>328</v>
      </c>
      <c r="R62" s="1039" t="s">
        <v>329</v>
      </c>
      <c r="S62" s="1039" t="s">
        <v>238</v>
      </c>
      <c r="T62" s="1052" t="s">
        <v>327</v>
      </c>
      <c r="U62" s="1282" t="s">
        <v>328</v>
      </c>
      <c r="V62" s="329" t="s">
        <v>329</v>
      </c>
      <c r="W62" s="329" t="s">
        <v>238</v>
      </c>
      <c r="X62" s="329" t="s">
        <v>327</v>
      </c>
      <c r="Y62" s="328" t="s">
        <v>328</v>
      </c>
      <c r="Z62" s="230" t="s">
        <v>329</v>
      </c>
      <c r="AA62" s="329" t="s">
        <v>238</v>
      </c>
      <c r="AB62" s="341" t="s">
        <v>327</v>
      </c>
      <c r="AC62" s="356" t="s">
        <v>328</v>
      </c>
    </row>
    <row r="63" spans="2:29" x14ac:dyDescent="0.35">
      <c r="B63" s="174" t="s">
        <v>1542</v>
      </c>
      <c r="D63" s="1336"/>
      <c r="E63" s="1337"/>
      <c r="F63" s="1337"/>
      <c r="G63" s="1337"/>
      <c r="H63" s="1337"/>
      <c r="I63" s="1400">
        <f>(I64-AVERAGE($E64:$H64))</f>
        <v>5.0234999999999914</v>
      </c>
      <c r="J63" s="1400">
        <f t="shared" ref="J63:N63" si="12">(J64-AVERAGE($E64:$H64))</f>
        <v>45.406499999999987</v>
      </c>
      <c r="K63" s="1400">
        <f t="shared" si="12"/>
        <v>50.178499999999993</v>
      </c>
      <c r="L63" s="1400">
        <f t="shared" si="12"/>
        <v>60.014499999999991</v>
      </c>
      <c r="M63" s="1400">
        <f t="shared" si="12"/>
        <v>86.04249999999999</v>
      </c>
      <c r="N63" s="1400">
        <f t="shared" si="12"/>
        <v>100.69149999999999</v>
      </c>
      <c r="O63" s="1400">
        <f>(O64-AVERAGE($E64:$H64))</f>
        <v>95.460499999999996</v>
      </c>
      <c r="P63" s="1400">
        <f>(P64-AVERAGE($E64:$H64))</f>
        <v>100.72550000000001</v>
      </c>
      <c r="Q63" s="1400">
        <f>(Q64-AVERAGE($E64:$H64))</f>
        <v>80.643499999999989</v>
      </c>
      <c r="R63" s="1400">
        <f>(R64-AVERAGE($E64:$H64))</f>
        <v>63.702499999999993</v>
      </c>
      <c r="S63" s="1401">
        <f>(S64-AVERAGE($E64:$H64))</f>
        <v>56.879499999999986</v>
      </c>
      <c r="T63" s="1402">
        <f>(T64-AVERAGE($E64:$H64))</f>
        <v>-54.711500000000008</v>
      </c>
      <c r="U63" s="565">
        <f t="shared" ref="U63" si="13">T63*0.95</f>
        <v>-51.975925000000004</v>
      </c>
      <c r="V63" s="565">
        <f>U63</f>
        <v>-51.975925000000004</v>
      </c>
      <c r="W63" s="565">
        <f t="shared" ref="W63:AC63" si="14">V63</f>
        <v>-51.975925000000004</v>
      </c>
      <c r="X63" s="565">
        <f t="shared" si="14"/>
        <v>-51.975925000000004</v>
      </c>
      <c r="Y63" s="565">
        <f t="shared" si="14"/>
        <v>-51.975925000000004</v>
      </c>
      <c r="Z63" s="565">
        <f t="shared" si="14"/>
        <v>-51.975925000000004</v>
      </c>
      <c r="AA63" s="565">
        <f t="shared" si="14"/>
        <v>-51.975925000000004</v>
      </c>
      <c r="AB63" s="565">
        <f t="shared" si="14"/>
        <v>-51.975925000000004</v>
      </c>
      <c r="AC63" s="565">
        <f t="shared" si="14"/>
        <v>-51.975925000000004</v>
      </c>
    </row>
    <row r="64" spans="2:29" x14ac:dyDescent="0.35">
      <c r="B64" s="174" t="s">
        <v>160</v>
      </c>
      <c r="C64" s="151" t="s">
        <v>541</v>
      </c>
      <c r="D64" s="264">
        <f>'Haver Pivoted'!GO66</f>
        <v>57.347000000000001</v>
      </c>
      <c r="E64" s="1283">
        <f>'Haver Pivoted'!GP66</f>
        <v>56.009</v>
      </c>
      <c r="F64" s="1283">
        <f>'Haver Pivoted'!GQ66</f>
        <v>54.273000000000003</v>
      </c>
      <c r="G64" s="1283">
        <f>'Haver Pivoted'!GR66</f>
        <v>54.103999999999999</v>
      </c>
      <c r="H64" s="1283">
        <f>'Haver Pivoted'!GS66</f>
        <v>54.46</v>
      </c>
      <c r="I64" s="1283">
        <f>'Haver Pivoted'!GT66</f>
        <v>59.734999999999999</v>
      </c>
      <c r="J64" s="1283">
        <f>'Haver Pivoted'!GU66</f>
        <v>100.11799999999999</v>
      </c>
      <c r="K64" s="1283">
        <f>'Haver Pivoted'!GV66</f>
        <v>104.89</v>
      </c>
      <c r="L64" s="1283">
        <f>'Haver Pivoted'!GW66</f>
        <v>114.726</v>
      </c>
      <c r="M64" s="1283">
        <f>'Haver Pivoted'!GX66</f>
        <v>140.75399999999999</v>
      </c>
      <c r="N64" s="1283">
        <f>'Haver Pivoted'!GY66</f>
        <v>155.40299999999999</v>
      </c>
      <c r="O64" s="1283">
        <f>'Haver Pivoted'!GZ66</f>
        <v>150.172</v>
      </c>
      <c r="P64" s="1283">
        <f>'Haver Pivoted'!HA66</f>
        <v>155.43700000000001</v>
      </c>
      <c r="Q64" s="1283">
        <f>'Haver Pivoted'!HB66</f>
        <v>135.35499999999999</v>
      </c>
      <c r="R64" s="1283">
        <f>'Haver Pivoted'!HC66</f>
        <v>118.414</v>
      </c>
      <c r="S64" s="1039">
        <f>'Haver Pivoted'!HD66</f>
        <v>111.59099999999999</v>
      </c>
      <c r="T64" s="1052">
        <f>'Haver Pivoted'!HE66</f>
        <v>0</v>
      </c>
      <c r="U64" s="329"/>
      <c r="V64" s="329"/>
      <c r="W64" s="329"/>
      <c r="X64" s="329"/>
      <c r="Y64" s="329"/>
      <c r="Z64" s="329"/>
      <c r="AA64" s="329"/>
      <c r="AB64" s="329"/>
      <c r="AC64" s="341"/>
    </row>
    <row r="65" spans="2:29" ht="29" customHeight="1" x14ac:dyDescent="0.35">
      <c r="B65" s="145" t="s">
        <v>542</v>
      </c>
      <c r="C65" s="245"/>
      <c r="D65" s="265"/>
      <c r="E65" s="1058"/>
      <c r="F65" s="1058"/>
      <c r="G65" s="1058"/>
      <c r="H65" s="1058"/>
      <c r="I65" s="1058"/>
      <c r="J65" s="1058">
        <f t="shared" ref="J65:T65" si="15">J64-$H64</f>
        <v>45.657999999999994</v>
      </c>
      <c r="K65" s="1058">
        <f t="shared" si="15"/>
        <v>50.43</v>
      </c>
      <c r="L65" s="1058">
        <f t="shared" si="15"/>
        <v>60.265999999999998</v>
      </c>
      <c r="M65" s="1058">
        <f t="shared" si="15"/>
        <v>86.293999999999983</v>
      </c>
      <c r="N65" s="1058">
        <f>N64-$H64</f>
        <v>100.94299999999998</v>
      </c>
      <c r="O65" s="1058">
        <f>O64-$H64</f>
        <v>95.711999999999989</v>
      </c>
      <c r="P65" s="1058">
        <f t="shared" si="15"/>
        <v>100.977</v>
      </c>
      <c r="Q65" s="1058">
        <f t="shared" si="15"/>
        <v>80.894999999999982</v>
      </c>
      <c r="R65" s="1058">
        <f t="shared" si="15"/>
        <v>63.954000000000001</v>
      </c>
      <c r="S65" s="172">
        <f t="shared" si="15"/>
        <v>57.130999999999993</v>
      </c>
      <c r="T65" s="152">
        <f t="shared" si="15"/>
        <v>-54.46</v>
      </c>
      <c r="U65" s="255"/>
      <c r="V65" s="255"/>
      <c r="W65" s="255"/>
      <c r="X65" s="255"/>
      <c r="Y65" s="255"/>
      <c r="Z65" s="255"/>
      <c r="AA65" s="255"/>
      <c r="AB65" s="255"/>
      <c r="AC65" s="256"/>
    </row>
    <row r="66" spans="2:29" ht="29" customHeight="1" x14ac:dyDescent="0.35">
      <c r="B66" s="151"/>
      <c r="C66" s="151"/>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2:29" ht="29" customHeight="1" x14ac:dyDescent="0.35">
      <c r="B67" s="151"/>
      <c r="C67" s="151"/>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2:29" ht="29" customHeight="1" x14ac:dyDescent="0.35">
      <c r="B68" s="151"/>
      <c r="C68" s="151"/>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2:29" ht="35.75" customHeight="1" x14ac:dyDescent="0.35"/>
    <row r="70" spans="2:29" x14ac:dyDescent="0.35">
      <c r="B70" s="176" t="s">
        <v>413</v>
      </c>
    </row>
    <row r="71" spans="2:29" x14ac:dyDescent="0.35">
      <c r="B71" s="1116" t="s">
        <v>872</v>
      </c>
      <c r="C71" s="1117"/>
      <c r="D71" s="1292" t="s">
        <v>325</v>
      </c>
      <c r="E71" s="1293"/>
      <c r="F71" s="1293"/>
      <c r="G71" s="1293"/>
      <c r="H71" s="1293"/>
      <c r="I71" s="1293"/>
      <c r="J71" s="1293"/>
      <c r="K71" s="1293"/>
      <c r="L71" s="1293"/>
      <c r="M71" s="1293"/>
      <c r="N71" s="1293"/>
      <c r="O71" s="1293"/>
      <c r="P71" s="1293"/>
      <c r="Q71" s="1279"/>
      <c r="R71" s="1279"/>
      <c r="S71" s="1279"/>
      <c r="T71" s="1280"/>
      <c r="U71" s="1296" t="s">
        <v>326</v>
      </c>
      <c r="V71" s="1296"/>
      <c r="W71" s="1296"/>
      <c r="X71" s="1296"/>
      <c r="Y71" s="1296"/>
      <c r="Z71" s="1296"/>
      <c r="AA71" s="1296"/>
      <c r="AB71" s="1296"/>
      <c r="AC71" s="1297"/>
    </row>
    <row r="72" spans="2:29" x14ac:dyDescent="0.35">
      <c r="B72" s="1118"/>
      <c r="C72" s="1119"/>
      <c r="D72" s="140">
        <v>2018</v>
      </c>
      <c r="E72" s="1114">
        <v>2019</v>
      </c>
      <c r="F72" s="1115"/>
      <c r="G72" s="1115"/>
      <c r="H72" s="1122"/>
      <c r="I72" s="1114">
        <v>2020</v>
      </c>
      <c r="J72" s="1115"/>
      <c r="K72" s="1115"/>
      <c r="L72" s="1115"/>
      <c r="M72" s="1114">
        <v>2021</v>
      </c>
      <c r="N72" s="1115"/>
      <c r="O72" s="1115"/>
      <c r="P72" s="1115"/>
      <c r="Q72" s="1098">
        <v>2022</v>
      </c>
      <c r="R72" s="1099"/>
      <c r="S72" s="1099"/>
      <c r="T72" s="1308"/>
      <c r="U72" s="1277">
        <v>2023</v>
      </c>
      <c r="V72" s="1146"/>
      <c r="W72" s="1146"/>
      <c r="X72" s="1146"/>
      <c r="Y72" s="1145">
        <v>2024</v>
      </c>
      <c r="Z72" s="1146"/>
      <c r="AA72" s="1146"/>
      <c r="AB72" s="1147"/>
      <c r="AC72" s="239">
        <v>2025</v>
      </c>
    </row>
    <row r="73" spans="2:29" x14ac:dyDescent="0.35">
      <c r="B73" s="1118"/>
      <c r="C73" s="1119"/>
      <c r="D73" s="149" t="s">
        <v>327</v>
      </c>
      <c r="E73" s="149" t="s">
        <v>328</v>
      </c>
      <c r="F73" s="148" t="s">
        <v>329</v>
      </c>
      <c r="G73" s="148" t="s">
        <v>238</v>
      </c>
      <c r="H73" s="198" t="s">
        <v>327</v>
      </c>
      <c r="I73" s="148" t="s">
        <v>328</v>
      </c>
      <c r="J73" s="148" t="s">
        <v>329</v>
      </c>
      <c r="K73" s="148" t="s">
        <v>238</v>
      </c>
      <c r="L73" s="148" t="s">
        <v>327</v>
      </c>
      <c r="M73" s="149" t="s">
        <v>328</v>
      </c>
      <c r="N73" s="148" t="s">
        <v>329</v>
      </c>
      <c r="O73" s="148" t="s">
        <v>238</v>
      </c>
      <c r="P73" s="148" t="s">
        <v>327</v>
      </c>
      <c r="Q73" s="1051" t="s">
        <v>328</v>
      </c>
      <c r="R73" s="1039" t="s">
        <v>329</v>
      </c>
      <c r="S73" s="1039" t="s">
        <v>238</v>
      </c>
      <c r="T73" s="1052" t="s">
        <v>327</v>
      </c>
      <c r="U73" s="1282" t="s">
        <v>328</v>
      </c>
      <c r="V73" s="329" t="s">
        <v>329</v>
      </c>
      <c r="W73" s="329" t="s">
        <v>238</v>
      </c>
      <c r="X73" s="329" t="s">
        <v>327</v>
      </c>
      <c r="Y73" s="328" t="s">
        <v>328</v>
      </c>
      <c r="Z73" s="230" t="s">
        <v>329</v>
      </c>
      <c r="AA73" s="329" t="s">
        <v>238</v>
      </c>
      <c r="AB73" s="341" t="s">
        <v>327</v>
      </c>
      <c r="AC73" s="356" t="s">
        <v>328</v>
      </c>
    </row>
    <row r="74" spans="2:29" x14ac:dyDescent="0.35">
      <c r="B74" s="476" t="s">
        <v>528</v>
      </c>
      <c r="C74" s="396" t="s">
        <v>529</v>
      </c>
      <c r="D74" s="1399">
        <f>'Haver Pivoted'!GO31</f>
        <v>2224.3000000000002</v>
      </c>
      <c r="E74" s="1400">
        <f>'Haver Pivoted'!GP31</f>
        <v>2303.4</v>
      </c>
      <c r="F74" s="1400">
        <f>'Haver Pivoted'!GQ31</f>
        <v>2319.4</v>
      </c>
      <c r="G74" s="1400">
        <f>'Haver Pivoted'!GR31</f>
        <v>2333.8000000000002</v>
      </c>
      <c r="H74" s="1400">
        <f>'Haver Pivoted'!GS31</f>
        <v>2346.4</v>
      </c>
      <c r="I74" s="1400">
        <f>'Haver Pivoted'!GT31</f>
        <v>2407.5</v>
      </c>
      <c r="J74" s="1400">
        <f>'Haver Pivoted'!GU31</f>
        <v>4698.7</v>
      </c>
      <c r="K74" s="1400">
        <f>'Haver Pivoted'!GV31</f>
        <v>3492.4</v>
      </c>
      <c r="L74" s="1400">
        <f>'Haver Pivoted'!GW31</f>
        <v>2881.6</v>
      </c>
      <c r="M74" s="1400">
        <f>'Haver Pivoted'!GX31</f>
        <v>5094.8</v>
      </c>
      <c r="N74" s="1400">
        <f>'Haver Pivoted'!GY31</f>
        <v>3395.6</v>
      </c>
      <c r="O74" s="1400">
        <f>'Haver Pivoted'!GZ31</f>
        <v>3146.3</v>
      </c>
      <c r="P74" s="1400">
        <f>'Haver Pivoted'!HA31</f>
        <v>2937.4</v>
      </c>
      <c r="Q74" s="1400">
        <f>'Haver Pivoted'!HB31</f>
        <v>2863</v>
      </c>
      <c r="R74" s="1400">
        <f>'Haver Pivoted'!HC31</f>
        <v>2846.5</v>
      </c>
      <c r="S74" s="1401">
        <f>'Haver Pivoted'!HD31</f>
        <v>2840.1</v>
      </c>
      <c r="T74" s="1402">
        <f>'Haver Pivoted'!HE31</f>
        <v>0</v>
      </c>
      <c r="U74" s="564"/>
      <c r="V74" s="564"/>
      <c r="W74" s="564"/>
      <c r="X74" s="564"/>
      <c r="Y74" s="564"/>
      <c r="Z74" s="564"/>
      <c r="AA74" s="564"/>
      <c r="AB74" s="564"/>
      <c r="AC74" s="267"/>
    </row>
    <row r="75" spans="2:29" ht="27.65" customHeight="1" x14ac:dyDescent="0.35">
      <c r="B75" s="182" t="s">
        <v>868</v>
      </c>
      <c r="C75" s="151"/>
      <c r="D75" s="527">
        <f t="shared" ref="D75:T75" si="16">SUM(D14:D22)</f>
        <v>813.09999999999991</v>
      </c>
      <c r="E75" s="1436">
        <f t="shared" si="16"/>
        <v>832</v>
      </c>
      <c r="F75" s="1436">
        <f t="shared" si="16"/>
        <v>842.69999999999993</v>
      </c>
      <c r="G75" s="1436">
        <f t="shared" si="16"/>
        <v>850.1</v>
      </c>
      <c r="H75" s="1436">
        <f t="shared" si="16"/>
        <v>854</v>
      </c>
      <c r="I75" s="1436">
        <f t="shared" si="16"/>
        <v>871.02350000000001</v>
      </c>
      <c r="J75" s="1436">
        <f t="shared" si="16"/>
        <v>3187.1064999999999</v>
      </c>
      <c r="K75" s="1436">
        <f t="shared" si="16"/>
        <v>1850.5785000000001</v>
      </c>
      <c r="L75" s="1436">
        <f t="shared" si="16"/>
        <v>1300.1145000000001</v>
      </c>
      <c r="M75" s="1436">
        <f t="shared" si="16"/>
        <v>3501.0425</v>
      </c>
      <c r="N75" s="1436">
        <f t="shared" si="16"/>
        <v>1824.9133399999998</v>
      </c>
      <c r="O75" s="1436">
        <f t="shared" si="16"/>
        <v>1573.4639933333328</v>
      </c>
      <c r="P75" s="1436">
        <f t="shared" si="16"/>
        <v>1378.1348333333328</v>
      </c>
      <c r="Q75" s="1436">
        <f t="shared" si="16"/>
        <v>1205.9195</v>
      </c>
      <c r="R75" s="1436">
        <f t="shared" si="16"/>
        <v>1180.8785</v>
      </c>
      <c r="S75" s="1437">
        <f t="shared" si="16"/>
        <v>1170.5554999999999</v>
      </c>
      <c r="T75" s="553">
        <f t="shared" si="16"/>
        <v>-41.295500000000004</v>
      </c>
      <c r="U75" s="561"/>
      <c r="V75" s="561"/>
      <c r="W75" s="561"/>
      <c r="X75" s="561"/>
      <c r="Y75" s="561"/>
      <c r="Z75" s="561"/>
      <c r="AA75" s="561"/>
      <c r="AB75" s="561"/>
      <c r="AC75" s="587"/>
    </row>
    <row r="76" spans="2:29" ht="27.65" customHeight="1" x14ac:dyDescent="0.35">
      <c r="B76" s="182" t="s">
        <v>869</v>
      </c>
      <c r="C76" s="151"/>
      <c r="D76" s="527">
        <f>D74-D75</f>
        <v>1411.2000000000003</v>
      </c>
      <c r="E76" s="1436">
        <f t="shared" ref="E76:O76" si="17">E74-E75</f>
        <v>1471.4</v>
      </c>
      <c r="F76" s="1436">
        <f t="shared" si="17"/>
        <v>1476.7000000000003</v>
      </c>
      <c r="G76" s="1436">
        <f t="shared" si="17"/>
        <v>1483.7000000000003</v>
      </c>
      <c r="H76" s="1436">
        <f t="shared" si="17"/>
        <v>1492.4</v>
      </c>
      <c r="I76" s="1436">
        <f t="shared" si="17"/>
        <v>1536.4765</v>
      </c>
      <c r="J76" s="1436">
        <f t="shared" si="17"/>
        <v>1511.5934999999999</v>
      </c>
      <c r="K76" s="1436">
        <f t="shared" si="17"/>
        <v>1641.8215</v>
      </c>
      <c r="L76" s="1436">
        <f t="shared" si="17"/>
        <v>1581.4854999999998</v>
      </c>
      <c r="M76" s="1436">
        <f t="shared" si="17"/>
        <v>1593.7575000000002</v>
      </c>
      <c r="N76" s="1436">
        <f t="shared" si="17"/>
        <v>1570.6866600000001</v>
      </c>
      <c r="O76" s="1436">
        <f t="shared" si="17"/>
        <v>1572.8360066666673</v>
      </c>
      <c r="P76" s="1436">
        <f>P74-P75</f>
        <v>1559.2651666666673</v>
      </c>
      <c r="Q76" s="1436">
        <f>Q74-Q75</f>
        <v>1657.0805</v>
      </c>
      <c r="R76" s="1436">
        <f>R74-R75</f>
        <v>1665.6215</v>
      </c>
      <c r="S76" s="1437">
        <f>S74-S75</f>
        <v>1669.5445</v>
      </c>
      <c r="T76" s="553">
        <f>T74-T75</f>
        <v>41.295500000000004</v>
      </c>
      <c r="U76" s="561"/>
      <c r="V76" s="561"/>
      <c r="W76" s="561"/>
      <c r="X76" s="561"/>
      <c r="Y76" s="561"/>
      <c r="Z76" s="561"/>
      <c r="AA76" s="561"/>
      <c r="AB76" s="561"/>
      <c r="AC76" s="587"/>
    </row>
    <row r="77" spans="2:29" ht="24" customHeight="1" x14ac:dyDescent="0.35">
      <c r="B77" s="174" t="s">
        <v>870</v>
      </c>
      <c r="C77" s="151"/>
      <c r="D77" s="527">
        <f t="shared" ref="D77:I77" si="18">D12-D14-D15-D21</f>
        <v>1411.2</v>
      </c>
      <c r="E77" s="1436">
        <f t="shared" si="18"/>
        <v>1471.4</v>
      </c>
      <c r="F77" s="1436">
        <f t="shared" si="18"/>
        <v>1476.7</v>
      </c>
      <c r="G77" s="1436">
        <f t="shared" si="18"/>
        <v>1483.7</v>
      </c>
      <c r="H77" s="1436">
        <f t="shared" si="18"/>
        <v>1492.4000000000003</v>
      </c>
      <c r="I77" s="1436">
        <f t="shared" si="18"/>
        <v>1541.5000000000002</v>
      </c>
      <c r="J77" s="1438">
        <f>I77+($H$77-$E$77)/3</f>
        <v>1548.5000000000002</v>
      </c>
      <c r="K77" s="1438">
        <f>J77+($H$77-$E$77)/3</f>
        <v>1555.5000000000002</v>
      </c>
      <c r="L77" s="1438">
        <f>K77+($H$77-$E$77)/3</f>
        <v>1562.5000000000002</v>
      </c>
      <c r="M77" s="1439">
        <f>L77+($H$77-$E$77)/3 +(M78-L78)</f>
        <v>1586.9430000000002</v>
      </c>
      <c r="N77" s="1438">
        <f>M77+($H$77-$E$77)/3</f>
        <v>1593.9430000000002</v>
      </c>
      <c r="O77" s="1438">
        <f>N77+($H$77-$E$77)/3</f>
        <v>1600.9430000000002</v>
      </c>
      <c r="P77" s="1438">
        <f>O77+($H$77-$E$77)/3</f>
        <v>1607.9430000000002</v>
      </c>
      <c r="Q77" s="1439">
        <f>P77+($H$77-$E$77)/3 + 0.06*Q78</f>
        <v>1686.8657200000002</v>
      </c>
      <c r="R77" s="1438">
        <f>Q77+($H$77-$E$77)/3</f>
        <v>1693.8657200000002</v>
      </c>
      <c r="S77" s="1438">
        <f>R77+($H$77-$E$77)/3</f>
        <v>1700.8657200000002</v>
      </c>
      <c r="T77" s="589">
        <f>S77+($H$77-$E$77)/3</f>
        <v>1707.8657200000002</v>
      </c>
      <c r="U77" s="576">
        <f>T77+($H$77-$E$77)/3+0.087*U78</f>
        <v>1715.5617200000002</v>
      </c>
      <c r="V77" s="575">
        <f>U77+($H$77-$E$77)/3</f>
        <v>1722.5617200000002</v>
      </c>
      <c r="W77" s="575">
        <f>V77+($H$77-$E$77)/3</f>
        <v>1729.5617200000002</v>
      </c>
      <c r="X77" s="575">
        <f>W77+($H$77-$E$77)/3</f>
        <v>1736.5617200000002</v>
      </c>
      <c r="Y77" s="576">
        <f>X77+($H$77-$E$77)/3 + 0.03*Y78</f>
        <v>1744.7617200000002</v>
      </c>
      <c r="Z77" s="575">
        <f>Y77+($H$77-$E$77)/3</f>
        <v>1751.7617200000002</v>
      </c>
      <c r="AA77" s="575">
        <f>Z77+($H$77-$E$77)/3</f>
        <v>1758.7617200000002</v>
      </c>
      <c r="AB77" s="575">
        <f>AA77+($H$77-$E$77)/3</f>
        <v>1765.7617200000002</v>
      </c>
      <c r="AC77" s="577">
        <f>AB77+($H$77-$E$77)/3 + 0.02*AC78</f>
        <v>1774.2017200000003</v>
      </c>
    </row>
    <row r="78" spans="2:29" x14ac:dyDescent="0.35">
      <c r="B78" s="174" t="s">
        <v>537</v>
      </c>
      <c r="C78" s="151" t="s">
        <v>538</v>
      </c>
      <c r="D78" s="174">
        <f>'Haver Pivoted'!GO88/1000</f>
        <v>983.88599999999997</v>
      </c>
      <c r="E78" s="1339">
        <f>'Haver Pivoted'!GP88/1000</f>
        <v>1019.2089999999999</v>
      </c>
      <c r="F78" s="1339">
        <f>'Haver Pivoted'!GQ88/1000</f>
        <v>1026.6220000000001</v>
      </c>
      <c r="G78" s="1339">
        <f>'Haver Pivoted'!GR88/1000</f>
        <v>1034.357</v>
      </c>
      <c r="H78" s="1339">
        <f>'Haver Pivoted'!GS88/1000</f>
        <v>1042.7819999999999</v>
      </c>
      <c r="I78" s="1339">
        <f>'Haver Pivoted'!GT88/1000</f>
        <v>1068.2280000000001</v>
      </c>
      <c r="J78" s="1339">
        <f>'Haver Pivoted'!GU88/1000</f>
        <v>1074.912</v>
      </c>
      <c r="K78" s="1339">
        <f>'Haver Pivoted'!GV88/1000</f>
        <v>1080.3399999999999</v>
      </c>
      <c r="L78" s="1339">
        <f>'Haver Pivoted'!GW88/1000</f>
        <v>1088.2329999999999</v>
      </c>
      <c r="M78" s="1339">
        <f>'Haver Pivoted'!GX88/1000</f>
        <v>1105.6759999999999</v>
      </c>
      <c r="N78" s="1339">
        <f>'Haver Pivoted'!GY88/1000</f>
        <v>1109.3710000000001</v>
      </c>
      <c r="O78" s="1339">
        <f>'Haver Pivoted'!GZ88/1000</f>
        <v>1116.8150000000001</v>
      </c>
      <c r="P78" s="1339">
        <f>'Haver Pivoted'!HA88/1000</f>
        <v>1126.539</v>
      </c>
      <c r="Q78" s="1339">
        <f>'Haver Pivoted'!HB88/1000</f>
        <v>1198.712</v>
      </c>
      <c r="R78" s="1339">
        <f>'Haver Pivoted'!HC88/1000</f>
        <v>1206.8920000000001</v>
      </c>
      <c r="S78" s="1281">
        <f>'Haver Pivoted'!HD88/1000</f>
        <v>1214.6369999999999</v>
      </c>
      <c r="T78" s="554">
        <f>'Haver Pivoted'!HE88/1000</f>
        <v>0</v>
      </c>
      <c r="U78" s="561">
        <f t="shared" ref="T78:AC78" si="19">T78+8</f>
        <v>8</v>
      </c>
      <c r="V78" s="561">
        <f t="shared" si="19"/>
        <v>16</v>
      </c>
      <c r="W78" s="561">
        <f t="shared" si="19"/>
        <v>24</v>
      </c>
      <c r="X78" s="561">
        <f t="shared" si="19"/>
        <v>32</v>
      </c>
      <c r="Y78" s="561">
        <f t="shared" si="19"/>
        <v>40</v>
      </c>
      <c r="Z78" s="561">
        <f t="shared" si="19"/>
        <v>48</v>
      </c>
      <c r="AA78" s="561">
        <f t="shared" si="19"/>
        <v>56</v>
      </c>
      <c r="AB78" s="561">
        <f t="shared" si="19"/>
        <v>64</v>
      </c>
      <c r="AC78" s="587">
        <f t="shared" si="19"/>
        <v>72</v>
      </c>
    </row>
    <row r="79" spans="2:29" ht="69" customHeight="1" x14ac:dyDescent="0.35">
      <c r="B79" s="588" t="s">
        <v>1537</v>
      </c>
      <c r="C79" s="245"/>
      <c r="D79" s="580">
        <f>D76-D77</f>
        <v>0</v>
      </c>
      <c r="E79" s="578">
        <f t="shared" ref="E79:O79" si="20">E76-E77</f>
        <v>0</v>
      </c>
      <c r="F79" s="578">
        <f t="shared" si="20"/>
        <v>0</v>
      </c>
      <c r="G79" s="578">
        <f t="shared" si="20"/>
        <v>0</v>
      </c>
      <c r="H79" s="578">
        <f t="shared" si="20"/>
        <v>0</v>
      </c>
      <c r="I79" s="578">
        <f t="shared" si="20"/>
        <v>-5.0235000000002401</v>
      </c>
      <c r="J79" s="578">
        <f t="shared" si="20"/>
        <v>-36.906500000000278</v>
      </c>
      <c r="K79" s="578">
        <f t="shared" si="20"/>
        <v>86.321499999999787</v>
      </c>
      <c r="L79" s="578">
        <f t="shared" si="20"/>
        <v>18.985499999999547</v>
      </c>
      <c r="M79" s="578">
        <f t="shared" si="20"/>
        <v>6.8144999999999527</v>
      </c>
      <c r="N79" s="578">
        <f t="shared" si="20"/>
        <v>-23.256340000000137</v>
      </c>
      <c r="O79" s="578">
        <f t="shared" si="20"/>
        <v>-28.106993333332866</v>
      </c>
      <c r="P79" s="578">
        <f>P76-P77</f>
        <v>-48.677833333332956</v>
      </c>
      <c r="Q79" s="578">
        <f>Q76-Q77</f>
        <v>-29.785220000000209</v>
      </c>
      <c r="R79" s="578">
        <f>R76-R77</f>
        <v>-28.244220000000269</v>
      </c>
      <c r="S79" s="1440">
        <f>S76-S77</f>
        <v>-31.321220000000267</v>
      </c>
      <c r="T79" s="555">
        <f>T76-T77</f>
        <v>-1666.5702200000003</v>
      </c>
      <c r="U79" s="579">
        <f t="shared" ref="U79:AC79" si="21">T79</f>
        <v>-1666.5702200000003</v>
      </c>
      <c r="V79" s="579">
        <f t="shared" si="21"/>
        <v>-1666.5702200000003</v>
      </c>
      <c r="W79" s="579">
        <f t="shared" si="21"/>
        <v>-1666.5702200000003</v>
      </c>
      <c r="X79" s="579">
        <f t="shared" si="21"/>
        <v>-1666.5702200000003</v>
      </c>
      <c r="Y79" s="579">
        <f t="shared" si="21"/>
        <v>-1666.5702200000003</v>
      </c>
      <c r="Z79" s="579">
        <f t="shared" si="21"/>
        <v>-1666.5702200000003</v>
      </c>
      <c r="AA79" s="579">
        <f t="shared" si="21"/>
        <v>-1666.5702200000003</v>
      </c>
      <c r="AB79" s="579">
        <f t="shared" si="21"/>
        <v>-1666.5702200000003</v>
      </c>
      <c r="AC79" s="579">
        <f t="shared" si="21"/>
        <v>-1666.5702200000003</v>
      </c>
    </row>
    <row r="80" spans="2:29" x14ac:dyDescent="0.35">
      <c r="B80" s="77" t="s">
        <v>1536</v>
      </c>
      <c r="D80" s="151"/>
      <c r="E80" s="151"/>
      <c r="F80" s="151"/>
      <c r="G80" s="151"/>
      <c r="H80" s="151"/>
      <c r="I80" s="151"/>
      <c r="J80" s="151"/>
      <c r="K80" s="151"/>
      <c r="L80" s="151"/>
      <c r="M80" s="253"/>
      <c r="N80" s="253"/>
      <c r="O80" s="253"/>
      <c r="P80" s="151"/>
    </row>
    <row r="81" spans="2:18" x14ac:dyDescent="0.35">
      <c r="B81" s="476" t="s">
        <v>876</v>
      </c>
      <c r="C81" s="570"/>
      <c r="D81" s="582">
        <v>2021</v>
      </c>
      <c r="E81" s="582">
        <v>2022</v>
      </c>
      <c r="F81" s="582">
        <v>2023</v>
      </c>
      <c r="G81" s="583">
        <v>2024</v>
      </c>
      <c r="R81" s="473"/>
    </row>
    <row r="82" spans="2:18" x14ac:dyDescent="0.35">
      <c r="B82" s="581" t="s">
        <v>877</v>
      </c>
      <c r="C82" s="592"/>
      <c r="D82" s="567">
        <v>3605.8330000000001</v>
      </c>
      <c r="E82" s="567">
        <v>2900</v>
      </c>
      <c r="F82" s="567">
        <f>E82*1.02</f>
        <v>2958</v>
      </c>
      <c r="G82" s="568">
        <f>F82*1.06</f>
        <v>3135.48</v>
      </c>
    </row>
    <row r="83" spans="2:18" x14ac:dyDescent="0.35">
      <c r="B83" s="581" t="s">
        <v>880</v>
      </c>
      <c r="C83" s="569"/>
      <c r="D83" s="192">
        <f>AVERAGE(Medicare!L10:O10)</f>
        <v>865</v>
      </c>
      <c r="E83" s="192">
        <f>AVERAGE(Medicare!P10:S10)</f>
        <v>910.02500000000009</v>
      </c>
      <c r="F83" s="192">
        <f>AVERAGE(Medicare!T10:W10)</f>
        <v>0</v>
      </c>
      <c r="G83" s="590">
        <f>AVERAGE(Medicare!X10:AA10)</f>
        <v>0</v>
      </c>
    </row>
    <row r="84" spans="2:18" ht="13.25" customHeight="1" x14ac:dyDescent="0.35">
      <c r="B84" s="581" t="s">
        <v>878</v>
      </c>
      <c r="C84" s="569"/>
      <c r="D84" s="192">
        <f>D82-D83</f>
        <v>2740.8330000000001</v>
      </c>
      <c r="E84" s="192">
        <f t="shared" ref="E84:G84" si="22">E82-E83</f>
        <v>1989.9749999999999</v>
      </c>
      <c r="F84" s="192">
        <f t="shared" si="22"/>
        <v>2958</v>
      </c>
      <c r="G84" s="590">
        <f t="shared" si="22"/>
        <v>3135.48</v>
      </c>
    </row>
    <row r="85" spans="2:18" x14ac:dyDescent="0.35">
      <c r="B85" s="581" t="s">
        <v>881</v>
      </c>
      <c r="C85" s="569"/>
      <c r="D85" s="192">
        <f>AVERAGE(L12:O12)</f>
        <v>3629.5749999999998</v>
      </c>
      <c r="E85" s="192">
        <f>AVERAGE(P12:S12)</f>
        <v>2871.75</v>
      </c>
      <c r="F85" s="192">
        <f>AVERAGE(T12:W12)</f>
        <v>38.573681249999836</v>
      </c>
      <c r="G85" s="590">
        <f>AVERAGE(X12:AA12)</f>
        <v>69.116574999999997</v>
      </c>
    </row>
    <row r="86" spans="2:18" x14ac:dyDescent="0.35">
      <c r="B86" s="581" t="s">
        <v>880</v>
      </c>
      <c r="C86" s="569"/>
      <c r="D86" s="192">
        <f>AVERAGE(Medicare!L10:O10)</f>
        <v>865</v>
      </c>
      <c r="E86" s="192">
        <f>AVERAGE(Medicare!P10:S10)</f>
        <v>910.02500000000009</v>
      </c>
      <c r="F86" s="192">
        <f>AVERAGE(Medicare!T10:W10)</f>
        <v>0</v>
      </c>
      <c r="G86" s="590">
        <f>AVERAGE(Medicare!X10:AA10)</f>
        <v>0</v>
      </c>
    </row>
    <row r="87" spans="2:18" x14ac:dyDescent="0.35">
      <c r="B87" s="581" t="s">
        <v>599</v>
      </c>
      <c r="C87" s="569"/>
      <c r="D87" s="192">
        <f>AVERAGE(L25:O25)</f>
        <v>1586.0822500000002</v>
      </c>
      <c r="E87" s="192">
        <f>AVERAGE(P25:S25)</f>
        <v>1672.3850400000001</v>
      </c>
      <c r="F87" s="192">
        <f>AVERAGE(T25:W25)</f>
        <v>1718.8877200000002</v>
      </c>
      <c r="G87" s="590">
        <f>AVERAGE(X25:AA25)</f>
        <v>1747.9617200000002</v>
      </c>
    </row>
    <row r="88" spans="2:18" ht="27.65" customHeight="1" x14ac:dyDescent="0.35">
      <c r="B88" s="571" t="s">
        <v>879</v>
      </c>
      <c r="C88" s="145"/>
      <c r="D88" s="516"/>
      <c r="E88" s="584">
        <v>1.157</v>
      </c>
      <c r="F88" s="584">
        <v>1.0109999999999999</v>
      </c>
      <c r="G88" s="591">
        <v>1.0529999999999999</v>
      </c>
    </row>
    <row r="89" spans="2:18" x14ac:dyDescent="0.35">
      <c r="B89" s="151" t="s">
        <v>882</v>
      </c>
      <c r="D89" s="585">
        <f>D85-D82</f>
        <v>23.741999999999734</v>
      </c>
      <c r="E89" s="585">
        <f>E85-E82</f>
        <v>-28.25</v>
      </c>
      <c r="F89" s="585">
        <f>F85-F82</f>
        <v>-2919.4263187500001</v>
      </c>
      <c r="G89" s="585">
        <f t="shared" ref="G89" si="23">G85-G82</f>
        <v>-3066.363425</v>
      </c>
    </row>
    <row r="91" spans="2:18" x14ac:dyDescent="0.35">
      <c r="B91" t="s">
        <v>877</v>
      </c>
      <c r="D91">
        <v>3605.8330000000001</v>
      </c>
      <c r="E91">
        <v>2832.5949999999998</v>
      </c>
      <c r="F91">
        <v>2833.72</v>
      </c>
      <c r="G91">
        <v>2976.7339999999999</v>
      </c>
    </row>
  </sheetData>
  <mergeCells count="32">
    <mergeCell ref="D60:T60"/>
    <mergeCell ref="U60:AC60"/>
    <mergeCell ref="Q61:T61"/>
    <mergeCell ref="D71:T71"/>
    <mergeCell ref="U71:AC71"/>
    <mergeCell ref="B1:AC1"/>
    <mergeCell ref="B2:AC6"/>
    <mergeCell ref="B8:C10"/>
    <mergeCell ref="E9:H9"/>
    <mergeCell ref="I9:L9"/>
    <mergeCell ref="U9:X9"/>
    <mergeCell ref="Y9:AB9"/>
    <mergeCell ref="M9:P9"/>
    <mergeCell ref="D8:T8"/>
    <mergeCell ref="U8:AC8"/>
    <mergeCell ref="Q9:T9"/>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8"/>
  <sheetViews>
    <sheetView topLeftCell="C37" zoomScale="90" zoomScaleNormal="90" workbookViewId="0">
      <selection activeCell="H99" sqref="H99"/>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113" t="s">
        <v>58</v>
      </c>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4:56" ht="14.25" customHeight="1" x14ac:dyDescent="0.35">
      <c r="D2" s="1112" t="s">
        <v>1005</v>
      </c>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4:56" ht="84.75" customHeight="1" x14ac:dyDescent="0.35">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4:56" x14ac:dyDescent="0.35">
      <c r="D4" s="729" t="s">
        <v>381</v>
      </c>
    </row>
    <row r="5" spans="4:56" x14ac:dyDescent="0.35">
      <c r="D5" s="1142" t="s">
        <v>465</v>
      </c>
      <c r="E5" s="1126"/>
      <c r="F5" s="1441" t="s">
        <v>325</v>
      </c>
      <c r="G5" s="1442"/>
      <c r="H5" s="1442"/>
      <c r="I5" s="1442"/>
      <c r="J5" s="1442"/>
      <c r="K5" s="1442"/>
      <c r="L5" s="1442"/>
      <c r="M5" s="1442"/>
      <c r="N5" s="1442"/>
      <c r="O5" s="1442"/>
      <c r="P5" s="1442"/>
      <c r="Q5" s="1444"/>
      <c r="R5" s="1444"/>
      <c r="S5" s="1444"/>
      <c r="T5" s="1445"/>
      <c r="U5" s="1296" t="s">
        <v>326</v>
      </c>
      <c r="V5" s="1296"/>
      <c r="W5" s="1296"/>
      <c r="X5" s="1296"/>
      <c r="Y5" s="1296"/>
      <c r="Z5" s="1296"/>
      <c r="AA5" s="1296"/>
      <c r="AB5" s="1296"/>
      <c r="AC5" s="1297"/>
      <c r="AD5" s="669"/>
      <c r="AE5" s="669"/>
      <c r="AF5" s="669"/>
      <c r="AG5" s="669"/>
      <c r="AH5" s="669"/>
      <c r="AI5" s="669"/>
      <c r="AJ5" s="669"/>
      <c r="AK5" s="669"/>
      <c r="AL5" s="669"/>
      <c r="AM5" s="669"/>
      <c r="AN5" s="669"/>
      <c r="AO5" s="669"/>
      <c r="AP5" s="669"/>
      <c r="AQ5" s="669"/>
      <c r="AR5" s="669"/>
      <c r="AS5" s="669"/>
      <c r="AT5" s="669"/>
      <c r="AU5" s="669"/>
      <c r="AV5" s="669"/>
      <c r="AW5" s="669"/>
      <c r="AX5" s="669"/>
      <c r="AY5" s="669"/>
      <c r="AZ5" s="669"/>
      <c r="BA5" s="669"/>
      <c r="BB5" s="669"/>
      <c r="BC5" s="669"/>
      <c r="BD5" s="669"/>
    </row>
    <row r="6" spans="4:56" x14ac:dyDescent="0.35">
      <c r="D6" s="1143"/>
      <c r="E6" s="1179"/>
      <c r="F6" s="1161">
        <v>2019</v>
      </c>
      <c r="G6" s="1162"/>
      <c r="H6" s="1169"/>
      <c r="I6" s="1162">
        <v>2020</v>
      </c>
      <c r="J6" s="1162"/>
      <c r="K6" s="1162"/>
      <c r="L6" s="1162"/>
      <c r="M6" s="1114">
        <v>2021</v>
      </c>
      <c r="N6" s="1115"/>
      <c r="O6" s="1115"/>
      <c r="P6" s="1115"/>
      <c r="Q6" s="1098">
        <v>2022</v>
      </c>
      <c r="R6" s="1099"/>
      <c r="S6" s="1099"/>
      <c r="T6" s="1308"/>
      <c r="U6" s="1443">
        <v>2023</v>
      </c>
      <c r="V6" s="1218"/>
      <c r="W6" s="1218"/>
      <c r="X6" s="1218"/>
      <c r="Y6" s="1145">
        <v>2024</v>
      </c>
      <c r="Z6" s="1146"/>
      <c r="AA6" s="1146"/>
      <c r="AB6" s="1146"/>
      <c r="AC6" s="239">
        <v>2025</v>
      </c>
      <c r="AD6" s="665"/>
      <c r="AE6" s="665"/>
      <c r="AF6" s="665"/>
      <c r="AG6" s="670"/>
      <c r="AH6" s="670"/>
      <c r="AI6" s="670"/>
      <c r="AJ6" s="670"/>
      <c r="AK6" s="670"/>
      <c r="AL6" s="670"/>
      <c r="AM6" s="670"/>
      <c r="AN6" s="670"/>
      <c r="AO6" s="670"/>
      <c r="AP6" s="670"/>
      <c r="AQ6" s="670"/>
      <c r="AR6" s="670"/>
      <c r="AS6" s="670"/>
      <c r="AT6" s="670"/>
      <c r="AU6" s="670"/>
      <c r="AV6" s="670"/>
      <c r="AW6" s="670"/>
      <c r="AX6" s="670"/>
      <c r="AY6" s="670"/>
      <c r="AZ6" s="670"/>
      <c r="BA6" s="670"/>
      <c r="BB6" s="670"/>
      <c r="BC6" s="670"/>
    </row>
    <row r="7" spans="4:56" x14ac:dyDescent="0.35">
      <c r="D7" s="1153"/>
      <c r="E7" s="1180"/>
      <c r="F7" s="149" t="s">
        <v>329</v>
      </c>
      <c r="G7" s="148" t="s">
        <v>238</v>
      </c>
      <c r="H7" s="198" t="s">
        <v>327</v>
      </c>
      <c r="I7" s="148" t="s">
        <v>328</v>
      </c>
      <c r="J7" s="148" t="s">
        <v>329</v>
      </c>
      <c r="K7" s="148" t="s">
        <v>238</v>
      </c>
      <c r="L7" s="148" t="s">
        <v>327</v>
      </c>
      <c r="M7" s="149" t="s">
        <v>328</v>
      </c>
      <c r="N7" s="148" t="s">
        <v>329</v>
      </c>
      <c r="O7" s="148" t="s">
        <v>238</v>
      </c>
      <c r="P7" s="148" t="s">
        <v>327</v>
      </c>
      <c r="Q7" s="1051" t="s">
        <v>328</v>
      </c>
      <c r="R7" s="1039" t="s">
        <v>329</v>
      </c>
      <c r="S7" s="1039" t="s">
        <v>238</v>
      </c>
      <c r="T7" s="1052" t="s">
        <v>327</v>
      </c>
      <c r="U7" s="255" t="s">
        <v>328</v>
      </c>
      <c r="V7" s="255" t="s">
        <v>329</v>
      </c>
      <c r="W7" s="255" t="s">
        <v>238</v>
      </c>
      <c r="X7" s="255" t="s">
        <v>327</v>
      </c>
      <c r="Y7" s="254" t="s">
        <v>328</v>
      </c>
      <c r="Z7" s="250" t="s">
        <v>329</v>
      </c>
      <c r="AA7" s="255" t="s">
        <v>238</v>
      </c>
      <c r="AB7" s="255" t="s">
        <v>327</v>
      </c>
      <c r="AC7" s="258" t="s">
        <v>328</v>
      </c>
      <c r="AD7" s="667"/>
      <c r="AE7" s="667"/>
      <c r="AF7" s="667"/>
      <c r="AG7" s="667"/>
      <c r="AH7" s="667"/>
      <c r="AI7" s="667"/>
      <c r="AJ7" s="667"/>
      <c r="AK7" s="667"/>
      <c r="AL7" s="667"/>
      <c r="AM7" s="667"/>
      <c r="AN7" s="667"/>
      <c r="AO7" s="667"/>
      <c r="AP7" s="667"/>
      <c r="AQ7" s="667"/>
      <c r="AR7" s="667"/>
      <c r="AS7" s="667"/>
      <c r="AT7" s="667"/>
      <c r="AU7" s="667"/>
      <c r="AV7" s="667"/>
      <c r="AW7" s="667"/>
      <c r="AX7" s="667"/>
      <c r="AY7" s="667"/>
      <c r="AZ7" s="667"/>
      <c r="BA7" s="667"/>
      <c r="BB7" s="667"/>
      <c r="BC7" s="667"/>
    </row>
    <row r="8" spans="4:56" x14ac:dyDescent="0.35">
      <c r="D8" s="339" t="s">
        <v>527</v>
      </c>
      <c r="E8" s="70"/>
      <c r="F8" s="1454"/>
      <c r="G8" s="1455"/>
      <c r="H8" s="1455"/>
      <c r="I8" s="1455"/>
      <c r="J8" s="1455"/>
      <c r="K8" s="1455"/>
      <c r="L8" s="1455"/>
      <c r="M8" s="1455"/>
      <c r="N8" s="1455"/>
      <c r="O8" s="1455"/>
      <c r="P8" s="1455"/>
      <c r="Q8" s="1455"/>
      <c r="R8" s="1455"/>
      <c r="S8" s="1455"/>
      <c r="T8" s="1472"/>
      <c r="U8" s="627"/>
      <c r="V8" s="627"/>
      <c r="W8" s="627"/>
      <c r="X8" s="627"/>
      <c r="Y8" s="627"/>
      <c r="Z8" s="627"/>
      <c r="AA8" s="627"/>
      <c r="AB8" s="627"/>
      <c r="AC8" s="733"/>
      <c r="AD8" s="666"/>
      <c r="AE8" s="666"/>
      <c r="AF8" s="666"/>
      <c r="AG8" s="666"/>
      <c r="AH8" s="666"/>
      <c r="AI8" s="666"/>
      <c r="AJ8" s="666"/>
      <c r="AK8" s="666"/>
      <c r="AL8" s="666"/>
      <c r="AM8" s="666"/>
      <c r="AN8" s="666"/>
      <c r="AO8" s="666"/>
      <c r="AP8" s="666"/>
      <c r="AQ8" s="666"/>
      <c r="AR8" s="666"/>
      <c r="AS8" s="666"/>
      <c r="AT8" s="666"/>
      <c r="AU8" s="666"/>
      <c r="AV8" s="666"/>
      <c r="AW8" s="666"/>
      <c r="AX8" s="666"/>
      <c r="AY8" s="666"/>
      <c r="AZ8" s="666"/>
      <c r="BA8" s="666"/>
      <c r="BB8" s="666"/>
      <c r="BC8" s="666"/>
    </row>
    <row r="9" spans="4:56" ht="14.75" customHeight="1" x14ac:dyDescent="0.35">
      <c r="D9" s="431" t="s">
        <v>543</v>
      </c>
      <c r="E9" s="628"/>
      <c r="F9" s="730">
        <f t="shared" ref="F9:P9" si="0">SUM(F10:F15)</f>
        <v>3266.5</v>
      </c>
      <c r="G9" s="1447">
        <f t="shared" si="0"/>
        <v>3286.9</v>
      </c>
      <c r="H9" s="1447">
        <f t="shared" si="0"/>
        <v>3332.3</v>
      </c>
      <c r="I9" s="1447">
        <f t="shared" si="0"/>
        <v>3393.2999999999997</v>
      </c>
      <c r="J9" s="1447">
        <f t="shared" si="0"/>
        <v>3128.1</v>
      </c>
      <c r="K9" s="1447">
        <f t="shared" si="0"/>
        <v>3303.4</v>
      </c>
      <c r="L9" s="1447">
        <f t="shared" si="0"/>
        <v>3457.8</v>
      </c>
      <c r="M9" s="1447">
        <f>SUM(M10:M15)</f>
        <v>3596.7999999999997</v>
      </c>
      <c r="N9" s="1447">
        <f t="shared" si="0"/>
        <v>3753.5</v>
      </c>
      <c r="O9" s="1447">
        <f t="shared" si="0"/>
        <v>3871.9000000000005</v>
      </c>
      <c r="P9" s="1447">
        <f t="shared" si="0"/>
        <v>4000.8999999999996</v>
      </c>
      <c r="Q9" s="1447">
        <f t="shared" ref="Q9:S9" si="1">SUM(Q10:Q15)</f>
        <v>4383.5999999999995</v>
      </c>
      <c r="R9" s="1447">
        <f t="shared" si="1"/>
        <v>4444.7999999999993</v>
      </c>
      <c r="S9" s="1447">
        <f t="shared" si="1"/>
        <v>4500</v>
      </c>
      <c r="T9" s="1473">
        <f t="shared" ref="T9:AC9" si="2">SUM(T10,T13,T15)</f>
        <v>0</v>
      </c>
      <c r="U9" s="629">
        <f t="shared" si="2"/>
        <v>2811.4083280843943</v>
      </c>
      <c r="V9" s="629">
        <f t="shared" si="2"/>
        <v>2802.4617977497601</v>
      </c>
      <c r="W9" s="629">
        <f t="shared" si="2"/>
        <v>2793.5804598604063</v>
      </c>
      <c r="X9" s="629">
        <f t="shared" si="2"/>
        <v>2782.272179807348</v>
      </c>
      <c r="Y9" s="629">
        <f t="shared" si="2"/>
        <v>2774.2034387079302</v>
      </c>
      <c r="Z9" s="629">
        <f t="shared" si="2"/>
        <v>2766.1761593994979</v>
      </c>
      <c r="AA9" s="629">
        <f t="shared" si="2"/>
        <v>2758.1902654382329</v>
      </c>
      <c r="AB9" s="629">
        <f t="shared" si="2"/>
        <v>2762.1576317601116</v>
      </c>
      <c r="AC9" s="630">
        <f t="shared" si="2"/>
        <v>2761.3592688503127</v>
      </c>
      <c r="AD9" s="676"/>
      <c r="AE9" s="676"/>
      <c r="AF9" s="676"/>
      <c r="AG9" s="676"/>
      <c r="AH9" s="676"/>
      <c r="AI9" s="676"/>
      <c r="AJ9" s="676"/>
      <c r="AK9" s="676"/>
      <c r="AL9" s="676"/>
      <c r="AM9" s="676"/>
      <c r="AN9" s="676"/>
      <c r="AO9" s="676"/>
      <c r="AP9" s="676"/>
      <c r="AQ9" s="676"/>
      <c r="AR9" s="676"/>
      <c r="AS9" s="676"/>
      <c r="AT9" s="676"/>
      <c r="AU9" s="676"/>
      <c r="AV9" s="676"/>
      <c r="AW9" s="676"/>
      <c r="AX9" s="676"/>
      <c r="AY9" s="676"/>
      <c r="AZ9" s="676"/>
      <c r="BA9" s="676"/>
      <c r="BB9" s="676"/>
      <c r="BC9" s="676"/>
    </row>
    <row r="10" spans="4:56" x14ac:dyDescent="0.35">
      <c r="D10" s="449" t="s">
        <v>544</v>
      </c>
      <c r="E10" s="53" t="s">
        <v>115</v>
      </c>
      <c r="F10" s="698">
        <f>'Haver Pivoted'!GQ27</f>
        <v>1692.6</v>
      </c>
      <c r="G10" s="1448">
        <f>'Haver Pivoted'!GR27</f>
        <v>1700.6</v>
      </c>
      <c r="H10" s="1448">
        <f>'Haver Pivoted'!GS27</f>
        <v>1726.4</v>
      </c>
      <c r="I10" s="1448">
        <f>'Haver Pivoted'!GT27</f>
        <v>1751.6</v>
      </c>
      <c r="J10" s="1448">
        <f>'Haver Pivoted'!GU27</f>
        <v>1610.2</v>
      </c>
      <c r="K10" s="1448">
        <f>'Haver Pivoted'!GV27</f>
        <v>1722.1</v>
      </c>
      <c r="L10" s="1448">
        <f>'Haver Pivoted'!GW27</f>
        <v>1837.8</v>
      </c>
      <c r="M10" s="1448">
        <f>'Haver Pivoted'!GX27</f>
        <v>1965.4</v>
      </c>
      <c r="N10" s="1448">
        <f>'Haver Pivoted'!GY27</f>
        <v>2071.9</v>
      </c>
      <c r="O10" s="1448">
        <f>'Haver Pivoted'!GZ27</f>
        <v>2158.8000000000002</v>
      </c>
      <c r="P10" s="1448">
        <f>'Haver Pivoted'!HA27</f>
        <v>2235.1999999999998</v>
      </c>
      <c r="Q10" s="1448">
        <f>'Haver Pivoted'!HB27</f>
        <v>2564.1</v>
      </c>
      <c r="R10" s="1448">
        <f>'Haver Pivoted'!HC27</f>
        <v>2598.6</v>
      </c>
      <c r="S10" s="1449">
        <f>'Haver Pivoted'!HD27</f>
        <v>2634.4</v>
      </c>
      <c r="T10" s="612">
        <f>'Haver Pivoted'!HE27</f>
        <v>0</v>
      </c>
      <c r="U10" s="631">
        <f t="shared" ref="T10:AC10" si="3">SUM(U11:U12)</f>
        <v>2604.2153368389904</v>
      </c>
      <c r="V10" s="631">
        <f t="shared" si="3"/>
        <v>2593.2696839000209</v>
      </c>
      <c r="W10" s="631">
        <f t="shared" si="3"/>
        <v>2582.3698924978216</v>
      </c>
      <c r="X10" s="631">
        <f t="shared" si="3"/>
        <v>2578.917754864467</v>
      </c>
      <c r="Y10" s="631">
        <f t="shared" si="3"/>
        <v>2569.575553194119</v>
      </c>
      <c r="Z10" s="631">
        <f t="shared" si="3"/>
        <v>2560.2671646590602</v>
      </c>
      <c r="AA10" s="631">
        <f t="shared" si="3"/>
        <v>2550.992466876135</v>
      </c>
      <c r="AB10" s="631">
        <f t="shared" si="3"/>
        <v>2550.9688024944962</v>
      </c>
      <c r="AC10" s="632">
        <f t="shared" si="3"/>
        <v>2550.3223018959452</v>
      </c>
      <c r="AD10" s="666"/>
      <c r="AE10" s="666"/>
      <c r="AF10" s="666"/>
      <c r="AG10" s="666"/>
      <c r="AH10" s="666"/>
      <c r="AI10" s="666"/>
      <c r="AJ10" s="666"/>
      <c r="AK10" s="666"/>
      <c r="AL10" s="666"/>
      <c r="AM10" s="666"/>
      <c r="AN10" s="666"/>
      <c r="AO10" s="666"/>
      <c r="AP10" s="666"/>
      <c r="AQ10" s="666"/>
      <c r="AR10" s="666"/>
      <c r="AS10" s="666"/>
      <c r="AT10" s="666"/>
      <c r="AU10" s="666"/>
      <c r="AV10" s="666"/>
      <c r="AW10" s="666"/>
      <c r="AX10" s="666"/>
      <c r="AY10" s="666"/>
      <c r="AZ10" s="666"/>
      <c r="BA10" s="666"/>
      <c r="BB10" s="666"/>
      <c r="BC10" s="666"/>
    </row>
    <row r="11" spans="4:56" ht="15.65" customHeight="1" x14ac:dyDescent="0.35">
      <c r="D11" s="449" t="s">
        <v>1479</v>
      </c>
      <c r="E11" s="53"/>
      <c r="F11" s="698"/>
      <c r="G11" s="1448"/>
      <c r="H11" s="1448"/>
      <c r="I11" s="1448"/>
      <c r="J11" s="1448"/>
      <c r="K11" s="1448"/>
      <c r="L11" s="1448"/>
      <c r="M11" s="1448"/>
      <c r="N11" s="1448"/>
      <c r="O11" s="1448"/>
      <c r="P11" s="1448"/>
      <c r="Q11" s="1448"/>
      <c r="R11" s="1448"/>
      <c r="S11" s="1450"/>
      <c r="T11" s="1474">
        <f>S10*(1+$J38)^0.25</f>
        <v>2623.362044279942</v>
      </c>
      <c r="U11" s="631">
        <f>T11*(1+$J38)^0.25</f>
        <v>2612.3703368389906</v>
      </c>
      <c r="V11" s="631">
        <f>U11*(1+$J38)^0.25</f>
        <v>2601.4246839000211</v>
      </c>
      <c r="W11" s="631">
        <f>V11*(1+$J38)^0.25</f>
        <v>2590.5248924978218</v>
      </c>
      <c r="X11" s="631">
        <f>W11*(1+$K38)^0.25</f>
        <v>2581.1487548644673</v>
      </c>
      <c r="Y11" s="631">
        <f>X11*(1+$K38)^0.25</f>
        <v>2571.8065531941193</v>
      </c>
      <c r="Z11" s="631">
        <f>Y11*(1+$K38)^0.25</f>
        <v>2562.4981646590604</v>
      </c>
      <c r="AA11" s="631">
        <f>Z11*(1+$K38)^0.25</f>
        <v>2553.2234668761353</v>
      </c>
      <c r="AB11" s="631">
        <f>AA11*(1+$L38)^0.25</f>
        <v>2552.5768024944964</v>
      </c>
      <c r="AC11" s="632">
        <f>AB11*(1+$L38)^0.25</f>
        <v>2551.9303018959454</v>
      </c>
      <c r="AD11" s="666"/>
      <c r="AE11" s="666"/>
      <c r="AF11" s="666"/>
      <c r="AG11" s="666"/>
      <c r="AH11" s="666"/>
      <c r="AI11" s="666"/>
      <c r="AJ11" s="666"/>
      <c r="AK11" s="666"/>
      <c r="AL11" s="666"/>
      <c r="AM11" s="666"/>
      <c r="AN11" s="666"/>
      <c r="AO11" s="666"/>
      <c r="AP11" s="666"/>
      <c r="AQ11" s="666"/>
      <c r="AR11" s="666"/>
      <c r="AS11" s="666"/>
      <c r="AT11" s="666"/>
      <c r="AU11" s="666"/>
      <c r="AV11" s="666"/>
      <c r="AW11" s="666"/>
      <c r="AX11" s="666"/>
      <c r="AY11" s="666"/>
      <c r="AZ11" s="666"/>
      <c r="BA11" s="666"/>
      <c r="BB11" s="666"/>
      <c r="BC11" s="666"/>
    </row>
    <row r="12" spans="4:56" x14ac:dyDescent="0.35">
      <c r="D12" s="650" t="s">
        <v>1810</v>
      </c>
      <c r="E12" s="651"/>
      <c r="F12" s="698"/>
      <c r="G12" s="1448"/>
      <c r="H12" s="1448"/>
      <c r="I12" s="1448"/>
      <c r="J12" s="1448"/>
      <c r="K12" s="1448"/>
      <c r="L12" s="1448"/>
      <c r="M12" s="1448"/>
      <c r="N12" s="1448"/>
      <c r="O12" s="1448"/>
      <c r="P12" s="1448"/>
      <c r="Q12" s="1448"/>
      <c r="R12" s="1448"/>
      <c r="S12" s="1450">
        <f>'IRA and CHIPS'!E192</f>
        <v>0</v>
      </c>
      <c r="T12" s="1474">
        <f>'IRA and CHIPS'!F192+46</f>
        <v>42.844999999999999</v>
      </c>
      <c r="U12" s="652">
        <f>'IRA and CHIPS'!G192-5</f>
        <v>-8.1549999999999994</v>
      </c>
      <c r="V12" s="652">
        <f>'IRA and CHIPS'!H192-5</f>
        <v>-8.1549999999999994</v>
      </c>
      <c r="W12" s="652">
        <f>'IRA and CHIPS'!I192-5</f>
        <v>-8.1549999999999994</v>
      </c>
      <c r="X12" s="652">
        <f>'IRA and CHIPS'!J192</f>
        <v>-2.2309999999999999</v>
      </c>
      <c r="Y12" s="652">
        <f>'IRA and CHIPS'!K192</f>
        <v>-2.2309999999999999</v>
      </c>
      <c r="Z12" s="652">
        <f>'IRA and CHIPS'!L192</f>
        <v>-2.2309999999999999</v>
      </c>
      <c r="AA12" s="652">
        <f>'IRA and CHIPS'!M192</f>
        <v>-2.2309999999999999</v>
      </c>
      <c r="AB12" s="652">
        <f>'IRA and CHIPS'!N192</f>
        <v>-1.6080000000000001</v>
      </c>
      <c r="AC12" s="633">
        <f>'IRA and CHIPS'!O192</f>
        <v>-1.6080000000000001</v>
      </c>
      <c r="AD12" s="666"/>
      <c r="AE12" s="666"/>
      <c r="AF12" s="666"/>
      <c r="AG12" s="666"/>
      <c r="AH12" s="666"/>
      <c r="AI12" s="666"/>
      <c r="AJ12" s="666"/>
      <c r="AK12" s="666"/>
      <c r="AL12" s="666"/>
      <c r="AM12" s="666"/>
      <c r="AN12" s="666"/>
      <c r="AO12" s="666"/>
      <c r="AP12" s="666"/>
      <c r="AQ12" s="666"/>
      <c r="AR12" s="666"/>
      <c r="AS12" s="666"/>
      <c r="AT12" s="666"/>
      <c r="AU12" s="666"/>
      <c r="AV12" s="666"/>
      <c r="AW12" s="666"/>
      <c r="AX12" s="666"/>
      <c r="AY12" s="666"/>
      <c r="AZ12" s="666"/>
      <c r="BA12" s="666"/>
      <c r="BB12" s="666"/>
      <c r="BC12" s="666"/>
    </row>
    <row r="13" spans="4:56" x14ac:dyDescent="0.35">
      <c r="D13" s="634" t="s">
        <v>545</v>
      </c>
      <c r="E13" s="653" t="s">
        <v>121</v>
      </c>
      <c r="F13" s="698">
        <f>'Haver Pivoted'!GQ30</f>
        <v>1402.6</v>
      </c>
      <c r="G13" s="1448">
        <f>'Haver Pivoted'!GR30</f>
        <v>1410</v>
      </c>
      <c r="H13" s="1448">
        <f>'Haver Pivoted'!GS30</f>
        <v>1429</v>
      </c>
      <c r="I13" s="1448">
        <f>'Haver Pivoted'!GT30</f>
        <v>1455.1</v>
      </c>
      <c r="J13" s="1448">
        <f>'Haver Pivoted'!GU30</f>
        <v>1385.3</v>
      </c>
      <c r="K13" s="1448">
        <f>'Haver Pivoted'!GV30</f>
        <v>1432.2</v>
      </c>
      <c r="L13" s="1448">
        <f>'Haver Pivoted'!GW30</f>
        <v>1465</v>
      </c>
      <c r="M13" s="1448">
        <f>'Haver Pivoted'!GX30</f>
        <v>1474.8</v>
      </c>
      <c r="N13" s="1448">
        <f>'Haver Pivoted'!GY30</f>
        <v>1504.3</v>
      </c>
      <c r="O13" s="1448">
        <f>'Haver Pivoted'!GZ30</f>
        <v>1536.3</v>
      </c>
      <c r="P13" s="1448">
        <f>'Haver Pivoted'!HA30</f>
        <v>1578.1</v>
      </c>
      <c r="Q13" s="1448">
        <f>'Haver Pivoted'!HB30</f>
        <v>1617.1</v>
      </c>
      <c r="R13" s="1448">
        <f>'Haver Pivoted'!HC30</f>
        <v>1636.8</v>
      </c>
      <c r="S13" s="1449">
        <f>'Haver Pivoted'!HD30</f>
        <v>1662.8</v>
      </c>
      <c r="T13" s="612">
        <f>'Haver Pivoted'!HE30</f>
        <v>0</v>
      </c>
      <c r="U13" s="654">
        <f>T13*(1+$J39)^0.25</f>
        <v>0</v>
      </c>
      <c r="V13" s="654">
        <f>U13*(1+$J39)^0.25</f>
        <v>0</v>
      </c>
      <c r="W13" s="654">
        <f>V13*(1+$J39)^0.25</f>
        <v>0</v>
      </c>
      <c r="X13" s="654">
        <f>W13*(1+$K39)^0.25</f>
        <v>0</v>
      </c>
      <c r="Y13" s="654">
        <f>X13*(1+$K39)^0.25</f>
        <v>0</v>
      </c>
      <c r="Z13" s="654">
        <f>Y13*(1+$K39)^0.25</f>
        <v>0</v>
      </c>
      <c r="AA13" s="654">
        <f>Z13*(1+$K39)^0.25</f>
        <v>0</v>
      </c>
      <c r="AB13" s="654">
        <f>AA13*(1+$L39)^0.25</f>
        <v>0</v>
      </c>
      <c r="AC13" s="635">
        <f>AB13*(1+$L39)^0.25</f>
        <v>0</v>
      </c>
      <c r="AD13" s="666"/>
      <c r="AE13" s="666"/>
      <c r="AF13" s="666"/>
      <c r="AG13" s="666"/>
      <c r="AH13" s="666"/>
      <c r="AI13" s="666"/>
      <c r="AJ13" s="666"/>
      <c r="AK13" s="666"/>
      <c r="AL13" s="666"/>
      <c r="AM13" s="666"/>
      <c r="AN13" s="666"/>
      <c r="AO13" s="666"/>
      <c r="AP13" s="666"/>
      <c r="AQ13" s="666"/>
      <c r="AR13" s="666"/>
      <c r="AS13" s="666"/>
      <c r="AT13" s="666"/>
      <c r="AU13" s="666"/>
      <c r="AV13" s="666"/>
      <c r="AW13" s="666"/>
      <c r="AX13" s="666"/>
      <c r="AY13" s="666"/>
      <c r="AZ13" s="666"/>
      <c r="BA13" s="666"/>
      <c r="BB13" s="666"/>
      <c r="BC13" s="666"/>
    </row>
    <row r="14" spans="4:56" x14ac:dyDescent="0.35">
      <c r="D14" s="449" t="s">
        <v>2160</v>
      </c>
      <c r="E14" s="1004"/>
      <c r="F14" s="698"/>
      <c r="G14" s="1448"/>
      <c r="H14" s="1448"/>
      <c r="I14" s="1448"/>
      <c r="J14" s="1448"/>
      <c r="K14" s="1448"/>
      <c r="L14" s="1448"/>
      <c r="M14" s="1448"/>
      <c r="N14" s="1448"/>
      <c r="O14" s="1448"/>
      <c r="P14" s="1448"/>
      <c r="Q14" s="1448"/>
      <c r="R14" s="1448"/>
      <c r="S14" s="1449"/>
      <c r="T14" s="612"/>
      <c r="U14" s="1005"/>
      <c r="V14" s="1005"/>
      <c r="W14" s="1005"/>
      <c r="X14" s="1005"/>
      <c r="Y14" s="1005"/>
      <c r="Z14" s="1005"/>
      <c r="AA14" s="1005"/>
      <c r="AB14" s="1005"/>
      <c r="AC14" s="632"/>
      <c r="AD14" s="666"/>
      <c r="AE14" s="666"/>
      <c r="AF14" s="666"/>
      <c r="AG14" s="666"/>
      <c r="AH14" s="666"/>
      <c r="AI14" s="666"/>
      <c r="AJ14" s="666"/>
      <c r="AK14" s="666"/>
      <c r="AL14" s="666"/>
      <c r="AM14" s="666"/>
      <c r="AN14" s="666"/>
      <c r="AO14" s="666"/>
      <c r="AP14" s="666"/>
      <c r="AQ14" s="666"/>
      <c r="AR14" s="666"/>
      <c r="AS14" s="666"/>
      <c r="AT14" s="666"/>
      <c r="AU14" s="666"/>
      <c r="AV14" s="666"/>
      <c r="AW14" s="666"/>
      <c r="AX14" s="666"/>
      <c r="AY14" s="666"/>
      <c r="AZ14" s="666"/>
      <c r="BA14" s="666"/>
      <c r="BB14" s="666"/>
      <c r="BC14" s="666"/>
    </row>
    <row r="15" spans="4:56" x14ac:dyDescent="0.35">
      <c r="D15" s="449" t="s">
        <v>546</v>
      </c>
      <c r="E15" s="53" t="s">
        <v>117</v>
      </c>
      <c r="F15" s="698">
        <f>'Haver Pivoted'!GQ28</f>
        <v>171.3</v>
      </c>
      <c r="G15" s="1448">
        <f>'Haver Pivoted'!GR28</f>
        <v>176.3</v>
      </c>
      <c r="H15" s="1448">
        <f>'Haver Pivoted'!GS28</f>
        <v>176.9</v>
      </c>
      <c r="I15" s="1448">
        <f>'Haver Pivoted'!GT28</f>
        <v>186.6</v>
      </c>
      <c r="J15" s="1448">
        <f>'Haver Pivoted'!GU28</f>
        <v>132.6</v>
      </c>
      <c r="K15" s="1448">
        <f>'Haver Pivoted'!GV28</f>
        <v>149.1</v>
      </c>
      <c r="L15" s="1448">
        <f>'Haver Pivoted'!GW28</f>
        <v>155</v>
      </c>
      <c r="M15" s="1448">
        <f>'Haver Pivoted'!GX28</f>
        <v>156.6</v>
      </c>
      <c r="N15" s="1448">
        <f>'Haver Pivoted'!GY28</f>
        <v>177.3</v>
      </c>
      <c r="O15" s="1448">
        <f>'Haver Pivoted'!GZ28</f>
        <v>176.8</v>
      </c>
      <c r="P15" s="1448">
        <f>'Haver Pivoted'!HA28</f>
        <v>187.6</v>
      </c>
      <c r="Q15" s="1448">
        <f>'Haver Pivoted'!HB28</f>
        <v>202.4</v>
      </c>
      <c r="R15" s="1448">
        <f>'Haver Pivoted'!HC28</f>
        <v>209.4</v>
      </c>
      <c r="S15" s="1449">
        <f>'Haver Pivoted'!HD28</f>
        <v>202.8</v>
      </c>
      <c r="T15" s="612">
        <f>'Haver Pivoted'!HE28</f>
        <v>0</v>
      </c>
      <c r="U15" s="631">
        <f t="shared" ref="T15:AC15" si="4">SUM(U16:U17)</f>
        <v>207.19299124540404</v>
      </c>
      <c r="V15" s="631">
        <f t="shared" si="4"/>
        <v>209.19211384973917</v>
      </c>
      <c r="W15" s="631">
        <f t="shared" si="4"/>
        <v>211.21056736258492</v>
      </c>
      <c r="X15" s="631">
        <f t="shared" si="4"/>
        <v>203.35442494288122</v>
      </c>
      <c r="Y15" s="631">
        <f t="shared" si="4"/>
        <v>204.62788551381104</v>
      </c>
      <c r="Z15" s="631">
        <f t="shared" si="4"/>
        <v>205.90899474043772</v>
      </c>
      <c r="AA15" s="631">
        <f t="shared" si="4"/>
        <v>207.19779856209797</v>
      </c>
      <c r="AB15" s="631">
        <f t="shared" si="4"/>
        <v>211.18882926561542</v>
      </c>
      <c r="AC15" s="632">
        <f t="shared" si="4"/>
        <v>211.0369669543675</v>
      </c>
      <c r="AD15" s="666"/>
      <c r="AE15" s="666"/>
      <c r="AF15" s="666"/>
      <c r="AG15" s="666"/>
      <c r="AH15" s="666"/>
      <c r="AI15" s="666"/>
      <c r="AJ15" s="666"/>
      <c r="AK15" s="666"/>
      <c r="AL15" s="666"/>
      <c r="AM15" s="666"/>
      <c r="AN15" s="666"/>
      <c r="AO15" s="666"/>
      <c r="AP15" s="666"/>
      <c r="AQ15" s="666"/>
      <c r="AR15" s="666"/>
      <c r="AS15" s="666"/>
      <c r="AT15" s="666"/>
      <c r="AU15" s="666"/>
      <c r="AV15" s="666"/>
      <c r="AW15" s="666"/>
      <c r="AX15" s="666"/>
      <c r="AY15" s="666"/>
      <c r="AZ15" s="666"/>
      <c r="BA15" s="666"/>
      <c r="BB15" s="666"/>
      <c r="BC15" s="666"/>
    </row>
    <row r="16" spans="4:56" x14ac:dyDescent="0.35">
      <c r="D16" s="449" t="s">
        <v>1533</v>
      </c>
      <c r="E16" s="53"/>
      <c r="F16" s="698"/>
      <c r="G16" s="1448"/>
      <c r="H16" s="1448"/>
      <c r="I16" s="1448"/>
      <c r="J16" s="1448"/>
      <c r="K16" s="1448"/>
      <c r="L16" s="1448"/>
      <c r="M16" s="1448"/>
      <c r="N16" s="1448"/>
      <c r="O16" s="1448"/>
      <c r="P16" s="1448"/>
      <c r="Q16" s="1448"/>
      <c r="R16" s="1448"/>
      <c r="S16" s="1450"/>
      <c r="T16" s="1474">
        <f>S15*(1+$J40)^0.25</f>
        <v>204.76101441575236</v>
      </c>
      <c r="U16" s="631">
        <f>T16*(1+$J40)^0.25</f>
        <v>206.74099124540405</v>
      </c>
      <c r="V16" s="631">
        <f>U16*(1+$J40)^0.25</f>
        <v>208.74011384973917</v>
      </c>
      <c r="W16" s="631">
        <f>V16*(1+$J40)^0.25</f>
        <v>210.75856736258493</v>
      </c>
      <c r="X16" s="631">
        <f>W16*(1+$K40)^0.25</f>
        <v>212.02442494288121</v>
      </c>
      <c r="Y16" s="631">
        <f>X16*(1+$K40)^0.25</f>
        <v>213.29788551381102</v>
      </c>
      <c r="Z16" s="631">
        <f>Y16*(1+$K40)^0.25</f>
        <v>214.57899474043771</v>
      </c>
      <c r="AA16" s="631">
        <f>Z16*(1+$K40)^0.25</f>
        <v>215.86779856209796</v>
      </c>
      <c r="AB16" s="631">
        <f>AA16*(1+$L40)^0.25</f>
        <v>215.71582926561541</v>
      </c>
      <c r="AC16" s="632">
        <f>AB16*(1+$L40)^0.25</f>
        <v>215.56396695436749</v>
      </c>
      <c r="AD16" s="666"/>
      <c r="AE16" s="666"/>
      <c r="AF16" s="666"/>
      <c r="AG16" s="666"/>
      <c r="AH16" s="666"/>
      <c r="AI16" s="666"/>
      <c r="AJ16" s="666"/>
      <c r="AK16" s="666"/>
      <c r="AL16" s="666"/>
      <c r="AM16" s="666"/>
      <c r="AN16" s="666"/>
      <c r="AO16" s="666"/>
      <c r="AP16" s="666"/>
      <c r="AQ16" s="666"/>
      <c r="AR16" s="666"/>
      <c r="AS16" s="666"/>
      <c r="AT16" s="666"/>
      <c r="AU16" s="666"/>
      <c r="AV16" s="666"/>
      <c r="AW16" s="666"/>
      <c r="AX16" s="666"/>
      <c r="AY16" s="666"/>
      <c r="AZ16" s="666"/>
      <c r="BA16" s="666"/>
      <c r="BB16" s="666"/>
      <c r="BC16" s="666"/>
    </row>
    <row r="17" spans="4:55" x14ac:dyDescent="0.35">
      <c r="D17" s="650" t="s">
        <v>1534</v>
      </c>
      <c r="E17" s="651"/>
      <c r="F17" s="698"/>
      <c r="G17" s="1448"/>
      <c r="H17" s="1448"/>
      <c r="I17" s="1448"/>
      <c r="J17" s="1448"/>
      <c r="K17" s="1448"/>
      <c r="L17" s="1448"/>
      <c r="M17" s="1448"/>
      <c r="N17" s="1448"/>
      <c r="O17" s="1448"/>
      <c r="P17" s="1448"/>
      <c r="Q17" s="1448"/>
      <c r="R17" s="1448"/>
      <c r="S17" s="1450">
        <f>'IRA and CHIPS'!E193</f>
        <v>0</v>
      </c>
      <c r="T17" s="1474">
        <f>'IRA and CHIPS'!F193</f>
        <v>0.45200000000000001</v>
      </c>
      <c r="U17" s="652">
        <f>'IRA and CHIPS'!G193</f>
        <v>0.45200000000000001</v>
      </c>
      <c r="V17" s="652">
        <f>'IRA and CHIPS'!H193</f>
        <v>0.45200000000000001</v>
      </c>
      <c r="W17" s="652">
        <f>'IRA and CHIPS'!I193</f>
        <v>0.45200000000000001</v>
      </c>
      <c r="X17" s="652">
        <f>'IRA and CHIPS'!J193</f>
        <v>-8.67</v>
      </c>
      <c r="Y17" s="652">
        <f>'IRA and CHIPS'!K193</f>
        <v>-8.67</v>
      </c>
      <c r="Z17" s="652">
        <f>'IRA and CHIPS'!L193</f>
        <v>-8.67</v>
      </c>
      <c r="AA17" s="652">
        <f>'IRA and CHIPS'!M193</f>
        <v>-8.67</v>
      </c>
      <c r="AB17" s="652">
        <f>'IRA and CHIPS'!N193</f>
        <v>-4.5270000000000001</v>
      </c>
      <c r="AC17" s="633">
        <f>'IRA and CHIPS'!O193</f>
        <v>-4.5270000000000001</v>
      </c>
      <c r="AD17" s="666"/>
      <c r="AE17" s="666"/>
      <c r="AF17" s="666"/>
      <c r="AG17" s="666"/>
      <c r="AH17" s="666"/>
      <c r="AI17" s="666"/>
      <c r="AJ17" s="666"/>
      <c r="AK17" s="666"/>
      <c r="AL17" s="666"/>
      <c r="AM17" s="666"/>
      <c r="AN17" s="666"/>
      <c r="AO17" s="666"/>
      <c r="AP17" s="666"/>
      <c r="AQ17" s="666"/>
      <c r="AR17" s="666"/>
      <c r="AS17" s="666"/>
      <c r="AT17" s="666"/>
      <c r="AU17" s="666"/>
      <c r="AV17" s="666"/>
      <c r="AW17" s="666"/>
      <c r="AX17" s="666"/>
      <c r="AY17" s="666"/>
      <c r="AZ17" s="666"/>
      <c r="BA17" s="666"/>
      <c r="BB17" s="666"/>
      <c r="BC17" s="666"/>
    </row>
    <row r="18" spans="4:55" ht="14.75" customHeight="1" x14ac:dyDescent="0.35">
      <c r="D18" s="431" t="s">
        <v>547</v>
      </c>
      <c r="E18" s="636" t="s">
        <v>119</v>
      </c>
      <c r="F18" s="731">
        <f>'Haver Pivoted'!GQ29</f>
        <v>215.9</v>
      </c>
      <c r="G18" s="1451">
        <f>'Haver Pivoted'!GR29</f>
        <v>196.9</v>
      </c>
      <c r="H18" s="1451">
        <f>'Haver Pivoted'!GS29</f>
        <v>226.2</v>
      </c>
      <c r="I18" s="1451">
        <f>'Haver Pivoted'!GT29</f>
        <v>183.1</v>
      </c>
      <c r="J18" s="1451">
        <f>'Haver Pivoted'!GU29</f>
        <v>177.8</v>
      </c>
      <c r="K18" s="1451">
        <f>'Haver Pivoted'!GV29</f>
        <v>218.4</v>
      </c>
      <c r="L18" s="1451">
        <f>'Haver Pivoted'!GW29</f>
        <v>226.5</v>
      </c>
      <c r="M18" s="1451">
        <f>'Haver Pivoted'!GX29</f>
        <v>249.6</v>
      </c>
      <c r="N18" s="1451">
        <f>'Haver Pivoted'!GY29</f>
        <v>281.39999999999998</v>
      </c>
      <c r="O18" s="1451">
        <f>'Haver Pivoted'!GZ29</f>
        <v>278.39999999999998</v>
      </c>
      <c r="P18" s="1451">
        <f>'Haver Pivoted'!HA29</f>
        <v>304.8</v>
      </c>
      <c r="Q18" s="1451">
        <f>'Haver Pivoted'!HB29</f>
        <v>313.8</v>
      </c>
      <c r="R18" s="1451">
        <f>'Haver Pivoted'!HC29</f>
        <v>353.2</v>
      </c>
      <c r="S18" s="1452">
        <f>'Haver Pivoted'!HD29</f>
        <v>340.6</v>
      </c>
      <c r="T18" s="1474">
        <f t="shared" ref="T18:AC18" si="5">T20+T19</f>
        <v>388.41200041587678</v>
      </c>
      <c r="U18" s="631">
        <f t="shared" si="5"/>
        <v>401.36538320225492</v>
      </c>
      <c r="V18" s="631">
        <f t="shared" si="5"/>
        <v>414.7939642367329</v>
      </c>
      <c r="W18" s="631">
        <f t="shared" si="5"/>
        <v>428.71517629179345</v>
      </c>
      <c r="X18" s="631">
        <f t="shared" si="5"/>
        <v>434.09697515017842</v>
      </c>
      <c r="Y18" s="631">
        <f t="shared" si="5"/>
        <v>438.81811152739004</v>
      </c>
      <c r="Z18" s="631">
        <f t="shared" si="5"/>
        <v>443.59524173997403</v>
      </c>
      <c r="AA18" s="631">
        <f t="shared" si="5"/>
        <v>448.42902988855133</v>
      </c>
      <c r="AB18" s="631">
        <f t="shared" si="5"/>
        <v>434.57553490347539</v>
      </c>
      <c r="AC18" s="632">
        <f t="shared" si="5"/>
        <v>430.24614575494007</v>
      </c>
      <c r="AD18" s="676"/>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row>
    <row r="19" spans="4:55" x14ac:dyDescent="0.35">
      <c r="D19" s="242" t="s">
        <v>1480</v>
      </c>
      <c r="E19" s="70"/>
      <c r="F19" s="696"/>
      <c r="G19" s="1446"/>
      <c r="H19" s="1446"/>
      <c r="I19" s="1446"/>
      <c r="J19" s="1446"/>
      <c r="K19" s="1446"/>
      <c r="L19" s="1446"/>
      <c r="M19" s="1446"/>
      <c r="N19" s="1446"/>
      <c r="O19" s="1446"/>
      <c r="P19" s="1446"/>
      <c r="Q19" s="1453"/>
      <c r="R19" s="1446"/>
      <c r="S19" s="1450"/>
      <c r="T19" s="1474">
        <f>S18*(1+$J41)^0.25</f>
        <v>353.09500041587677</v>
      </c>
      <c r="U19" s="631">
        <f>T19*(1+$J41)^0.25</f>
        <v>366.04838320225491</v>
      </c>
      <c r="V19" s="631">
        <f>U19*(1+$J41)^0.25</f>
        <v>379.4769642367329</v>
      </c>
      <c r="W19" s="631">
        <f>V19*(1+$J41)^0.25</f>
        <v>393.39817629179345</v>
      </c>
      <c r="X19" s="631">
        <f>W19*(1+$K41)^0.25</f>
        <v>398.06397515017841</v>
      </c>
      <c r="Y19" s="631">
        <f>X19*(1+$K41)^0.25</f>
        <v>402.78511152739003</v>
      </c>
      <c r="Z19" s="631">
        <f>Y19*(1+$K41)^0.25</f>
        <v>407.56224173997401</v>
      </c>
      <c r="AA19" s="631">
        <f>Z19*(1+$K41)^0.25</f>
        <v>412.39602988855131</v>
      </c>
      <c r="AB19" s="631">
        <f>AA19*(1+$L41)^0.25</f>
        <v>413.49953490347536</v>
      </c>
      <c r="AC19" s="632">
        <f>AB19*(1+$I41)^0.25</f>
        <v>409.17014575494005</v>
      </c>
      <c r="AD19" s="666"/>
      <c r="AE19" s="666"/>
      <c r="AF19" s="666"/>
      <c r="AG19" s="666"/>
      <c r="AH19" s="666"/>
      <c r="AI19" s="666"/>
      <c r="AJ19" s="666"/>
      <c r="AK19" s="666"/>
      <c r="AL19" s="666"/>
      <c r="AM19" s="666"/>
      <c r="AN19" s="666"/>
      <c r="AO19" s="666"/>
      <c r="AP19" s="666"/>
      <c r="AQ19" s="666"/>
      <c r="AR19" s="666"/>
      <c r="AS19" s="666"/>
      <c r="AT19" s="666"/>
      <c r="AU19" s="666"/>
      <c r="AV19" s="666"/>
      <c r="AW19" s="666"/>
      <c r="AX19" s="666"/>
      <c r="AY19" s="666"/>
      <c r="AZ19" s="666"/>
      <c r="BA19" s="666"/>
      <c r="BB19" s="666"/>
      <c r="BC19" s="666"/>
    </row>
    <row r="20" spans="4:55" ht="14.75" customHeight="1" x14ac:dyDescent="0.35">
      <c r="D20" s="242" t="s">
        <v>1478</v>
      </c>
      <c r="E20" s="636"/>
      <c r="F20" s="731"/>
      <c r="G20" s="1451"/>
      <c r="H20" s="1451"/>
      <c r="I20" s="1451"/>
      <c r="J20" s="1451"/>
      <c r="K20" s="1451"/>
      <c r="L20" s="1451"/>
      <c r="M20" s="1451"/>
      <c r="N20" s="1451"/>
      <c r="O20" s="1451"/>
      <c r="P20" s="1451"/>
      <c r="Q20" s="1451"/>
      <c r="R20" s="1451"/>
      <c r="S20" s="1450">
        <f>'IRA and CHIPS'!E194</f>
        <v>0</v>
      </c>
      <c r="T20" s="1474">
        <f>'IRA and CHIPS'!F194</f>
        <v>35.317</v>
      </c>
      <c r="U20" s="631">
        <f>'IRA and CHIPS'!G194</f>
        <v>35.317</v>
      </c>
      <c r="V20" s="631">
        <f>'IRA and CHIPS'!H194</f>
        <v>35.317</v>
      </c>
      <c r="W20" s="631">
        <f>'IRA and CHIPS'!I194</f>
        <v>35.317</v>
      </c>
      <c r="X20" s="631">
        <f>'IRA and CHIPS'!J194</f>
        <v>36.033000000000001</v>
      </c>
      <c r="Y20" s="631">
        <f>'IRA and CHIPS'!K194</f>
        <v>36.033000000000001</v>
      </c>
      <c r="Z20" s="631">
        <f>'IRA and CHIPS'!L194</f>
        <v>36.033000000000001</v>
      </c>
      <c r="AA20" s="631">
        <f>'IRA and CHIPS'!M194</f>
        <v>36.033000000000001</v>
      </c>
      <c r="AB20" s="631">
        <f>'IRA and CHIPS'!N194</f>
        <v>21.076000000000001</v>
      </c>
      <c r="AC20" s="632">
        <f>'IRA and CHIPS'!O194</f>
        <v>21.076000000000001</v>
      </c>
      <c r="AD20" s="676"/>
      <c r="AE20" s="676"/>
      <c r="AF20" s="676"/>
      <c r="AG20" s="676"/>
      <c r="AH20" s="676"/>
      <c r="AI20" s="676"/>
      <c r="AJ20" s="676"/>
      <c r="AK20" s="676"/>
      <c r="AL20" s="676"/>
      <c r="AM20" s="676"/>
      <c r="AN20" s="676"/>
      <c r="AO20" s="676"/>
      <c r="AP20" s="676"/>
      <c r="AQ20" s="676"/>
      <c r="AR20" s="676"/>
      <c r="AS20" s="676"/>
      <c r="AT20" s="676"/>
      <c r="AU20" s="676"/>
      <c r="AV20" s="676"/>
      <c r="AW20" s="676"/>
      <c r="AX20" s="676"/>
      <c r="AY20" s="676"/>
      <c r="AZ20" s="676"/>
      <c r="BA20" s="676"/>
      <c r="BB20" s="676"/>
      <c r="BC20" s="676"/>
    </row>
    <row r="21" spans="4:55" x14ac:dyDescent="0.35">
      <c r="D21" s="646" t="s">
        <v>535</v>
      </c>
      <c r="E21" s="360"/>
      <c r="F21" s="696"/>
      <c r="G21" s="1446"/>
      <c r="H21" s="1446"/>
      <c r="I21" s="1446"/>
      <c r="J21" s="1446"/>
      <c r="K21" s="1446"/>
      <c r="L21" s="1446"/>
      <c r="M21" s="1446"/>
      <c r="N21" s="1446"/>
      <c r="O21" s="1446"/>
      <c r="P21" s="1446"/>
      <c r="Q21" s="1446"/>
      <c r="R21" s="1446"/>
      <c r="S21" s="1446"/>
      <c r="T21" s="1477"/>
      <c r="U21" s="647"/>
      <c r="V21" s="647"/>
      <c r="W21" s="647"/>
      <c r="X21" s="647"/>
      <c r="Y21" s="647"/>
      <c r="Z21" s="647"/>
      <c r="AA21" s="647"/>
      <c r="AB21" s="647"/>
      <c r="AC21" s="648"/>
    </row>
    <row r="22" spans="4:55" ht="14.75" customHeight="1" x14ac:dyDescent="0.35">
      <c r="D22" s="673" t="s">
        <v>543</v>
      </c>
      <c r="E22" s="637"/>
      <c r="F22" s="731">
        <f t="shared" ref="F22:P22" si="6">SUM(F24:F26)</f>
        <v>1894.6</v>
      </c>
      <c r="G22" s="1451">
        <f t="shared" si="6"/>
        <v>1889.1999999999998</v>
      </c>
      <c r="H22" s="1451">
        <f t="shared" si="6"/>
        <v>1883</v>
      </c>
      <c r="I22" s="1451">
        <f t="shared" si="6"/>
        <v>1897.5</v>
      </c>
      <c r="J22" s="1451">
        <f t="shared" si="6"/>
        <v>1801.6</v>
      </c>
      <c r="K22" s="1451">
        <f t="shared" si="6"/>
        <v>1933.3000000000002</v>
      </c>
      <c r="L22" s="1451">
        <f t="shared" si="6"/>
        <v>1955.6</v>
      </c>
      <c r="M22" s="1451">
        <f t="shared" si="6"/>
        <v>1992.6</v>
      </c>
      <c r="N22" s="1451">
        <f t="shared" si="6"/>
        <v>2088.7000000000003</v>
      </c>
      <c r="O22" s="1451">
        <f t="shared" si="6"/>
        <v>2060.8000000000002</v>
      </c>
      <c r="P22" s="1451">
        <f t="shared" si="6"/>
        <v>2119.9</v>
      </c>
      <c r="Q22" s="1451">
        <f>SUM(Q23:Q26)</f>
        <v>2152.4</v>
      </c>
      <c r="R22" s="1451">
        <f t="shared" ref="R22:AC22" si="7">SUM(R23:R26)</f>
        <v>2199.5</v>
      </c>
      <c r="S22" s="1451">
        <f t="shared" si="7"/>
        <v>2221</v>
      </c>
      <c r="T22" s="1475">
        <f t="shared" si="7"/>
        <v>20</v>
      </c>
      <c r="U22" s="638" t="e">
        <f t="shared" si="7"/>
        <v>#DIV/0!</v>
      </c>
      <c r="V22" s="638" t="e">
        <f t="shared" si="7"/>
        <v>#DIV/0!</v>
      </c>
      <c r="W22" s="638" t="e">
        <f t="shared" si="7"/>
        <v>#DIV/0!</v>
      </c>
      <c r="X22" s="638" t="e">
        <f t="shared" si="7"/>
        <v>#DIV/0!</v>
      </c>
      <c r="Y22" s="638" t="e">
        <f t="shared" si="7"/>
        <v>#DIV/0!</v>
      </c>
      <c r="Z22" s="638" t="e">
        <f t="shared" si="7"/>
        <v>#DIV/0!</v>
      </c>
      <c r="AA22" s="638" t="e">
        <f t="shared" si="7"/>
        <v>#DIV/0!</v>
      </c>
      <c r="AB22" s="638" t="e">
        <f t="shared" si="7"/>
        <v>#DIV/0!</v>
      </c>
      <c r="AC22" s="649" t="e">
        <f t="shared" si="7"/>
        <v>#DIV/0!</v>
      </c>
    </row>
    <row r="23" spans="4:55" ht="42" customHeight="1" x14ac:dyDescent="0.35">
      <c r="D23" s="664" t="s">
        <v>898</v>
      </c>
      <c r="E23" s="637"/>
      <c r="F23" s="731"/>
      <c r="G23" s="1451"/>
      <c r="H23" s="1451"/>
      <c r="I23" s="1451"/>
      <c r="J23" s="1451"/>
      <c r="K23" s="1451"/>
      <c r="L23" s="1451"/>
      <c r="M23" s="1451"/>
      <c r="N23" s="1451"/>
      <c r="O23" s="1451"/>
      <c r="P23" s="1451"/>
      <c r="Q23" s="1386"/>
      <c r="R23" s="1386">
        <v>20</v>
      </c>
      <c r="S23" s="1386">
        <v>20</v>
      </c>
      <c r="T23" s="1387">
        <v>20</v>
      </c>
      <c r="U23" s="363">
        <v>20</v>
      </c>
      <c r="V23" s="363">
        <v>20</v>
      </c>
      <c r="W23" s="363">
        <v>20</v>
      </c>
      <c r="X23" s="363">
        <v>20</v>
      </c>
      <c r="Y23" s="363">
        <v>20</v>
      </c>
      <c r="Z23" s="363">
        <v>20</v>
      </c>
      <c r="AA23" s="363">
        <v>20</v>
      </c>
      <c r="AB23" s="363">
        <v>20</v>
      </c>
      <c r="AC23" s="364">
        <v>20</v>
      </c>
    </row>
    <row r="24" spans="4:55" x14ac:dyDescent="0.35">
      <c r="D24" s="449" t="s">
        <v>548</v>
      </c>
      <c r="E24" s="50" t="s">
        <v>549</v>
      </c>
      <c r="F24" s="698">
        <f>'Haver Pivoted'!GQ33</f>
        <v>529</v>
      </c>
      <c r="G24" s="1448">
        <f>'Haver Pivoted'!GR33</f>
        <v>495.2</v>
      </c>
      <c r="H24" s="1448">
        <f>'Haver Pivoted'!GS33</f>
        <v>489.6</v>
      </c>
      <c r="I24" s="1448">
        <f>'Haver Pivoted'!GT33</f>
        <v>497.5</v>
      </c>
      <c r="J24" s="1448">
        <f>'Haver Pivoted'!GU33</f>
        <v>488</v>
      </c>
      <c r="K24" s="1448">
        <f>'Haver Pivoted'!GV33</f>
        <v>515.4</v>
      </c>
      <c r="L24" s="1448">
        <f>'Haver Pivoted'!GW33</f>
        <v>522.9</v>
      </c>
      <c r="M24" s="1448">
        <f>'Haver Pivoted'!GX33</f>
        <v>543.6</v>
      </c>
      <c r="N24" s="1448">
        <f>'Haver Pivoted'!GY33</f>
        <v>566.6</v>
      </c>
      <c r="O24" s="1448">
        <f>'Haver Pivoted'!GZ33</f>
        <v>534.4</v>
      </c>
      <c r="P24" s="1448">
        <f>'Haver Pivoted'!HA33</f>
        <v>570.79999999999995</v>
      </c>
      <c r="Q24" s="1448">
        <f>'Haver Pivoted'!HB33</f>
        <v>581.29999999999995</v>
      </c>
      <c r="R24" s="1448">
        <f>'Haver Pivoted'!HC33</f>
        <v>589.79999999999995</v>
      </c>
      <c r="S24" s="1449">
        <f>'Haver Pivoted'!HD33</f>
        <v>594.79999999999995</v>
      </c>
      <c r="T24" s="612">
        <f>'Haver Pivoted'!HE33</f>
        <v>0</v>
      </c>
      <c r="U24" s="615" t="e">
        <f>$T111*U120*(U93/$T93)</f>
        <v>#DIV/0!</v>
      </c>
      <c r="V24" s="639" t="e">
        <f t="shared" ref="V24:AC24" si="8">$T111*V120*(V93/$T93)</f>
        <v>#DIV/0!</v>
      </c>
      <c r="W24" s="639" t="e">
        <f t="shared" si="8"/>
        <v>#DIV/0!</v>
      </c>
      <c r="X24" s="639" t="e">
        <f t="shared" si="8"/>
        <v>#DIV/0!</v>
      </c>
      <c r="Y24" s="639" t="e">
        <f t="shared" si="8"/>
        <v>#DIV/0!</v>
      </c>
      <c r="Z24" s="639" t="e">
        <f t="shared" si="8"/>
        <v>#DIV/0!</v>
      </c>
      <c r="AA24" s="639" t="e">
        <f t="shared" si="8"/>
        <v>#DIV/0!</v>
      </c>
      <c r="AB24" s="639" t="e">
        <f t="shared" si="8"/>
        <v>#DIV/0!</v>
      </c>
      <c r="AC24" s="639" t="e">
        <f t="shared" si="8"/>
        <v>#DIV/0!</v>
      </c>
    </row>
    <row r="25" spans="4:55" x14ac:dyDescent="0.35">
      <c r="D25" s="449" t="s">
        <v>545</v>
      </c>
      <c r="E25" s="50" t="s">
        <v>550</v>
      </c>
      <c r="F25" s="698">
        <f>'Haver Pivoted'!GQ36</f>
        <v>20.8</v>
      </c>
      <c r="G25" s="1448">
        <f>'Haver Pivoted'!GR36</f>
        <v>20.7</v>
      </c>
      <c r="H25" s="1448">
        <f>'Haver Pivoted'!GS36</f>
        <v>20.7</v>
      </c>
      <c r="I25" s="1448">
        <f>'Haver Pivoted'!GT36</f>
        <v>20.7</v>
      </c>
      <c r="J25" s="1448">
        <f>'Haver Pivoted'!GU36</f>
        <v>19.8</v>
      </c>
      <c r="K25" s="1448">
        <f>'Haver Pivoted'!GV36</f>
        <v>20.5</v>
      </c>
      <c r="L25" s="1448">
        <f>'Haver Pivoted'!GW36</f>
        <v>21.3</v>
      </c>
      <c r="M25" s="1448">
        <f>'Haver Pivoted'!GX36</f>
        <v>22</v>
      </c>
      <c r="N25" s="1448">
        <f>'Haver Pivoted'!GY36</f>
        <v>22.7</v>
      </c>
      <c r="O25" s="1448">
        <f>'Haver Pivoted'!GZ36</f>
        <v>23.2</v>
      </c>
      <c r="P25" s="1448">
        <f>'Haver Pivoted'!HA36</f>
        <v>23.4</v>
      </c>
      <c r="Q25" s="1448">
        <f>'Haver Pivoted'!HB36</f>
        <v>23.4</v>
      </c>
      <c r="R25" s="1448">
        <f>'Haver Pivoted'!HC36</f>
        <v>23.6</v>
      </c>
      <c r="S25" s="1449">
        <f>'Haver Pivoted'!HD36</f>
        <v>23.9</v>
      </c>
      <c r="T25" s="612">
        <f>'Haver Pivoted'!HE36</f>
        <v>0</v>
      </c>
      <c r="U25" s="615" t="e">
        <f>$T112*U121*(U94/$T94)</f>
        <v>#DIV/0!</v>
      </c>
      <c r="V25" s="639" t="e">
        <f t="shared" ref="V25:AC25" si="9">$T112*V121*(V94/$T94)</f>
        <v>#DIV/0!</v>
      </c>
      <c r="W25" s="639" t="e">
        <f t="shared" si="9"/>
        <v>#DIV/0!</v>
      </c>
      <c r="X25" s="639" t="e">
        <f t="shared" si="9"/>
        <v>#DIV/0!</v>
      </c>
      <c r="Y25" s="639" t="e">
        <f t="shared" si="9"/>
        <v>#DIV/0!</v>
      </c>
      <c r="Z25" s="639" t="e">
        <f t="shared" si="9"/>
        <v>#DIV/0!</v>
      </c>
      <c r="AA25" s="639" t="e">
        <f t="shared" si="9"/>
        <v>#DIV/0!</v>
      </c>
      <c r="AB25" s="639" t="e">
        <f t="shared" si="9"/>
        <v>#DIV/0!</v>
      </c>
      <c r="AC25" s="639" t="e">
        <f t="shared" si="9"/>
        <v>#DIV/0!</v>
      </c>
    </row>
    <row r="26" spans="4:55" x14ac:dyDescent="0.35">
      <c r="D26" s="449" t="s">
        <v>546</v>
      </c>
      <c r="E26" s="50" t="s">
        <v>551</v>
      </c>
      <c r="F26" s="698">
        <f>'Haver Pivoted'!GQ34</f>
        <v>1344.8</v>
      </c>
      <c r="G26" s="1448">
        <f>'Haver Pivoted'!GR34</f>
        <v>1373.3</v>
      </c>
      <c r="H26" s="1448">
        <f>'Haver Pivoted'!GS34</f>
        <v>1372.7</v>
      </c>
      <c r="I26" s="1448">
        <f>'Haver Pivoted'!GT34</f>
        <v>1379.3</v>
      </c>
      <c r="J26" s="1448">
        <f>'Haver Pivoted'!GU34</f>
        <v>1293.8</v>
      </c>
      <c r="K26" s="1448">
        <f>'Haver Pivoted'!GV34</f>
        <v>1397.4</v>
      </c>
      <c r="L26" s="1448">
        <f>'Haver Pivoted'!GW34</f>
        <v>1411.4</v>
      </c>
      <c r="M26" s="1448">
        <f>'Haver Pivoted'!GX34</f>
        <v>1427</v>
      </c>
      <c r="N26" s="1448">
        <f>'Haver Pivoted'!GY34</f>
        <v>1499.4</v>
      </c>
      <c r="O26" s="1448">
        <f>'Haver Pivoted'!GZ34</f>
        <v>1503.2</v>
      </c>
      <c r="P26" s="1448">
        <f>'Haver Pivoted'!HA34</f>
        <v>1525.7</v>
      </c>
      <c r="Q26" s="1448">
        <f>'Haver Pivoted'!HB34</f>
        <v>1547.7</v>
      </c>
      <c r="R26" s="1448">
        <f>'Haver Pivoted'!HC34</f>
        <v>1566.1</v>
      </c>
      <c r="S26" s="1449">
        <f>'Haver Pivoted'!HD34</f>
        <v>1582.3</v>
      </c>
      <c r="T26" s="612">
        <f>'Haver Pivoted'!HE34</f>
        <v>0</v>
      </c>
      <c r="U26" s="615" t="e">
        <f>$T117*U122*(U96/$T96)</f>
        <v>#DIV/0!</v>
      </c>
      <c r="V26" s="639" t="e">
        <f t="shared" ref="V26:AC26" si="10">$T117*V122*(V96/$T96)</f>
        <v>#DIV/0!</v>
      </c>
      <c r="W26" s="639" t="e">
        <f t="shared" si="10"/>
        <v>#DIV/0!</v>
      </c>
      <c r="X26" s="639" t="e">
        <f t="shared" si="10"/>
        <v>#DIV/0!</v>
      </c>
      <c r="Y26" s="639" t="e">
        <f t="shared" si="10"/>
        <v>#DIV/0!</v>
      </c>
      <c r="Z26" s="639" t="e">
        <f t="shared" si="10"/>
        <v>#DIV/0!</v>
      </c>
      <c r="AA26" s="639" t="e">
        <f t="shared" si="10"/>
        <v>#DIV/0!</v>
      </c>
      <c r="AB26" s="639" t="e">
        <f t="shared" si="10"/>
        <v>#DIV/0!</v>
      </c>
      <c r="AC26" s="639" t="e">
        <f t="shared" si="10"/>
        <v>#DIV/0!</v>
      </c>
    </row>
    <row r="27" spans="4:55" ht="14.75" customHeight="1" x14ac:dyDescent="0.35">
      <c r="D27" s="677" t="s">
        <v>547</v>
      </c>
      <c r="E27" s="697" t="s">
        <v>552</v>
      </c>
      <c r="F27" s="732">
        <f>'Haver Pivoted'!GQ35</f>
        <v>74.5</v>
      </c>
      <c r="G27" s="620">
        <f>'Haver Pivoted'!GR35</f>
        <v>73.400000000000006</v>
      </c>
      <c r="H27" s="620">
        <f>'Haver Pivoted'!GS35</f>
        <v>72.099999999999994</v>
      </c>
      <c r="I27" s="620">
        <f>'Haver Pivoted'!GT35</f>
        <v>67.7</v>
      </c>
      <c r="J27" s="620">
        <f>'Haver Pivoted'!GU35</f>
        <v>65</v>
      </c>
      <c r="K27" s="620">
        <f>'Haver Pivoted'!GV35</f>
        <v>80.900000000000006</v>
      </c>
      <c r="L27" s="620">
        <f>'Haver Pivoted'!GW35</f>
        <v>84.8</v>
      </c>
      <c r="M27" s="620">
        <f>'Haver Pivoted'!GX35</f>
        <v>88</v>
      </c>
      <c r="N27" s="620">
        <f>'Haver Pivoted'!GY35</f>
        <v>90.3</v>
      </c>
      <c r="O27" s="620">
        <f>'Haver Pivoted'!GZ35</f>
        <v>94.4</v>
      </c>
      <c r="P27" s="620">
        <f>'Haver Pivoted'!HA35</f>
        <v>110.5</v>
      </c>
      <c r="Q27" s="620">
        <f>'Haver Pivoted'!HB35</f>
        <v>165.9</v>
      </c>
      <c r="R27" s="620">
        <f>'Haver Pivoted'!HC35</f>
        <v>109.8</v>
      </c>
      <c r="S27" s="611">
        <f>'Haver Pivoted'!HD35</f>
        <v>101.6</v>
      </c>
      <c r="T27" s="1456">
        <f t="shared" ref="T27:AC27" si="11">$S118*T123*(T97/$S97)</f>
        <v>102.34079475027342</v>
      </c>
      <c r="U27" s="640">
        <f t="shared" si="11"/>
        <v>102.15559606270507</v>
      </c>
      <c r="V27" s="640">
        <f t="shared" si="11"/>
        <v>101.60411552639042</v>
      </c>
      <c r="W27" s="640">
        <f t="shared" si="11"/>
        <v>100.98678656782923</v>
      </c>
      <c r="X27" s="640">
        <f t="shared" si="11"/>
        <v>100.44765261068578</v>
      </c>
      <c r="Y27" s="640">
        <f t="shared" si="11"/>
        <v>99.982598128569691</v>
      </c>
      <c r="Z27" s="640">
        <f t="shared" si="11"/>
        <v>99.863247863247864</v>
      </c>
      <c r="AA27" s="640">
        <f t="shared" si="11"/>
        <v>99.513428120063196</v>
      </c>
      <c r="AB27" s="640">
        <f t="shared" si="11"/>
        <v>100.06079312998746</v>
      </c>
      <c r="AC27" s="640">
        <f t="shared" si="11"/>
        <v>100.42295945234335</v>
      </c>
    </row>
    <row r="28" spans="4:55" ht="14.75" customHeight="1" x14ac:dyDescent="0.35">
      <c r="D28" s="645"/>
      <c r="E28" s="637"/>
    </row>
    <row r="29" spans="4:55" ht="14.75" customHeight="1" x14ac:dyDescent="0.35">
      <c r="D29" s="645"/>
      <c r="E29" s="637"/>
      <c r="F29" s="610"/>
      <c r="G29" s="610"/>
      <c r="H29" s="610"/>
      <c r="I29" s="610"/>
      <c r="J29" s="610"/>
      <c r="K29" s="610"/>
      <c r="L29" s="610"/>
      <c r="M29" s="610"/>
      <c r="N29" s="610"/>
      <c r="O29" s="610"/>
      <c r="P29" s="610"/>
      <c r="AB29" s="619"/>
      <c r="AC29" s="619"/>
    </row>
    <row r="30" spans="4:55" ht="14.75" customHeight="1" x14ac:dyDescent="0.35">
      <c r="D30" s="645"/>
      <c r="E30" s="637"/>
      <c r="F30" s="610"/>
      <c r="G30" s="610"/>
      <c r="H30" s="610"/>
      <c r="I30" s="610"/>
      <c r="J30" s="610"/>
      <c r="K30" s="610"/>
      <c r="L30" s="610"/>
      <c r="M30" s="610"/>
      <c r="N30" s="610"/>
      <c r="O30" s="610"/>
      <c r="P30" s="610"/>
      <c r="AB30" s="618"/>
      <c r="AC30" s="621"/>
    </row>
    <row r="31" spans="4:55" ht="14.75" customHeight="1" x14ac:dyDescent="0.35">
      <c r="D31" s="645"/>
      <c r="E31" s="637"/>
      <c r="F31" s="684"/>
      <c r="G31" s="684"/>
      <c r="H31" s="610"/>
      <c r="I31" s="610"/>
      <c r="J31" s="610"/>
      <c r="K31" s="610"/>
      <c r="L31" s="610"/>
      <c r="AD31" s="397"/>
      <c r="AE31" s="397"/>
      <c r="AF31" s="397"/>
      <c r="AG31" s="397"/>
      <c r="AH31" s="397"/>
      <c r="AI31" s="397"/>
      <c r="AJ31" s="397"/>
      <c r="AK31" s="397"/>
      <c r="AL31" s="238"/>
      <c r="AM31" s="238"/>
      <c r="AN31" s="238"/>
    </row>
    <row r="32" spans="4:55" ht="14.75" customHeight="1" x14ac:dyDescent="0.35">
      <c r="D32" s="176"/>
      <c r="E32" s="135"/>
      <c r="F32" s="135"/>
      <c r="G32" s="135"/>
      <c r="H32" s="135"/>
      <c r="I32" s="135"/>
      <c r="J32" s="135"/>
      <c r="K32" s="135"/>
      <c r="L32" s="135"/>
      <c r="AD32" s="238"/>
      <c r="AE32" s="238"/>
      <c r="AF32" s="238"/>
      <c r="AG32" s="238"/>
      <c r="AH32" s="238"/>
      <c r="AI32" s="238"/>
      <c r="AJ32" s="238"/>
      <c r="AK32" s="238"/>
      <c r="AL32" s="238"/>
      <c r="AM32" s="238"/>
      <c r="AN32" s="238"/>
    </row>
    <row r="33" spans="4:40" ht="14.75" customHeight="1" x14ac:dyDescent="0.35">
      <c r="D33" s="1219" t="s">
        <v>1012</v>
      </c>
      <c r="E33" s="1220"/>
      <c r="F33" s="1221"/>
      <c r="G33" s="142">
        <v>2020</v>
      </c>
      <c r="H33" s="142">
        <v>2021</v>
      </c>
      <c r="I33" s="662">
        <v>2022</v>
      </c>
      <c r="J33" s="702">
        <v>2023</v>
      </c>
      <c r="K33" s="702">
        <v>2024</v>
      </c>
      <c r="L33" s="703">
        <v>2025</v>
      </c>
      <c r="AD33" s="238"/>
      <c r="AE33" s="238"/>
      <c r="AF33" s="238"/>
      <c r="AG33" s="238"/>
      <c r="AH33" s="238"/>
      <c r="AI33" s="238"/>
      <c r="AJ33" s="238"/>
      <c r="AK33" s="238"/>
      <c r="AL33" s="238"/>
      <c r="AM33" s="238"/>
      <c r="AN33" s="238"/>
    </row>
    <row r="34" spans="4:40" ht="14.75" customHeight="1" x14ac:dyDescent="0.35">
      <c r="D34" s="663" t="s">
        <v>553</v>
      </c>
      <c r="E34" s="263"/>
      <c r="F34" s="556"/>
      <c r="G34" s="657">
        <f>AVERAGE(H10:K10)</f>
        <v>1702.5749999999998</v>
      </c>
      <c r="H34" s="154">
        <v>1877.8879999999999</v>
      </c>
      <c r="I34" s="154">
        <f>H34*I47/H47</f>
        <v>2408.9346874084385</v>
      </c>
      <c r="J34" s="154">
        <f t="shared" ref="J34:L34" si="12">I34*J47/I47</f>
        <v>2368.8146341227671</v>
      </c>
      <c r="K34" s="154">
        <f t="shared" si="12"/>
        <v>2334.7056536832492</v>
      </c>
      <c r="L34" s="147">
        <f t="shared" si="12"/>
        <v>2332.341273868763</v>
      </c>
      <c r="M34" t="s">
        <v>993</v>
      </c>
      <c r="AD34" s="238"/>
      <c r="AE34" s="238"/>
    </row>
    <row r="35" spans="4:40" ht="14.75" customHeight="1" x14ac:dyDescent="0.35">
      <c r="D35" s="719" t="s">
        <v>560</v>
      </c>
      <c r="E35" s="137"/>
      <c r="F35" s="150"/>
      <c r="G35" s="657">
        <f>AVERAGE(H13:K13)</f>
        <v>1425.3999999999999</v>
      </c>
      <c r="H35" s="154">
        <v>1529.57</v>
      </c>
      <c r="I35" s="154">
        <f t="shared" ref="I35:L35" si="13">H35*I48/H48</f>
        <v>1704.7545636289196</v>
      </c>
      <c r="J35" s="154">
        <f t="shared" si="13"/>
        <v>1829.4015146626407</v>
      </c>
      <c r="K35" s="154">
        <f t="shared" si="13"/>
        <v>1891.4438894046671</v>
      </c>
      <c r="L35" s="147">
        <f t="shared" si="13"/>
        <v>1942.728776109363</v>
      </c>
      <c r="AD35" s="238"/>
      <c r="AE35" s="238"/>
    </row>
    <row r="36" spans="4:40" ht="14.75" customHeight="1" x14ac:dyDescent="0.35">
      <c r="D36" s="719" t="s">
        <v>105</v>
      </c>
      <c r="E36" s="137"/>
      <c r="F36" s="150"/>
      <c r="G36" s="657">
        <f>AVERAGE(H15:K15)</f>
        <v>161.30000000000001</v>
      </c>
      <c r="H36" s="154">
        <v>168.43899999999999</v>
      </c>
      <c r="I36" s="154">
        <f t="shared" ref="I36:L36" si="14">H36*I49/H49</f>
        <v>197.82868117790269</v>
      </c>
      <c r="J36" s="154">
        <f t="shared" si="14"/>
        <v>205.59215694420288</v>
      </c>
      <c r="K36" s="154">
        <f t="shared" si="14"/>
        <v>210.57614348282542</v>
      </c>
      <c r="L36" s="147">
        <f t="shared" si="14"/>
        <v>209.98379331954985</v>
      </c>
      <c r="AD36" s="238"/>
      <c r="AE36" s="238"/>
    </row>
    <row r="37" spans="4:40" ht="14.75" customHeight="1" x14ac:dyDescent="0.35">
      <c r="D37" s="719" t="s">
        <v>303</v>
      </c>
      <c r="E37" s="137"/>
      <c r="F37" s="150"/>
      <c r="G37" s="657">
        <f>AVERAGE(H18:K18)</f>
        <v>201.37499999999997</v>
      </c>
      <c r="H37" s="154">
        <v>259.06299999999999</v>
      </c>
      <c r="I37" s="154">
        <f>H37*I52/H52</f>
        <v>275.06601762628719</v>
      </c>
      <c r="J37" s="154">
        <f>I37*J52/I52</f>
        <v>317.70543069297611</v>
      </c>
      <c r="K37" s="154">
        <f>J37*K52/J52</f>
        <v>333.04795545019113</v>
      </c>
      <c r="L37" s="147">
        <f>K37*L52/K52</f>
        <v>336.62701860253719</v>
      </c>
      <c r="AD37" s="238"/>
      <c r="AE37" s="238"/>
    </row>
    <row r="38" spans="4:40" ht="14.75" customHeight="1" x14ac:dyDescent="0.35">
      <c r="D38" s="719" t="s">
        <v>1008</v>
      </c>
      <c r="E38" s="36"/>
      <c r="F38" s="520"/>
      <c r="G38" s="151"/>
      <c r="H38" s="655">
        <f>H34/G34-1+0.021</f>
        <v>0.12396932587404384</v>
      </c>
      <c r="I38" s="655">
        <f>I34/H34-1.05</f>
        <v>0.23278932897405946</v>
      </c>
      <c r="J38" s="658">
        <f>J34/I34-1</f>
        <v>-1.6654687026335768E-2</v>
      </c>
      <c r="K38" s="658">
        <f>K34/J34-1</f>
        <v>-1.4399176680259473E-2</v>
      </c>
      <c r="L38" s="659">
        <f t="shared" ref="L38:L41" si="15">L34/K34-1</f>
        <v>-1.0127100222488972E-3</v>
      </c>
      <c r="M38" t="s">
        <v>992</v>
      </c>
      <c r="AD38" s="238"/>
      <c r="AE38" s="238"/>
    </row>
    <row r="39" spans="4:40" ht="14.75" customHeight="1" x14ac:dyDescent="0.35">
      <c r="D39" s="719" t="s">
        <v>1009</v>
      </c>
      <c r="E39" s="36"/>
      <c r="F39" s="520"/>
      <c r="G39" s="151"/>
      <c r="H39" s="655">
        <f>H35/G35-1.03</f>
        <v>4.308124035358496E-2</v>
      </c>
      <c r="I39" s="655">
        <f>I35/H35-1.013</f>
        <v>0.10153190349504748</v>
      </c>
      <c r="J39" s="667">
        <f>J35/I35-1-0.013</f>
        <v>6.0117241445234573E-2</v>
      </c>
      <c r="K39" s="658">
        <f t="shared" ref="K39" si="16">K35/J35-1</f>
        <v>3.3914028300926269E-2</v>
      </c>
      <c r="L39" s="659">
        <f t="shared" ref="L39:L40" si="17">L35/K35-1</f>
        <v>2.7114146495161418E-2</v>
      </c>
      <c r="M39" t="s">
        <v>994</v>
      </c>
      <c r="AD39" s="238"/>
      <c r="AE39" s="238"/>
    </row>
    <row r="40" spans="4:40" ht="14.75" customHeight="1" x14ac:dyDescent="0.35">
      <c r="D40" s="719" t="s">
        <v>1010</v>
      </c>
      <c r="E40" s="36"/>
      <c r="F40" s="520"/>
      <c r="G40" s="151"/>
      <c r="H40" s="655">
        <f t="shared" ref="H40:H41" si="18">H36/G36-1</f>
        <v>4.4259144451332721E-2</v>
      </c>
      <c r="I40" s="655">
        <f>I36/H36-1.01</f>
        <v>0.16448263868761215</v>
      </c>
      <c r="J40" s="658">
        <f t="shared" ref="J40:K40" si="19">J36/I36-1</f>
        <v>3.9243428809590419E-2</v>
      </c>
      <c r="K40" s="658">
        <f t="shared" si="19"/>
        <v>2.4242104429962108E-2</v>
      </c>
      <c r="L40" s="659">
        <f t="shared" si="17"/>
        <v>-2.8129974909711919E-3</v>
      </c>
      <c r="AD40" s="238"/>
      <c r="AE40" s="238"/>
    </row>
    <row r="41" spans="4:40" ht="14.75" customHeight="1" x14ac:dyDescent="0.35">
      <c r="D41" s="720" t="s">
        <v>1011</v>
      </c>
      <c r="E41" s="37"/>
      <c r="F41" s="514"/>
      <c r="G41" s="245"/>
      <c r="H41" s="656">
        <f t="shared" si="18"/>
        <v>0.28647051520794542</v>
      </c>
      <c r="I41" s="656">
        <f>I37/H37-1.103</f>
        <v>-4.1227312945935068E-2</v>
      </c>
      <c r="J41" s="660">
        <f>J37/I37-1</f>
        <v>0.15501519756838911</v>
      </c>
      <c r="K41" s="660">
        <f>K37/J37-1</f>
        <v>4.8291666666666844E-2</v>
      </c>
      <c r="L41" s="661">
        <f t="shared" si="15"/>
        <v>1.0746389802958278E-2</v>
      </c>
      <c r="AD41" s="238"/>
      <c r="AE41" s="238"/>
    </row>
    <row r="42" spans="4:40" ht="14.75" customHeight="1" x14ac:dyDescent="0.35">
      <c r="D42" s="645"/>
      <c r="E42" s="637"/>
      <c r="F42" s="684"/>
      <c r="G42" s="684"/>
      <c r="H42" s="610"/>
      <c r="I42" s="610"/>
      <c r="J42" s="610"/>
      <c r="K42" s="610"/>
      <c r="L42" s="610"/>
      <c r="AD42" s="238"/>
      <c r="AE42" s="238"/>
    </row>
    <row r="43" spans="4:40" ht="14.75" customHeight="1" x14ac:dyDescent="0.35">
      <c r="D43" s="645"/>
      <c r="E43" s="637"/>
      <c r="F43" s="684"/>
      <c r="G43" s="684"/>
      <c r="H43" s="610"/>
      <c r="I43" s="610"/>
      <c r="J43" s="751"/>
      <c r="K43" s="610"/>
      <c r="L43" s="610"/>
      <c r="AD43" s="238"/>
      <c r="AE43" s="238"/>
    </row>
    <row r="44" spans="4:40" ht="14.75" customHeight="1" x14ac:dyDescent="0.35">
      <c r="D44" s="645"/>
      <c r="E44" s="637"/>
      <c r="F44" s="684"/>
      <c r="G44" s="684"/>
      <c r="H44" s="610"/>
      <c r="I44" s="610"/>
      <c r="J44" s="610"/>
      <c r="K44" s="610"/>
      <c r="L44" s="610"/>
      <c r="AD44" s="238"/>
      <c r="AE44" s="238"/>
    </row>
    <row r="45" spans="4:40" ht="41.75" customHeight="1" x14ac:dyDescent="0.35">
      <c r="F45" s="151"/>
      <c r="G45" s="151"/>
      <c r="H45" s="192"/>
      <c r="I45" s="192"/>
      <c r="J45" s="192"/>
      <c r="K45" s="192"/>
      <c r="L45" s="192"/>
      <c r="M45" s="173"/>
      <c r="N45" s="173"/>
      <c r="AD45" s="192"/>
      <c r="AE45" s="192"/>
      <c r="AF45" s="192"/>
      <c r="AG45" s="192"/>
      <c r="AH45" s="192"/>
      <c r="AI45" s="192"/>
      <c r="AJ45" s="192"/>
      <c r="AK45" s="192"/>
      <c r="AM45" s="192"/>
      <c r="AN45" s="192"/>
    </row>
    <row r="46" spans="4:40" ht="30.75" customHeight="1" x14ac:dyDescent="0.35">
      <c r="D46" s="743" t="s">
        <v>1002</v>
      </c>
      <c r="E46" s="595">
        <v>2018</v>
      </c>
      <c r="F46" s="714">
        <v>2019</v>
      </c>
      <c r="G46" s="714">
        <v>2020</v>
      </c>
      <c r="H46" s="734">
        <v>2021</v>
      </c>
      <c r="I46" s="735">
        <v>2022</v>
      </c>
      <c r="J46" s="735">
        <v>2023</v>
      </c>
      <c r="K46" s="735">
        <v>2024</v>
      </c>
      <c r="L46" s="699">
        <v>2025</v>
      </c>
      <c r="N46" s="701"/>
      <c r="O46" s="253"/>
    </row>
    <row r="47" spans="4:40" ht="16.5" customHeight="1" x14ac:dyDescent="0.35">
      <c r="D47" s="711" t="s">
        <v>553</v>
      </c>
      <c r="E47" s="707">
        <v>1683.5</v>
      </c>
      <c r="F47" s="708">
        <v>1717.9</v>
      </c>
      <c r="G47" s="710">
        <v>1609</v>
      </c>
      <c r="H47" s="388">
        <v>2044.377</v>
      </c>
      <c r="I47" s="388">
        <v>2622.5050000000006</v>
      </c>
      <c r="J47" s="388">
        <v>2578.828</v>
      </c>
      <c r="K47" s="388">
        <v>2541.6950000000002</v>
      </c>
      <c r="L47" s="617">
        <v>2539.1210000000001</v>
      </c>
      <c r="M47" s="718" t="s">
        <v>554</v>
      </c>
      <c r="N47" s="691"/>
      <c r="O47" s="671"/>
      <c r="P47" s="688"/>
    </row>
    <row r="48" spans="4:40" ht="16.5" customHeight="1" x14ac:dyDescent="0.35">
      <c r="D48" s="711" t="s">
        <v>555</v>
      </c>
      <c r="E48" s="709">
        <v>1170.7</v>
      </c>
      <c r="F48" s="686">
        <v>1243.4000000000001</v>
      </c>
      <c r="G48" s="736">
        <v>1310</v>
      </c>
      <c r="H48" s="388">
        <v>1314.088</v>
      </c>
      <c r="I48" s="388">
        <v>1464.5929999999998</v>
      </c>
      <c r="J48" s="388">
        <v>1571.68</v>
      </c>
      <c r="K48" s="388">
        <v>1624.982</v>
      </c>
      <c r="L48" s="617">
        <v>1669.0420000000001</v>
      </c>
      <c r="M48" s="685"/>
      <c r="N48" s="685"/>
      <c r="O48" s="671"/>
      <c r="P48" s="688"/>
    </row>
    <row r="49" spans="4:26" x14ac:dyDescent="0.35">
      <c r="D49" s="174" t="s">
        <v>556</v>
      </c>
      <c r="E49" s="419">
        <f t="shared" ref="E49:L49" si="20">E50+E51</f>
        <v>136.30000000000001</v>
      </c>
      <c r="F49" s="388">
        <f t="shared" si="20"/>
        <v>170.6</v>
      </c>
      <c r="G49" s="617">
        <f t="shared" si="20"/>
        <v>156</v>
      </c>
      <c r="H49" s="388">
        <f t="shared" si="20"/>
        <v>155.25900000000001</v>
      </c>
      <c r="I49" s="388">
        <f t="shared" si="20"/>
        <v>182.34899999999999</v>
      </c>
      <c r="J49" s="388">
        <f t="shared" si="20"/>
        <v>189.505</v>
      </c>
      <c r="K49" s="388">
        <f t="shared" si="20"/>
        <v>194.09899999999999</v>
      </c>
      <c r="L49" s="617">
        <f t="shared" si="20"/>
        <v>193.553</v>
      </c>
      <c r="N49" s="135"/>
      <c r="P49" s="692"/>
      <c r="Q49" s="692"/>
      <c r="R49" s="692"/>
      <c r="S49" s="692"/>
      <c r="T49" s="692"/>
      <c r="U49" s="692"/>
      <c r="V49" s="692"/>
      <c r="W49" s="692"/>
    </row>
    <row r="50" spans="4:26" ht="16.5" customHeight="1" x14ac:dyDescent="0.35">
      <c r="D50" s="449" t="s">
        <v>1535</v>
      </c>
      <c r="E50" s="709">
        <v>95</v>
      </c>
      <c r="F50" s="686">
        <v>99.8</v>
      </c>
      <c r="G50" s="736">
        <v>87</v>
      </c>
      <c r="H50" s="388">
        <v>75.274000000000001</v>
      </c>
      <c r="I50" s="388">
        <v>87.554999999999993</v>
      </c>
      <c r="J50" s="388">
        <v>90.245999999999995</v>
      </c>
      <c r="K50" s="388">
        <f>93.706</f>
        <v>93.706000000000003</v>
      </c>
      <c r="L50" s="617">
        <f>92.66</f>
        <v>92.66</v>
      </c>
      <c r="M50" s="685"/>
      <c r="N50" s="685"/>
      <c r="O50" s="690"/>
      <c r="P50" s="688"/>
      <c r="Q50" s="688"/>
      <c r="R50" s="688"/>
      <c r="S50" s="688"/>
      <c r="T50" s="688"/>
      <c r="U50" s="688"/>
      <c r="V50" s="688"/>
      <c r="W50" s="688"/>
      <c r="X50" s="685"/>
      <c r="Y50" s="685"/>
      <c r="Z50" s="689"/>
    </row>
    <row r="51" spans="4:26" ht="16.5" customHeight="1" x14ac:dyDescent="0.35">
      <c r="D51" s="449" t="s">
        <v>557</v>
      </c>
      <c r="E51" s="709">
        <v>41.3</v>
      </c>
      <c r="F51" s="686">
        <v>70.8</v>
      </c>
      <c r="G51" s="736">
        <v>69</v>
      </c>
      <c r="H51" s="388">
        <v>79.984999999999999</v>
      </c>
      <c r="I51" s="388">
        <v>94.793999999999997</v>
      </c>
      <c r="J51" s="388">
        <v>99.259</v>
      </c>
      <c r="K51" s="388">
        <v>100.393</v>
      </c>
      <c r="L51" s="617">
        <v>100.893</v>
      </c>
      <c r="M51" s="685"/>
      <c r="N51" s="685"/>
      <c r="O51" s="690"/>
      <c r="P51" s="688"/>
      <c r="Q51" s="688"/>
      <c r="R51" s="688"/>
      <c r="S51" s="688"/>
      <c r="T51" s="688"/>
      <c r="U51" s="688"/>
      <c r="V51" s="688"/>
      <c r="W51" s="688"/>
      <c r="X51" s="685"/>
      <c r="Y51" s="685"/>
      <c r="Z51" s="689"/>
    </row>
    <row r="52" spans="4:26" ht="16.5" customHeight="1" x14ac:dyDescent="0.35">
      <c r="D52" s="711" t="s">
        <v>106</v>
      </c>
      <c r="E52" s="686">
        <v>204.7</v>
      </c>
      <c r="F52" s="686">
        <v>230.2</v>
      </c>
      <c r="G52" s="686">
        <v>212</v>
      </c>
      <c r="H52" s="388">
        <v>371.83100000000002</v>
      </c>
      <c r="I52" s="388">
        <v>394.8</v>
      </c>
      <c r="J52" s="388">
        <v>456</v>
      </c>
      <c r="K52" s="388">
        <f>478.021</f>
        <v>478.02100000000002</v>
      </c>
      <c r="L52" s="617">
        <f>483.158</f>
        <v>483.15800000000002</v>
      </c>
      <c r="M52" s="657"/>
      <c r="N52" s="657"/>
      <c r="O52" s="670"/>
      <c r="P52" s="686"/>
      <c r="Q52" s="686"/>
      <c r="R52" s="686"/>
      <c r="S52" s="686"/>
      <c r="T52" s="686"/>
      <c r="U52" s="686"/>
      <c r="V52" s="686"/>
      <c r="W52" s="686"/>
      <c r="X52" s="657"/>
      <c r="Y52" s="657"/>
      <c r="Z52" s="672"/>
    </row>
    <row r="53" spans="4:26" ht="16.5" customHeight="1" x14ac:dyDescent="0.35">
      <c r="D53" s="671"/>
      <c r="E53" s="675"/>
      <c r="F53" s="675"/>
      <c r="G53" s="657"/>
      <c r="H53" s="657"/>
      <c r="I53" s="657"/>
      <c r="J53" s="657"/>
      <c r="K53" s="657"/>
      <c r="L53" s="657"/>
      <c r="M53" s="657"/>
      <c r="N53" s="657"/>
      <c r="O53" s="657"/>
      <c r="P53" s="657"/>
      <c r="Q53" s="657"/>
      <c r="R53" s="657"/>
      <c r="S53" s="657"/>
      <c r="T53" s="657"/>
      <c r="U53" s="657"/>
      <c r="V53" s="657"/>
      <c r="W53" s="657"/>
      <c r="X53" s="657"/>
      <c r="Y53" s="657"/>
      <c r="Z53" s="672"/>
    </row>
    <row r="54" spans="4:26" x14ac:dyDescent="0.35">
      <c r="D54" s="678" t="s">
        <v>558</v>
      </c>
      <c r="E54" s="595">
        <v>2018</v>
      </c>
      <c r="F54" s="596">
        <v>2019</v>
      </c>
      <c r="G54" s="597">
        <v>2020</v>
      </c>
      <c r="H54" s="702">
        <v>2021</v>
      </c>
      <c r="I54" s="702">
        <v>2022</v>
      </c>
      <c r="J54" s="702">
        <v>2023</v>
      </c>
      <c r="K54" s="702">
        <v>2024</v>
      </c>
      <c r="L54" s="703">
        <v>2025</v>
      </c>
      <c r="O54" s="176" t="s">
        <v>559</v>
      </c>
    </row>
    <row r="55" spans="4:26" ht="14.75" customHeight="1" x14ac:dyDescent="0.35">
      <c r="D55" s="680" t="s">
        <v>553</v>
      </c>
      <c r="E55" s="137">
        <v>1622</v>
      </c>
      <c r="F55" s="137">
        <v>1687</v>
      </c>
      <c r="G55" s="674">
        <f t="shared" ref="G55:L58" si="21">G34</f>
        <v>1702.5749999999998</v>
      </c>
      <c r="H55" s="674">
        <f t="shared" si="21"/>
        <v>1877.8879999999999</v>
      </c>
      <c r="I55" s="674">
        <f t="shared" si="21"/>
        <v>2408.9346874084385</v>
      </c>
      <c r="J55" s="674">
        <f t="shared" si="21"/>
        <v>2368.8146341227671</v>
      </c>
      <c r="K55" s="674">
        <f t="shared" si="21"/>
        <v>2334.7056536832492</v>
      </c>
      <c r="L55" s="674">
        <f t="shared" si="21"/>
        <v>2332.341273868763</v>
      </c>
    </row>
    <row r="56" spans="4:26" x14ac:dyDescent="0.35">
      <c r="D56" s="680" t="s">
        <v>560</v>
      </c>
      <c r="E56" s="137">
        <v>1332</v>
      </c>
      <c r="F56" s="137">
        <v>1388</v>
      </c>
      <c r="G56" s="674">
        <f t="shared" si="21"/>
        <v>1425.3999999999999</v>
      </c>
      <c r="H56" s="674">
        <f t="shared" si="21"/>
        <v>1529.57</v>
      </c>
      <c r="I56" s="674">
        <f t="shared" si="21"/>
        <v>1704.7545636289196</v>
      </c>
      <c r="J56" s="674">
        <f t="shared" si="21"/>
        <v>1829.4015146626407</v>
      </c>
      <c r="K56" s="674">
        <f t="shared" si="21"/>
        <v>1891.4438894046671</v>
      </c>
      <c r="L56" s="674">
        <f t="shared" si="21"/>
        <v>1942.728776109363</v>
      </c>
      <c r="N56" s="683"/>
    </row>
    <row r="57" spans="4:26" x14ac:dyDescent="0.35">
      <c r="D57" s="680" t="s">
        <v>105</v>
      </c>
      <c r="E57" s="137">
        <v>150</v>
      </c>
      <c r="F57" s="137">
        <v>175</v>
      </c>
      <c r="G57" s="674">
        <f t="shared" si="21"/>
        <v>161.30000000000001</v>
      </c>
      <c r="H57" s="674">
        <f t="shared" si="21"/>
        <v>168.43899999999999</v>
      </c>
      <c r="I57" s="674">
        <f t="shared" si="21"/>
        <v>197.82868117790269</v>
      </c>
      <c r="J57" s="674">
        <f t="shared" si="21"/>
        <v>205.59215694420288</v>
      </c>
      <c r="K57" s="674">
        <f t="shared" si="21"/>
        <v>210.57614348282542</v>
      </c>
      <c r="L57" s="674">
        <f t="shared" si="21"/>
        <v>209.98379331954985</v>
      </c>
      <c r="N57" s="683"/>
    </row>
    <row r="58" spans="4:26" x14ac:dyDescent="0.35">
      <c r="D58" s="679" t="s">
        <v>303</v>
      </c>
      <c r="E58" s="153">
        <v>208</v>
      </c>
      <c r="F58" s="153">
        <v>219</v>
      </c>
      <c r="G58" s="749">
        <f t="shared" si="21"/>
        <v>201.37499999999997</v>
      </c>
      <c r="H58" s="749">
        <f t="shared" si="21"/>
        <v>259.06299999999999</v>
      </c>
      <c r="I58" s="749">
        <f t="shared" si="21"/>
        <v>275.06601762628719</v>
      </c>
      <c r="J58" s="749">
        <f t="shared" si="21"/>
        <v>317.70543069297611</v>
      </c>
      <c r="K58" s="749">
        <f t="shared" si="21"/>
        <v>333.04795545019113</v>
      </c>
      <c r="L58" s="749">
        <f t="shared" si="21"/>
        <v>336.62701860253719</v>
      </c>
      <c r="O58" s="1222" t="s">
        <v>987</v>
      </c>
      <c r="P58" s="1222" t="s">
        <v>987</v>
      </c>
      <c r="Q58" s="1222" t="s">
        <v>987</v>
      </c>
      <c r="R58" s="1222" t="s">
        <v>987</v>
      </c>
      <c r="S58" s="1222" t="s">
        <v>987</v>
      </c>
      <c r="T58" s="1222" t="s">
        <v>987</v>
      </c>
      <c r="U58" s="1222" t="s">
        <v>987</v>
      </c>
      <c r="V58" s="1223" t="s">
        <v>987</v>
      </c>
    </row>
    <row r="59" spans="4:26" ht="14.75" customHeight="1" x14ac:dyDescent="0.35">
      <c r="D59" s="248"/>
      <c r="E59" s="137"/>
      <c r="F59" s="137"/>
      <c r="G59" s="137"/>
      <c r="P59" s="1224">
        <v>2022</v>
      </c>
      <c r="Q59" s="1225">
        <v>2022</v>
      </c>
      <c r="R59" s="1225">
        <v>2022</v>
      </c>
      <c r="S59" s="1226">
        <v>2022</v>
      </c>
    </row>
    <row r="60" spans="4:26" ht="17.25" customHeight="1" x14ac:dyDescent="0.35">
      <c r="D60" s="177" t="s">
        <v>562</v>
      </c>
      <c r="E60" s="137"/>
      <c r="F60" s="137"/>
      <c r="G60" s="137"/>
      <c r="P60" s="742" t="s">
        <v>988</v>
      </c>
      <c r="Q60" s="742" t="s">
        <v>989</v>
      </c>
      <c r="R60" s="742" t="s">
        <v>990</v>
      </c>
      <c r="S60" s="742" t="s">
        <v>991</v>
      </c>
      <c r="T60" s="750" t="s">
        <v>1007</v>
      </c>
    </row>
    <row r="61" spans="4:26" ht="30" customHeight="1" x14ac:dyDescent="0.35">
      <c r="D61" s="737" t="s">
        <v>563</v>
      </c>
      <c r="E61" s="596">
        <v>2018</v>
      </c>
      <c r="F61" s="596">
        <v>2019</v>
      </c>
      <c r="G61" s="597">
        <v>2020</v>
      </c>
      <c r="H61" s="704">
        <v>2021</v>
      </c>
      <c r="I61" s="705">
        <v>2022</v>
      </c>
      <c r="J61" s="705">
        <v>2023</v>
      </c>
      <c r="K61" s="705">
        <v>2024</v>
      </c>
      <c r="L61" s="706">
        <v>2025</v>
      </c>
      <c r="O61" s="31" t="s">
        <v>561</v>
      </c>
      <c r="P61" s="740">
        <v>2973</v>
      </c>
      <c r="Q61" s="740">
        <v>3062.8</v>
      </c>
      <c r="R61" s="740">
        <v>3085.2</v>
      </c>
      <c r="S61" s="741">
        <v>2106.1999999999998</v>
      </c>
      <c r="T61" s="740">
        <v>3123.2</v>
      </c>
    </row>
    <row r="62" spans="4:26" x14ac:dyDescent="0.35">
      <c r="D62" s="680" t="s">
        <v>553</v>
      </c>
      <c r="E62" s="162">
        <f t="shared" ref="E62:K64" si="22">E55/E47</f>
        <v>0.96346896346896349</v>
      </c>
      <c r="F62" s="162">
        <f t="shared" si="22"/>
        <v>0.98201292275452579</v>
      </c>
      <c r="G62" s="162">
        <f t="shared" si="22"/>
        <v>1.0581572405220632</v>
      </c>
      <c r="H62" s="641">
        <f t="shared" si="22"/>
        <v>0.91856247649039291</v>
      </c>
      <c r="I62" s="642">
        <f t="shared" si="22"/>
        <v>0.91856247649039302</v>
      </c>
      <c r="J62" s="642">
        <f t="shared" si="22"/>
        <v>0.91856247649039291</v>
      </c>
      <c r="K62" s="642">
        <f t="shared" si="22"/>
        <v>0.91856247649039291</v>
      </c>
      <c r="L62" s="643"/>
      <c r="T62" s="253"/>
    </row>
    <row r="63" spans="4:26" x14ac:dyDescent="0.35">
      <c r="D63" s="680" t="s">
        <v>560</v>
      </c>
      <c r="E63" s="162">
        <f t="shared" si="22"/>
        <v>1.1377808148970701</v>
      </c>
      <c r="F63" s="162">
        <f t="shared" si="22"/>
        <v>1.1162940324915553</v>
      </c>
      <c r="G63" s="162">
        <f t="shared" si="22"/>
        <v>1.0880916030534351</v>
      </c>
      <c r="H63" s="166">
        <f t="shared" si="22"/>
        <v>1.1639783637016698</v>
      </c>
      <c r="I63" s="162">
        <f t="shared" si="22"/>
        <v>1.1639783637016698</v>
      </c>
      <c r="J63" s="162">
        <f t="shared" si="22"/>
        <v>1.1639783637016698</v>
      </c>
      <c r="K63" s="162">
        <f t="shared" si="22"/>
        <v>1.1639783637016701</v>
      </c>
      <c r="L63" s="520"/>
    </row>
    <row r="64" spans="4:26" x14ac:dyDescent="0.35">
      <c r="D64" s="680" t="s">
        <v>105</v>
      </c>
      <c r="E64" s="162">
        <f t="shared" si="22"/>
        <v>1.1005135730007336</v>
      </c>
      <c r="F64" s="162">
        <f t="shared" si="22"/>
        <v>1.0257913247362251</v>
      </c>
      <c r="G64" s="162">
        <f t="shared" si="22"/>
        <v>1.0339743589743591</v>
      </c>
      <c r="H64" s="166">
        <f t="shared" si="22"/>
        <v>1.084890408929595</v>
      </c>
      <c r="I64" s="162">
        <f t="shared" si="22"/>
        <v>1.084890408929595</v>
      </c>
      <c r="J64" s="162">
        <f t="shared" si="22"/>
        <v>1.084890408929595</v>
      </c>
      <c r="K64" s="162">
        <f t="shared" si="22"/>
        <v>1.0848904089295948</v>
      </c>
      <c r="L64" s="520"/>
    </row>
    <row r="65" spans="4:12" x14ac:dyDescent="0.35">
      <c r="D65" s="679" t="s">
        <v>303</v>
      </c>
      <c r="E65" s="169">
        <f t="shared" ref="E65:K65" si="23">E58/E52</f>
        <v>1.0161211529066927</v>
      </c>
      <c r="F65" s="169">
        <f t="shared" si="23"/>
        <v>0.95134665508253702</v>
      </c>
      <c r="G65" s="169">
        <f t="shared" si="23"/>
        <v>0.94988207547169801</v>
      </c>
      <c r="H65" s="168">
        <f t="shared" si="23"/>
        <v>0.69672243573021075</v>
      </c>
      <c r="I65" s="169">
        <f t="shared" si="23"/>
        <v>0.69672243573021064</v>
      </c>
      <c r="J65" s="169">
        <f t="shared" si="23"/>
        <v>0.69672243573021075</v>
      </c>
      <c r="K65" s="169">
        <f t="shared" si="23"/>
        <v>0.69672243573021087</v>
      </c>
      <c r="L65" s="514"/>
    </row>
    <row r="67" spans="4:12" x14ac:dyDescent="0.35">
      <c r="D67" s="248"/>
      <c r="E67" s="137"/>
      <c r="F67" s="137"/>
      <c r="G67" s="137"/>
    </row>
    <row r="68" spans="4:12" x14ac:dyDescent="0.35">
      <c r="D68" s="151" t="s">
        <v>564</v>
      </c>
    </row>
    <row r="69" spans="4:12" x14ac:dyDescent="0.35">
      <c r="D69" s="744" t="s">
        <v>1006</v>
      </c>
      <c r="E69" s="595">
        <v>2018</v>
      </c>
      <c r="F69" s="714">
        <v>2019</v>
      </c>
      <c r="G69" s="714">
        <v>2020</v>
      </c>
      <c r="H69" s="715">
        <v>2021</v>
      </c>
      <c r="I69" s="716">
        <v>2022</v>
      </c>
      <c r="J69" s="716">
        <v>2023</v>
      </c>
      <c r="K69" s="716">
        <v>2024</v>
      </c>
      <c r="L69" s="717">
        <v>2025</v>
      </c>
    </row>
    <row r="70" spans="4:12" x14ac:dyDescent="0.35">
      <c r="D70" s="719" t="s">
        <v>565</v>
      </c>
      <c r="E70" s="419">
        <v>14016.099999999999</v>
      </c>
      <c r="F70" s="388">
        <v>14604.2</v>
      </c>
      <c r="G70" s="617">
        <v>14711.300000000001</v>
      </c>
      <c r="H70" s="745">
        <v>20725.8</v>
      </c>
      <c r="I70" s="745">
        <v>21293</v>
      </c>
      <c r="J70" s="745">
        <v>22393.200000000001</v>
      </c>
      <c r="K70" s="745">
        <v>23451.7</v>
      </c>
      <c r="L70" s="746">
        <v>24455.1</v>
      </c>
    </row>
    <row r="71" spans="4:12" x14ac:dyDescent="0.35">
      <c r="D71" s="719" t="s">
        <v>566</v>
      </c>
      <c r="E71" s="264">
        <v>8804</v>
      </c>
      <c r="F71" s="137">
        <v>9209</v>
      </c>
      <c r="G71" s="617">
        <v>9300</v>
      </c>
      <c r="H71" s="745">
        <v>10082.5</v>
      </c>
      <c r="I71" s="745">
        <v>11062.4</v>
      </c>
      <c r="J71" s="745">
        <v>11616.3</v>
      </c>
      <c r="K71" s="745">
        <v>12028</v>
      </c>
      <c r="L71" s="746">
        <v>12433.6</v>
      </c>
    </row>
    <row r="72" spans="4:12" x14ac:dyDescent="0.35">
      <c r="D72" s="719" t="s">
        <v>567</v>
      </c>
      <c r="E72" s="264">
        <v>13844</v>
      </c>
      <c r="F72" s="137">
        <v>14403</v>
      </c>
      <c r="G72" s="617">
        <v>14201</v>
      </c>
      <c r="H72" s="745">
        <v>15279.9</v>
      </c>
      <c r="I72" s="745">
        <v>16817.599999999999</v>
      </c>
      <c r="J72" s="745">
        <v>17789.8</v>
      </c>
      <c r="K72" s="745">
        <v>18525.3</v>
      </c>
      <c r="L72" s="746">
        <v>19204.5</v>
      </c>
    </row>
    <row r="73" spans="4:12" x14ac:dyDescent="0.35">
      <c r="D73" s="720" t="s">
        <v>568</v>
      </c>
      <c r="E73" s="700">
        <v>2211</v>
      </c>
      <c r="F73" s="622">
        <v>2243</v>
      </c>
      <c r="G73" s="623">
        <v>2125</v>
      </c>
      <c r="H73" s="747">
        <v>2678.6</v>
      </c>
      <c r="I73" s="747">
        <v>2946.3</v>
      </c>
      <c r="J73" s="747">
        <v>3018.1</v>
      </c>
      <c r="K73" s="747">
        <v>3000.1</v>
      </c>
      <c r="L73" s="748">
        <v>3037.1</v>
      </c>
    </row>
    <row r="75" spans="4:12" x14ac:dyDescent="0.35">
      <c r="D75" s="151" t="s">
        <v>569</v>
      </c>
    </row>
    <row r="76" spans="4:12" x14ac:dyDescent="0.35">
      <c r="D76" s="678" t="s">
        <v>570</v>
      </c>
      <c r="E76" s="552">
        <v>2018</v>
      </c>
      <c r="F76" s="693">
        <v>2019</v>
      </c>
      <c r="G76" s="693">
        <v>2020</v>
      </c>
      <c r="H76" s="712">
        <v>2021</v>
      </c>
      <c r="I76" s="694">
        <v>2022</v>
      </c>
      <c r="J76" s="694">
        <v>2023</v>
      </c>
      <c r="K76" s="694">
        <v>2024</v>
      </c>
      <c r="L76" s="713">
        <v>2025</v>
      </c>
    </row>
    <row r="77" spans="4:12" x14ac:dyDescent="0.35">
      <c r="D77" s="721" t="s">
        <v>553</v>
      </c>
      <c r="E77" s="644">
        <f t="shared" ref="E77:L79" si="24">E47/E70</f>
        <v>0.12011187134794987</v>
      </c>
      <c r="F77" s="600">
        <f t="shared" si="24"/>
        <v>0.11763054463784391</v>
      </c>
      <c r="G77" s="607">
        <f t="shared" si="24"/>
        <v>0.10937170746297063</v>
      </c>
      <c r="H77" s="600">
        <f t="shared" si="24"/>
        <v>9.8639232261239621E-2</v>
      </c>
      <c r="I77" s="600">
        <f t="shared" si="24"/>
        <v>0.12316277649931905</v>
      </c>
      <c r="J77" s="600">
        <f t="shared" si="24"/>
        <v>0.11516120965293035</v>
      </c>
      <c r="K77" s="600">
        <f t="shared" si="24"/>
        <v>0.10837998951035532</v>
      </c>
      <c r="L77" s="607">
        <f t="shared" si="24"/>
        <v>0.10382787230475443</v>
      </c>
    </row>
    <row r="78" spans="4:12" x14ac:dyDescent="0.35">
      <c r="D78" s="721" t="s">
        <v>555</v>
      </c>
      <c r="E78" s="624">
        <f t="shared" si="24"/>
        <v>0.13297364834166289</v>
      </c>
      <c r="F78" s="161">
        <f t="shared" si="24"/>
        <v>0.13502008904332718</v>
      </c>
      <c r="G78" s="608">
        <f t="shared" si="24"/>
        <v>0.14086021505376345</v>
      </c>
      <c r="H78" s="161">
        <f t="shared" si="24"/>
        <v>0.1303335482271262</v>
      </c>
      <c r="I78" s="161">
        <f t="shared" si="24"/>
        <v>0.13239378435059299</v>
      </c>
      <c r="J78" s="161">
        <f t="shared" si="24"/>
        <v>0.13529953599683206</v>
      </c>
      <c r="K78" s="161">
        <f t="shared" si="24"/>
        <v>0.13509993348852678</v>
      </c>
      <c r="L78" s="608">
        <f t="shared" si="24"/>
        <v>0.13423642388367008</v>
      </c>
    </row>
    <row r="79" spans="4:12" x14ac:dyDescent="0.35">
      <c r="D79" s="719" t="s">
        <v>571</v>
      </c>
      <c r="E79" s="624">
        <f t="shared" si="24"/>
        <v>9.8454203987286912E-3</v>
      </c>
      <c r="F79" s="161">
        <f t="shared" si="24"/>
        <v>1.1844754565021176E-2</v>
      </c>
      <c r="G79" s="608">
        <f t="shared" si="24"/>
        <v>1.0985141891416098E-2</v>
      </c>
      <c r="H79" s="161">
        <f t="shared" si="24"/>
        <v>1.016099581803546E-2</v>
      </c>
      <c r="I79" s="161">
        <f t="shared" si="24"/>
        <v>1.0842748073446866E-2</v>
      </c>
      <c r="J79" s="161">
        <f t="shared" si="24"/>
        <v>1.065245252897728E-2</v>
      </c>
      <c r="K79" s="161">
        <f t="shared" si="24"/>
        <v>1.0477509136154341E-2</v>
      </c>
      <c r="L79" s="608">
        <f t="shared" si="24"/>
        <v>1.0078523262776954E-2</v>
      </c>
    </row>
    <row r="80" spans="4:12" x14ac:dyDescent="0.35">
      <c r="D80" s="722" t="s">
        <v>106</v>
      </c>
      <c r="E80" s="178">
        <f t="shared" ref="E80:L80" si="25">E52/E73</f>
        <v>9.258254183627318E-2</v>
      </c>
      <c r="F80" s="179">
        <f t="shared" si="25"/>
        <v>0.10263040570664288</v>
      </c>
      <c r="G80" s="180">
        <f t="shared" si="25"/>
        <v>9.9764705882352936E-2</v>
      </c>
      <c r="H80" s="179">
        <f t="shared" si="25"/>
        <v>0.13881542596878968</v>
      </c>
      <c r="I80" s="179">
        <f t="shared" si="25"/>
        <v>0.13399857448325017</v>
      </c>
      <c r="J80" s="179">
        <f t="shared" si="25"/>
        <v>0.15108843312017495</v>
      </c>
      <c r="K80" s="179">
        <f t="shared" si="25"/>
        <v>0.15933502216592782</v>
      </c>
      <c r="L80" s="180">
        <f t="shared" si="25"/>
        <v>0.15908531164597808</v>
      </c>
    </row>
    <row r="82" spans="4:30" x14ac:dyDescent="0.35">
      <c r="D82" s="151" t="s">
        <v>572</v>
      </c>
    </row>
    <row r="83" spans="4:30" x14ac:dyDescent="0.35">
      <c r="D83" s="729" t="s">
        <v>400</v>
      </c>
    </row>
    <row r="84" spans="4:30" x14ac:dyDescent="0.35">
      <c r="D84" s="678" t="s">
        <v>573</v>
      </c>
      <c r="E84" s="596">
        <v>2018</v>
      </c>
      <c r="F84" s="714">
        <v>2019</v>
      </c>
      <c r="G84" s="714">
        <v>2020</v>
      </c>
      <c r="H84" s="715">
        <v>2021</v>
      </c>
      <c r="I84" s="716">
        <v>2022</v>
      </c>
      <c r="J84" s="716">
        <v>2023</v>
      </c>
      <c r="K84" s="716">
        <v>2024</v>
      </c>
      <c r="L84" s="717">
        <v>2025</v>
      </c>
    </row>
    <row r="85" spans="4:30" ht="20.25" customHeight="1" x14ac:dyDescent="0.35">
      <c r="D85" s="681" t="s">
        <v>553</v>
      </c>
      <c r="E85" s="644">
        <f t="shared" ref="E85:G88" si="26">E77*E62</f>
        <v>0.11572406018792676</v>
      </c>
      <c r="F85" s="600">
        <f t="shared" si="26"/>
        <v>0.11551471494501581</v>
      </c>
      <c r="G85" s="600">
        <f t="shared" si="26"/>
        <v>0.11573246416020334</v>
      </c>
      <c r="H85" s="644">
        <f>N104</f>
        <v>0.13083976407289996</v>
      </c>
      <c r="I85" s="600">
        <f>H85</f>
        <v>0.13083976407289996</v>
      </c>
      <c r="J85" s="600">
        <f t="shared" ref="J85:L85" si="27">I85</f>
        <v>0.13083976407289996</v>
      </c>
      <c r="K85" s="600">
        <f t="shared" si="27"/>
        <v>0.13083976407289996</v>
      </c>
      <c r="L85" s="607">
        <f t="shared" si="27"/>
        <v>0.13083976407289996</v>
      </c>
      <c r="M85" s="724"/>
      <c r="N85" s="723"/>
      <c r="O85" s="161"/>
      <c r="P85" s="161"/>
      <c r="Q85" s="161"/>
      <c r="R85" s="161"/>
      <c r="S85" s="161"/>
      <c r="T85" s="161"/>
      <c r="U85" s="161"/>
      <c r="V85" s="161"/>
      <c r="W85" s="161"/>
      <c r="X85" s="161"/>
      <c r="Y85" s="161"/>
    </row>
    <row r="86" spans="4:30" ht="18.75" customHeight="1" x14ac:dyDescent="0.35">
      <c r="D86" s="681" t="s">
        <v>555</v>
      </c>
      <c r="E86" s="624">
        <f t="shared" si="26"/>
        <v>0.15129486597001363</v>
      </c>
      <c r="F86" s="161">
        <f t="shared" si="26"/>
        <v>0.15072211966554458</v>
      </c>
      <c r="G86" s="161">
        <f t="shared" si="26"/>
        <v>0.15326881720430108</v>
      </c>
      <c r="H86" s="624">
        <f>N106</f>
        <v>0.14822588114733906</v>
      </c>
      <c r="I86" s="161">
        <f>H86</f>
        <v>0.14822588114733906</v>
      </c>
      <c r="J86" s="161">
        <f>I86</f>
        <v>0.14822588114733906</v>
      </c>
      <c r="K86" s="161">
        <f t="shared" ref="K86:L86" si="28">J86</f>
        <v>0.14822588114733906</v>
      </c>
      <c r="L86" s="608">
        <f t="shared" si="28"/>
        <v>0.14822588114733906</v>
      </c>
      <c r="M86" s="724"/>
      <c r="N86" s="723"/>
      <c r="O86" s="161"/>
      <c r="P86" s="161"/>
      <c r="Q86" s="161"/>
      <c r="R86" s="161"/>
      <c r="S86" s="161"/>
      <c r="T86" s="161"/>
      <c r="U86" s="161"/>
      <c r="V86" s="161"/>
      <c r="W86" s="161"/>
      <c r="X86" s="161"/>
      <c r="Y86" s="161"/>
    </row>
    <row r="87" spans="4:30" ht="19.25" customHeight="1" x14ac:dyDescent="0.35">
      <c r="D87" s="680" t="s">
        <v>105</v>
      </c>
      <c r="E87" s="624">
        <f t="shared" si="26"/>
        <v>1.0835018780699219E-2</v>
      </c>
      <c r="F87" s="161">
        <f t="shared" si="26"/>
        <v>1.2150246476428523E-2</v>
      </c>
      <c r="G87" s="161">
        <f t="shared" si="26"/>
        <v>1.1358355045419337E-2</v>
      </c>
      <c r="H87" s="624">
        <f>N107</f>
        <v>1.1211939165902553E-2</v>
      </c>
      <c r="I87" s="161">
        <f>AVERAGE($F64:$G64)*I79</f>
        <v>1.1166760199402452E-2</v>
      </c>
      <c r="J87" s="161">
        <f>AVERAGE($F64:$G64)*J79</f>
        <v>1.0970778083271715E-2</v>
      </c>
      <c r="K87" s="161">
        <f>J87</f>
        <v>1.0970778083271715E-2</v>
      </c>
      <c r="L87" s="608">
        <f>K87</f>
        <v>1.0970778083271715E-2</v>
      </c>
      <c r="M87" s="724"/>
      <c r="N87" s="723"/>
      <c r="O87" s="161"/>
      <c r="P87" s="161"/>
      <c r="Q87" s="161"/>
      <c r="R87" s="161"/>
      <c r="S87" s="161"/>
      <c r="T87" s="161"/>
      <c r="U87" s="161"/>
      <c r="V87" s="161"/>
      <c r="W87" s="161"/>
      <c r="X87" s="161"/>
      <c r="Y87" s="161"/>
    </row>
    <row r="88" spans="4:30" ht="19.25" customHeight="1" x14ac:dyDescent="0.35">
      <c r="D88" s="682" t="s">
        <v>106</v>
      </c>
      <c r="E88" s="178">
        <f t="shared" si="26"/>
        <v>9.4075079149706017E-2</v>
      </c>
      <c r="F88" s="179">
        <f t="shared" si="26"/>
        <v>9.7637093178778417E-2</v>
      </c>
      <c r="G88" s="179">
        <f t="shared" si="26"/>
        <v>9.4764705882352931E-2</v>
      </c>
      <c r="H88" s="178">
        <f>M108</f>
        <v>0.11594202898550723</v>
      </c>
      <c r="I88" s="179">
        <f>N108</f>
        <v>0.11690415853101242</v>
      </c>
      <c r="J88" s="179">
        <f>I88</f>
        <v>0.11690415853101242</v>
      </c>
      <c r="K88" s="179">
        <f>J88</f>
        <v>0.11690415853101242</v>
      </c>
      <c r="L88" s="180">
        <f>K88</f>
        <v>0.11690415853101242</v>
      </c>
      <c r="M88" s="724"/>
      <c r="N88" s="723"/>
      <c r="O88" s="161"/>
      <c r="P88" s="161"/>
      <c r="Q88" s="161"/>
      <c r="R88" s="161"/>
      <c r="S88" s="161"/>
      <c r="T88" s="161"/>
      <c r="U88" s="161"/>
      <c r="V88" s="161"/>
      <c r="W88" s="161"/>
      <c r="X88" s="161"/>
      <c r="Y88" s="161"/>
    </row>
    <row r="89" spans="4:30" x14ac:dyDescent="0.35">
      <c r="E89" s="666"/>
      <c r="F89" s="666"/>
      <c r="G89" s="666"/>
      <c r="H89" s="666"/>
      <c r="I89" s="666"/>
      <c r="J89" s="666"/>
      <c r="K89" s="666"/>
      <c r="L89" s="666"/>
    </row>
    <row r="90" spans="4:30" x14ac:dyDescent="0.35">
      <c r="D90" s="728" t="s">
        <v>413</v>
      </c>
      <c r="E90" s="161"/>
      <c r="F90" s="161"/>
      <c r="G90" s="161"/>
      <c r="H90" s="161"/>
      <c r="I90" s="161"/>
      <c r="J90" s="161"/>
      <c r="K90" s="161"/>
      <c r="L90" s="161"/>
      <c r="M90" s="161"/>
      <c r="N90" s="161"/>
      <c r="O90" s="161"/>
      <c r="P90" s="161"/>
      <c r="Q90" s="161"/>
      <c r="R90" s="161"/>
      <c r="S90" s="161"/>
      <c r="T90" s="161"/>
      <c r="U90" s="161"/>
      <c r="V90" s="161"/>
      <c r="W90" s="161"/>
      <c r="X90" s="161"/>
      <c r="Y90" s="161"/>
    </row>
    <row r="91" spans="4:30" x14ac:dyDescent="0.35">
      <c r="D91" s="1210" t="s">
        <v>975</v>
      </c>
      <c r="E91" s="1215"/>
      <c r="F91" s="1114">
        <v>2019</v>
      </c>
      <c r="G91" s="1115"/>
      <c r="H91" s="1122"/>
      <c r="I91" s="1114">
        <v>2020</v>
      </c>
      <c r="J91" s="1115"/>
      <c r="K91" s="1115"/>
      <c r="L91" s="1122"/>
      <c r="M91" s="1114">
        <v>2021</v>
      </c>
      <c r="N91" s="1115"/>
      <c r="O91" s="1115"/>
      <c r="P91" s="1115"/>
      <c r="Q91" s="1098">
        <v>2022</v>
      </c>
      <c r="R91" s="1099"/>
      <c r="S91" s="1099"/>
      <c r="T91" s="1308"/>
      <c r="U91" s="1277">
        <v>2023</v>
      </c>
      <c r="V91" s="1146"/>
      <c r="W91" s="1146"/>
      <c r="X91" s="1147"/>
      <c r="Y91" s="1145">
        <v>2024</v>
      </c>
      <c r="Z91" s="1146"/>
      <c r="AA91" s="1146"/>
      <c r="AB91" s="1146"/>
      <c r="AC91" s="239">
        <v>2025</v>
      </c>
    </row>
    <row r="92" spans="4:30" x14ac:dyDescent="0.35">
      <c r="D92" s="1216"/>
      <c r="E92" s="1217"/>
      <c r="F92" s="149" t="s">
        <v>329</v>
      </c>
      <c r="G92" s="148" t="s">
        <v>238</v>
      </c>
      <c r="H92" s="198" t="s">
        <v>327</v>
      </c>
      <c r="I92" s="149" t="s">
        <v>328</v>
      </c>
      <c r="J92" s="148" t="s">
        <v>329</v>
      </c>
      <c r="K92" s="148" t="s">
        <v>238</v>
      </c>
      <c r="L92" s="198" t="s">
        <v>327</v>
      </c>
      <c r="M92" s="149" t="s">
        <v>328</v>
      </c>
      <c r="N92" s="148" t="s">
        <v>329</v>
      </c>
      <c r="O92" s="148" t="s">
        <v>238</v>
      </c>
      <c r="P92" s="148" t="s">
        <v>327</v>
      </c>
      <c r="Q92" s="1051" t="s">
        <v>328</v>
      </c>
      <c r="R92" s="1039" t="s">
        <v>329</v>
      </c>
      <c r="S92" s="1039" t="s">
        <v>238</v>
      </c>
      <c r="T92" s="1052" t="s">
        <v>327</v>
      </c>
      <c r="U92" s="255" t="s">
        <v>328</v>
      </c>
      <c r="V92" s="255" t="s">
        <v>329</v>
      </c>
      <c r="W92" s="255" t="s">
        <v>238</v>
      </c>
      <c r="X92" s="256" t="s">
        <v>327</v>
      </c>
      <c r="Y92" s="254" t="s">
        <v>328</v>
      </c>
      <c r="Z92" s="250" t="s">
        <v>329</v>
      </c>
      <c r="AA92" s="255" t="s">
        <v>238</v>
      </c>
      <c r="AB92" s="255" t="s">
        <v>327</v>
      </c>
      <c r="AC92" s="258" t="s">
        <v>328</v>
      </c>
      <c r="AD92" s="161"/>
    </row>
    <row r="93" spans="4:30" x14ac:dyDescent="0.35">
      <c r="D93" s="738" t="s">
        <v>565</v>
      </c>
      <c r="E93" s="695"/>
      <c r="F93" s="1311">
        <f>F94+F95</f>
        <v>14660.3</v>
      </c>
      <c r="G93" s="1312">
        <f t="shared" ref="G93:AC93" si="29">G94+G95</f>
        <v>14748</v>
      </c>
      <c r="H93" s="1312">
        <f t="shared" si="29"/>
        <v>14896.1</v>
      </c>
      <c r="I93" s="1312">
        <f t="shared" si="29"/>
        <v>15018.7</v>
      </c>
      <c r="J93" s="1312">
        <f t="shared" si="29"/>
        <v>14127</v>
      </c>
      <c r="K93" s="1312">
        <f t="shared" si="29"/>
        <v>14803.099999999999</v>
      </c>
      <c r="L93" s="1312">
        <f t="shared" si="29"/>
        <v>15014.2</v>
      </c>
      <c r="M93" s="1312">
        <f t="shared" si="29"/>
        <v>15152.900000000001</v>
      </c>
      <c r="N93" s="1312">
        <f t="shared" si="29"/>
        <v>15654.4</v>
      </c>
      <c r="O93" s="1312">
        <f t="shared" si="29"/>
        <v>15799.3</v>
      </c>
      <c r="P93" s="1312">
        <f t="shared" si="29"/>
        <v>15983.8</v>
      </c>
      <c r="Q93" s="1312">
        <f>Q94+Q95</f>
        <v>16571.400000000001</v>
      </c>
      <c r="R93" s="1312">
        <f t="shared" si="29"/>
        <v>16848</v>
      </c>
      <c r="S93" s="1312">
        <f t="shared" si="29"/>
        <v>17094.3</v>
      </c>
      <c r="T93" s="1457">
        <f t="shared" si="29"/>
        <v>17315.8</v>
      </c>
      <c r="U93" s="726">
        <f t="shared" si="29"/>
        <v>17535.5</v>
      </c>
      <c r="V93" s="726">
        <f t="shared" si="29"/>
        <v>17756.5</v>
      </c>
      <c r="W93" s="726">
        <f t="shared" si="29"/>
        <v>17973.8</v>
      </c>
      <c r="X93" s="726">
        <f t="shared" si="29"/>
        <v>18172.2</v>
      </c>
      <c r="Y93" s="726">
        <f t="shared" si="29"/>
        <v>18369</v>
      </c>
      <c r="Z93" s="726">
        <f t="shared" si="29"/>
        <v>18550.099999999999</v>
      </c>
      <c r="AA93" s="726">
        <f t="shared" si="29"/>
        <v>18735.8</v>
      </c>
      <c r="AB93" s="726">
        <f t="shared" si="29"/>
        <v>18924.199999999997</v>
      </c>
      <c r="AC93" s="727">
        <f t="shared" si="29"/>
        <v>19105.7</v>
      </c>
      <c r="AD93" s="161"/>
    </row>
    <row r="94" spans="4:30" x14ac:dyDescent="0.35">
      <c r="D94" s="262" t="s">
        <v>566</v>
      </c>
      <c r="E94" s="471"/>
      <c r="F94" s="419">
        <v>9274.9</v>
      </c>
      <c r="G94" s="1302">
        <v>9311.2999999999993</v>
      </c>
      <c r="H94" s="1302">
        <v>9422.5</v>
      </c>
      <c r="I94" s="1302">
        <v>9526.1</v>
      </c>
      <c r="J94" s="1302">
        <v>8908.7999999999993</v>
      </c>
      <c r="K94" s="1302">
        <v>9343.2999999999993</v>
      </c>
      <c r="L94" s="1302">
        <v>9546</v>
      </c>
      <c r="M94" s="1302">
        <v>9702.2000000000007</v>
      </c>
      <c r="N94" s="1302">
        <v>9950.4</v>
      </c>
      <c r="O94" s="1302">
        <v>10175.1</v>
      </c>
      <c r="P94" s="1302">
        <v>10336.6</v>
      </c>
      <c r="Q94" s="1302">
        <v>10995.9</v>
      </c>
      <c r="R94" s="1302">
        <v>11172.6</v>
      </c>
      <c r="S94" s="1302">
        <v>11320.4</v>
      </c>
      <c r="T94" s="1458">
        <v>11443.5</v>
      </c>
      <c r="U94" s="411">
        <v>11560.2</v>
      </c>
      <c r="V94" s="411">
        <v>11675.6</v>
      </c>
      <c r="W94" s="411">
        <v>11786</v>
      </c>
      <c r="X94" s="411">
        <v>11879</v>
      </c>
      <c r="Y94" s="411">
        <v>11978</v>
      </c>
      <c r="Z94" s="411">
        <v>12076.9</v>
      </c>
      <c r="AA94" s="411">
        <v>12178.3</v>
      </c>
      <c r="AB94" s="411">
        <v>12278.8</v>
      </c>
      <c r="AC94" s="412">
        <v>12377.5</v>
      </c>
      <c r="AD94" s="161"/>
    </row>
    <row r="95" spans="4:30" x14ac:dyDescent="0.35">
      <c r="D95" s="262" t="s">
        <v>974</v>
      </c>
      <c r="E95" s="471"/>
      <c r="F95" s="419">
        <v>5385.4</v>
      </c>
      <c r="G95" s="1302">
        <v>5436.7</v>
      </c>
      <c r="H95" s="1302">
        <v>5473.6</v>
      </c>
      <c r="I95" s="1302">
        <v>5492.6</v>
      </c>
      <c r="J95" s="1302">
        <v>5218.2</v>
      </c>
      <c r="K95" s="1302">
        <v>5459.8</v>
      </c>
      <c r="L95" s="1302">
        <v>5468.2</v>
      </c>
      <c r="M95" s="1302">
        <v>5450.7</v>
      </c>
      <c r="N95" s="1302">
        <v>5704</v>
      </c>
      <c r="O95" s="1302">
        <v>5624.2</v>
      </c>
      <c r="P95" s="1302">
        <v>5647.2</v>
      </c>
      <c r="Q95" s="1302">
        <v>5575.5</v>
      </c>
      <c r="R95" s="1302">
        <v>5675.4</v>
      </c>
      <c r="S95" s="1302">
        <v>5773.9</v>
      </c>
      <c r="T95" s="1458">
        <v>5872.3</v>
      </c>
      <c r="U95" s="411">
        <v>5975.3</v>
      </c>
      <c r="V95" s="411">
        <v>6080.9</v>
      </c>
      <c r="W95" s="411">
        <v>6187.8</v>
      </c>
      <c r="X95" s="411">
        <v>6293.2</v>
      </c>
      <c r="Y95" s="411">
        <v>6391</v>
      </c>
      <c r="Z95" s="411">
        <v>6473.2</v>
      </c>
      <c r="AA95" s="411">
        <v>6557.5</v>
      </c>
      <c r="AB95" s="411">
        <v>6645.4</v>
      </c>
      <c r="AC95" s="412">
        <v>6728.2</v>
      </c>
      <c r="AD95" s="161"/>
    </row>
    <row r="96" spans="4:30" x14ac:dyDescent="0.35">
      <c r="D96" s="264" t="s">
        <v>567</v>
      </c>
      <c r="E96" s="471"/>
      <c r="F96" s="480"/>
      <c r="G96" s="1398"/>
      <c r="H96" s="1302"/>
      <c r="I96" s="1302"/>
      <c r="J96" s="1302"/>
      <c r="K96" s="1302"/>
      <c r="L96" s="1302"/>
      <c r="M96" s="1302">
        <v>15041</v>
      </c>
      <c r="N96" s="1302">
        <v>15551</v>
      </c>
      <c r="O96" s="1302">
        <v>15824</v>
      </c>
      <c r="P96" s="1302">
        <v>16056</v>
      </c>
      <c r="Q96" s="1302">
        <v>16690.7</v>
      </c>
      <c r="R96" s="1302">
        <v>16993</v>
      </c>
      <c r="S96" s="1302">
        <v>17251.3</v>
      </c>
      <c r="T96" s="1458">
        <v>17488.099999999999</v>
      </c>
      <c r="U96" s="411">
        <v>17692.3</v>
      </c>
      <c r="V96" s="411">
        <v>17892.599999999999</v>
      </c>
      <c r="W96" s="411">
        <v>18086.3</v>
      </c>
      <c r="X96" s="411">
        <v>18268.2</v>
      </c>
      <c r="Y96" s="411">
        <v>18446.3</v>
      </c>
      <c r="Z96" s="411">
        <v>18612.400000000001</v>
      </c>
      <c r="AA96" s="411">
        <v>18774.5</v>
      </c>
      <c r="AB96" s="411">
        <v>18946.900000000001</v>
      </c>
      <c r="AC96" s="412">
        <v>19117.900000000001</v>
      </c>
    </row>
    <row r="97" spans="4:32" ht="18.75" customHeight="1" x14ac:dyDescent="0.35">
      <c r="D97" s="265" t="s">
        <v>574</v>
      </c>
      <c r="E97" s="475"/>
      <c r="F97" s="501"/>
      <c r="G97" s="475"/>
      <c r="H97" s="622"/>
      <c r="I97" s="622"/>
      <c r="J97" s="622"/>
      <c r="K97" s="622"/>
      <c r="L97" s="622"/>
      <c r="M97" s="622">
        <v>1874</v>
      </c>
      <c r="N97" s="622">
        <v>2307</v>
      </c>
      <c r="O97" s="622">
        <v>2443</v>
      </c>
      <c r="P97" s="622">
        <v>2460</v>
      </c>
      <c r="Q97" s="622">
        <v>2329.5</v>
      </c>
      <c r="R97" s="622">
        <v>2420.1999999999998</v>
      </c>
      <c r="S97" s="622">
        <v>2468.6999999999998</v>
      </c>
      <c r="T97" s="1459">
        <v>2486.6999999999998</v>
      </c>
      <c r="U97" s="625">
        <v>2482.1999999999998</v>
      </c>
      <c r="V97" s="625">
        <v>2468.8000000000002</v>
      </c>
      <c r="W97" s="625">
        <v>2453.8000000000002</v>
      </c>
      <c r="X97" s="625">
        <v>2440.6999999999998</v>
      </c>
      <c r="Y97" s="625">
        <v>2429.4</v>
      </c>
      <c r="Z97" s="625">
        <v>2426.5</v>
      </c>
      <c r="AA97" s="625">
        <v>2418</v>
      </c>
      <c r="AB97" s="625">
        <v>2431.3000000000002</v>
      </c>
      <c r="AC97" s="626">
        <v>2440.1</v>
      </c>
    </row>
    <row r="98" spans="4:32" x14ac:dyDescent="0.35">
      <c r="R98" s="151"/>
      <c r="S98" s="151"/>
      <c r="T98" s="151"/>
      <c r="U98" s="151"/>
      <c r="V98" s="151"/>
      <c r="W98" s="151"/>
      <c r="X98" s="151"/>
    </row>
    <row r="99" spans="4:32" x14ac:dyDescent="0.35">
      <c r="D99" s="739"/>
      <c r="E99" s="481"/>
      <c r="F99" s="481"/>
      <c r="G99" s="481"/>
      <c r="H99" s="388"/>
      <c r="I99" s="388"/>
      <c r="J99" s="388"/>
      <c r="K99" s="388"/>
      <c r="L99" s="388"/>
      <c r="M99" s="388"/>
      <c r="N99" s="388"/>
      <c r="O99" s="388"/>
      <c r="P99" s="388"/>
      <c r="Q99" s="388"/>
      <c r="R99" s="388"/>
      <c r="S99" s="388"/>
      <c r="T99" s="388"/>
      <c r="U99" s="388"/>
      <c r="V99" s="388"/>
      <c r="W99" s="388"/>
      <c r="X99" s="388"/>
      <c r="Y99" s="388"/>
      <c r="Z99" s="388"/>
      <c r="AA99" s="388"/>
      <c r="AB99" s="388"/>
      <c r="AC99" s="388"/>
    </row>
    <row r="100" spans="4:32" x14ac:dyDescent="0.35">
      <c r="D100" s="176"/>
      <c r="AC100" s="36"/>
    </row>
    <row r="101" spans="4:32" x14ac:dyDescent="0.35">
      <c r="D101" s="1210" t="s">
        <v>575</v>
      </c>
      <c r="E101" s="1215"/>
      <c r="F101" s="1114">
        <v>2019</v>
      </c>
      <c r="G101" s="1115"/>
      <c r="H101" s="1122"/>
      <c r="I101" s="1115">
        <v>2020</v>
      </c>
      <c r="J101" s="1115"/>
      <c r="K101" s="1115"/>
      <c r="L101" s="1122"/>
      <c r="M101" s="1114">
        <v>2021</v>
      </c>
      <c r="N101" s="1115"/>
      <c r="O101" s="1115"/>
      <c r="P101" s="1115"/>
      <c r="Q101" s="1098">
        <v>2022</v>
      </c>
      <c r="R101" s="1099"/>
      <c r="S101" s="1099"/>
      <c r="T101" s="1308"/>
      <c r="U101" s="1277">
        <v>2023</v>
      </c>
      <c r="V101" s="1146"/>
      <c r="W101" s="1146"/>
      <c r="X101" s="1147"/>
      <c r="Y101" s="1145">
        <v>2024</v>
      </c>
      <c r="Z101" s="1146"/>
      <c r="AA101" s="1146"/>
      <c r="AB101" s="1146"/>
      <c r="AC101" s="239">
        <v>2025</v>
      </c>
    </row>
    <row r="102" spans="4:32" x14ac:dyDescent="0.35">
      <c r="D102" s="1229"/>
      <c r="E102" s="1230"/>
      <c r="F102" s="149" t="s">
        <v>329</v>
      </c>
      <c r="G102" s="148" t="s">
        <v>238</v>
      </c>
      <c r="H102" s="198" t="s">
        <v>327</v>
      </c>
      <c r="I102" s="148" t="s">
        <v>328</v>
      </c>
      <c r="J102" s="148" t="s">
        <v>329</v>
      </c>
      <c r="K102" s="148" t="s">
        <v>238</v>
      </c>
      <c r="L102" s="198" t="s">
        <v>327</v>
      </c>
      <c r="M102" s="149" t="s">
        <v>328</v>
      </c>
      <c r="N102" s="148" t="s">
        <v>329</v>
      </c>
      <c r="O102" s="148" t="s">
        <v>238</v>
      </c>
      <c r="P102" s="148" t="s">
        <v>327</v>
      </c>
      <c r="Q102" s="1051" t="s">
        <v>328</v>
      </c>
      <c r="R102" s="1039" t="s">
        <v>329</v>
      </c>
      <c r="S102" s="1039" t="s">
        <v>238</v>
      </c>
      <c r="T102" s="1052" t="s">
        <v>327</v>
      </c>
      <c r="U102" s="255" t="s">
        <v>328</v>
      </c>
      <c r="V102" s="255" t="s">
        <v>329</v>
      </c>
      <c r="W102" s="255" t="s">
        <v>238</v>
      </c>
      <c r="X102" s="256" t="s">
        <v>327</v>
      </c>
      <c r="Y102" s="254" t="s">
        <v>328</v>
      </c>
      <c r="Z102" s="250" t="s">
        <v>329</v>
      </c>
      <c r="AA102" s="255" t="s">
        <v>238</v>
      </c>
      <c r="AB102" s="255" t="s">
        <v>327</v>
      </c>
      <c r="AC102" s="258" t="s">
        <v>328</v>
      </c>
    </row>
    <row r="103" spans="4:32" x14ac:dyDescent="0.35">
      <c r="D103" s="1227" t="s">
        <v>576</v>
      </c>
      <c r="E103" s="1228"/>
      <c r="F103" s="1336"/>
      <c r="G103" s="1337"/>
      <c r="H103" s="1337"/>
      <c r="I103" s="1337"/>
      <c r="J103" s="1337"/>
      <c r="K103" s="1337"/>
      <c r="L103" s="1337"/>
      <c r="M103" s="1337"/>
      <c r="N103" s="1337"/>
      <c r="O103" s="1337"/>
      <c r="P103" s="1337"/>
      <c r="Q103" s="1337"/>
      <c r="R103" s="1337"/>
      <c r="S103" s="1337"/>
      <c r="T103" s="1427"/>
      <c r="U103" s="225"/>
      <c r="V103" s="225"/>
      <c r="W103" s="225"/>
      <c r="X103" s="225"/>
      <c r="Y103" s="225"/>
      <c r="Z103" s="225"/>
      <c r="AA103" s="225"/>
      <c r="AB103" s="225"/>
      <c r="AC103" s="226"/>
    </row>
    <row r="104" spans="4:32" x14ac:dyDescent="0.35">
      <c r="D104" s="449" t="s">
        <v>544</v>
      </c>
      <c r="F104" s="624"/>
      <c r="G104" s="1460"/>
      <c r="H104" s="1460">
        <f t="shared" ref="H104:T104" si="30">H10/H111</f>
        <v>0.11520931070611083</v>
      </c>
      <c r="I104" s="1460">
        <f t="shared" si="30"/>
        <v>0.11566144134388082</v>
      </c>
      <c r="J104" s="1460">
        <f t="shared" si="30"/>
        <v>0.11281835698020669</v>
      </c>
      <c r="K104" s="1460">
        <f t="shared" si="30"/>
        <v>0.11518678305073408</v>
      </c>
      <c r="L104" s="1460">
        <f t="shared" si="30"/>
        <v>0.11990448353254346</v>
      </c>
      <c r="M104" s="1460">
        <f t="shared" si="30"/>
        <v>0.12789328127541891</v>
      </c>
      <c r="N104" s="1460">
        <f t="shared" si="30"/>
        <v>0.13083976407289996</v>
      </c>
      <c r="O104" s="1460">
        <f t="shared" si="30"/>
        <v>0.13349080813015168</v>
      </c>
      <c r="P104" s="1460">
        <f t="shared" si="30"/>
        <v>0.13507699001667917</v>
      </c>
      <c r="Q104" s="1460">
        <f t="shared" si="30"/>
        <v>0.15293907130714859</v>
      </c>
      <c r="R104" s="1460">
        <f t="shared" si="30"/>
        <v>0.15280309534169892</v>
      </c>
      <c r="S104" s="1461">
        <f t="shared" si="30"/>
        <v>0.15248282368739399</v>
      </c>
      <c r="T104" s="613" t="e">
        <f t="shared" si="30"/>
        <v>#DIV/0!</v>
      </c>
      <c r="U104" s="602" t="e">
        <f>T104+U105</f>
        <v>#DIV/0!</v>
      </c>
      <c r="V104" s="602" t="e">
        <f t="shared" ref="V104:AC104" si="31">U104+V105</f>
        <v>#DIV/0!</v>
      </c>
      <c r="W104" s="602" t="e">
        <f t="shared" si="31"/>
        <v>#DIV/0!</v>
      </c>
      <c r="X104" s="602" t="e">
        <f t="shared" si="31"/>
        <v>#DIV/0!</v>
      </c>
      <c r="Y104" s="602" t="e">
        <f t="shared" si="31"/>
        <v>#DIV/0!</v>
      </c>
      <c r="Z104" s="602" t="e">
        <f t="shared" si="31"/>
        <v>#DIV/0!</v>
      </c>
      <c r="AA104" s="602" t="e">
        <f t="shared" si="31"/>
        <v>#DIV/0!</v>
      </c>
      <c r="AB104" s="602" t="e">
        <f t="shared" si="31"/>
        <v>#DIV/0!</v>
      </c>
      <c r="AC104" s="602" t="e">
        <f t="shared" si="31"/>
        <v>#DIV/0!</v>
      </c>
    </row>
    <row r="105" spans="4:32" x14ac:dyDescent="0.35">
      <c r="D105" s="449" t="s">
        <v>968</v>
      </c>
      <c r="F105" s="624"/>
      <c r="G105" s="1460"/>
      <c r="H105" s="1460"/>
      <c r="I105" s="1460"/>
      <c r="J105" s="1460"/>
      <c r="K105" s="1460"/>
      <c r="L105" s="1460"/>
      <c r="M105" s="1460"/>
      <c r="N105" s="1460"/>
      <c r="O105" s="1460"/>
      <c r="P105" s="1460"/>
      <c r="Q105" s="1460"/>
      <c r="R105" s="1460"/>
      <c r="S105" s="1461"/>
      <c r="T105" s="613"/>
      <c r="U105" s="609">
        <v>-0.02</v>
      </c>
      <c r="V105" s="602"/>
      <c r="W105" s="602"/>
      <c r="X105" s="602"/>
      <c r="Y105" s="602"/>
      <c r="Z105" s="602"/>
      <c r="AA105" s="602"/>
      <c r="AB105" s="602"/>
      <c r="AC105" s="602"/>
    </row>
    <row r="106" spans="4:32" x14ac:dyDescent="0.35">
      <c r="D106" s="449" t="s">
        <v>545</v>
      </c>
      <c r="F106" s="624"/>
      <c r="G106" s="1460"/>
      <c r="H106" s="1460">
        <f t="shared" ref="H106:T106" si="32">H13/H116</f>
        <v>0.15062717402761674</v>
      </c>
      <c r="I106" s="1460">
        <f t="shared" si="32"/>
        <v>0.15103642270684339</v>
      </c>
      <c r="J106" s="1460">
        <f t="shared" si="32"/>
        <v>0.15387605940440088</v>
      </c>
      <c r="K106" s="1460">
        <f t="shared" si="32"/>
        <v>0.15183673469387757</v>
      </c>
      <c r="L106" s="1460">
        <f t="shared" si="32"/>
        <v>0.1496195679926467</v>
      </c>
      <c r="M106" s="1460">
        <f t="shared" si="32"/>
        <v>0.14955735161391731</v>
      </c>
      <c r="N106" s="1460">
        <f t="shared" si="32"/>
        <v>0.14822588114733906</v>
      </c>
      <c r="O106" s="1460">
        <f t="shared" si="32"/>
        <v>0.14724543781628582</v>
      </c>
      <c r="P106" s="1460">
        <f t="shared" si="32"/>
        <v>0.14666765802020501</v>
      </c>
      <c r="Q106" s="1460">
        <f t="shared" si="32"/>
        <v>0.1478248151161409</v>
      </c>
      <c r="R106" s="1460">
        <f t="shared" si="32"/>
        <v>0.14783370514545832</v>
      </c>
      <c r="S106" s="1461">
        <f t="shared" si="32"/>
        <v>0.14767973711088414</v>
      </c>
      <c r="T106" s="613" t="e">
        <f t="shared" si="32"/>
        <v>#DIV/0!</v>
      </c>
      <c r="U106" s="602" t="e">
        <f t="shared" ref="T106:AC106" si="33">T106</f>
        <v>#DIV/0!</v>
      </c>
      <c r="V106" s="602" t="e">
        <f t="shared" si="33"/>
        <v>#DIV/0!</v>
      </c>
      <c r="W106" s="602" t="e">
        <f t="shared" si="33"/>
        <v>#DIV/0!</v>
      </c>
      <c r="X106" s="602" t="e">
        <f t="shared" si="33"/>
        <v>#DIV/0!</v>
      </c>
      <c r="Y106" s="602" t="e">
        <f t="shared" si="33"/>
        <v>#DIV/0!</v>
      </c>
      <c r="Z106" s="602" t="e">
        <f t="shared" si="33"/>
        <v>#DIV/0!</v>
      </c>
      <c r="AA106" s="602" t="e">
        <f t="shared" si="33"/>
        <v>#DIV/0!</v>
      </c>
      <c r="AB106" s="602" t="e">
        <f t="shared" si="33"/>
        <v>#DIV/0!</v>
      </c>
      <c r="AC106" s="602" t="e">
        <f t="shared" si="33"/>
        <v>#DIV/0!</v>
      </c>
    </row>
    <row r="107" spans="4:32" x14ac:dyDescent="0.35">
      <c r="D107" s="449" t="s">
        <v>546</v>
      </c>
      <c r="F107" s="624"/>
      <c r="G107" s="1460"/>
      <c r="H107" s="1460">
        <f t="shared" ref="H107:T107" si="34">H15/H117</f>
        <v>1.2100690881729256E-2</v>
      </c>
      <c r="I107" s="1460">
        <f t="shared" si="34"/>
        <v>1.2922258694477915E-2</v>
      </c>
      <c r="J107" s="1460">
        <f t="shared" si="34"/>
        <v>1.016107526552131E-2</v>
      </c>
      <c r="K107" s="1460">
        <f t="shared" si="34"/>
        <v>1.0362298192331481E-2</v>
      </c>
      <c r="L107" s="1460">
        <f t="shared" si="34"/>
        <v>1.0626628273687096E-2</v>
      </c>
      <c r="M107" s="1460">
        <f t="shared" si="34"/>
        <v>1.0349271387502891E-2</v>
      </c>
      <c r="N107" s="1460">
        <f t="shared" si="34"/>
        <v>1.1211939165902553E-2</v>
      </c>
      <c r="O107" s="1460">
        <f t="shared" si="34"/>
        <v>1.0949198937283633E-2</v>
      </c>
      <c r="P107" s="1460">
        <f t="shared" si="34"/>
        <v>1.135730718004601E-2</v>
      </c>
      <c r="Q107" s="1460">
        <f t="shared" si="34"/>
        <v>1.1994216227747885E-2</v>
      </c>
      <c r="R107" s="1460">
        <f t="shared" si="34"/>
        <v>1.2131183630433398E-2</v>
      </c>
      <c r="S107" s="1461">
        <f t="shared" si="34"/>
        <v>1.1560364140069659E-2</v>
      </c>
      <c r="T107" s="613" t="e">
        <f t="shared" si="34"/>
        <v>#DIV/0!</v>
      </c>
      <c r="U107" s="602" t="e">
        <f t="shared" ref="T107:AC107" si="35">T107</f>
        <v>#DIV/0!</v>
      </c>
      <c r="V107" s="602" t="e">
        <f t="shared" si="35"/>
        <v>#DIV/0!</v>
      </c>
      <c r="W107" s="602" t="e">
        <f t="shared" si="35"/>
        <v>#DIV/0!</v>
      </c>
      <c r="X107" s="602" t="e">
        <f t="shared" si="35"/>
        <v>#DIV/0!</v>
      </c>
      <c r="Y107" s="602" t="e">
        <f t="shared" si="35"/>
        <v>#DIV/0!</v>
      </c>
      <c r="Z107" s="602" t="e">
        <f t="shared" si="35"/>
        <v>#DIV/0!</v>
      </c>
      <c r="AA107" s="602" t="e">
        <f t="shared" si="35"/>
        <v>#DIV/0!</v>
      </c>
      <c r="AB107" s="602" t="e">
        <f t="shared" si="35"/>
        <v>#DIV/0!</v>
      </c>
      <c r="AC107" s="602" t="e">
        <f t="shared" si="35"/>
        <v>#DIV/0!</v>
      </c>
    </row>
    <row r="108" spans="4:32" x14ac:dyDescent="0.35">
      <c r="D108" s="371" t="s">
        <v>547</v>
      </c>
      <c r="F108" s="624"/>
      <c r="G108" s="1460"/>
      <c r="H108" s="1460">
        <f t="shared" ref="H108:S108" si="36">H18/H118</f>
        <v>0.11697176543592926</v>
      </c>
      <c r="I108" s="1460">
        <f t="shared" si="36"/>
        <v>0.10545412659102689</v>
      </c>
      <c r="J108" s="1460">
        <f t="shared" si="36"/>
        <v>0.11132677978836643</v>
      </c>
      <c r="K108" s="1460">
        <f t="shared" si="36"/>
        <v>0.10700112684336878</v>
      </c>
      <c r="L108" s="1460">
        <f t="shared" si="36"/>
        <v>0.11630892472013966</v>
      </c>
      <c r="M108" s="1460">
        <f t="shared" si="36"/>
        <v>0.11594202898550723</v>
      </c>
      <c r="N108" s="1460">
        <f t="shared" si="36"/>
        <v>0.11690415853101242</v>
      </c>
      <c r="O108" s="1460">
        <f t="shared" si="36"/>
        <v>0.11448309893905748</v>
      </c>
      <c r="P108" s="1460">
        <f t="shared" si="36"/>
        <v>0.12475442043222006</v>
      </c>
      <c r="Q108" s="1460">
        <f t="shared" si="36"/>
        <v>0.12899247749414233</v>
      </c>
      <c r="R108" s="1461">
        <f t="shared" si="36"/>
        <v>0.13911536492181653</v>
      </c>
      <c r="S108" s="1461">
        <f t="shared" si="36"/>
        <v>0.13340122199592669</v>
      </c>
      <c r="T108" s="604">
        <f t="shared" ref="T108" si="37">S108</f>
        <v>0.13340122199592669</v>
      </c>
      <c r="U108" s="602">
        <f>T108+U109</f>
        <v>0.12140122199592669</v>
      </c>
      <c r="V108" s="602">
        <f t="shared" ref="V108:AC108" si="38">U108+V109</f>
        <v>0.12140122199592669</v>
      </c>
      <c r="W108" s="602">
        <f t="shared" si="38"/>
        <v>0.12140122199592669</v>
      </c>
      <c r="X108" s="602">
        <f t="shared" si="38"/>
        <v>0.12140122199592669</v>
      </c>
      <c r="Y108" s="602">
        <f t="shared" si="38"/>
        <v>0.12140122199592669</v>
      </c>
      <c r="Z108" s="602">
        <f t="shared" si="38"/>
        <v>0.12140122199592669</v>
      </c>
      <c r="AA108" s="602">
        <f t="shared" si="38"/>
        <v>0.12140122199592669</v>
      </c>
      <c r="AB108" s="602">
        <f t="shared" si="38"/>
        <v>0.12140122199592669</v>
      </c>
      <c r="AC108" s="602">
        <f t="shared" si="38"/>
        <v>0.12140122199592669</v>
      </c>
    </row>
    <row r="109" spans="4:32" x14ac:dyDescent="0.35">
      <c r="D109" s="371" t="s">
        <v>968</v>
      </c>
      <c r="F109" s="624"/>
      <c r="G109" s="1460"/>
      <c r="H109" s="1460"/>
      <c r="I109" s="1460"/>
      <c r="J109" s="1460"/>
      <c r="K109" s="1460"/>
      <c r="L109" s="1460"/>
      <c r="M109" s="1460"/>
      <c r="N109" s="1460"/>
      <c r="O109" s="1460"/>
      <c r="P109" s="1460"/>
      <c r="Q109" s="1460"/>
      <c r="R109" s="1461"/>
      <c r="S109" s="1461"/>
      <c r="T109" s="604"/>
      <c r="U109" s="602">
        <v>-1.2E-2</v>
      </c>
      <c r="V109" s="602"/>
      <c r="W109" s="602"/>
      <c r="X109" s="602"/>
      <c r="Y109" s="602"/>
      <c r="Z109" s="602"/>
      <c r="AA109" s="602"/>
      <c r="AB109" s="602"/>
      <c r="AC109" s="602"/>
    </row>
    <row r="110" spans="4:32" x14ac:dyDescent="0.35">
      <c r="D110" s="515" t="s">
        <v>577</v>
      </c>
      <c r="F110" s="264"/>
      <c r="G110" s="1283"/>
      <c r="H110" s="1283"/>
      <c r="I110" s="1283"/>
      <c r="J110" s="1283"/>
      <c r="K110" s="1283"/>
      <c r="L110" s="1283"/>
      <c r="M110" s="1283"/>
      <c r="N110" s="1283"/>
      <c r="O110" s="1283"/>
      <c r="P110" s="1283"/>
      <c r="Q110" s="1283"/>
      <c r="R110" s="1283"/>
      <c r="S110" s="1283"/>
      <c r="T110" s="1428"/>
      <c r="U110" s="329"/>
      <c r="V110" s="329"/>
      <c r="W110" s="329"/>
      <c r="X110" s="329"/>
      <c r="Y110" s="329"/>
      <c r="Z110" s="329"/>
      <c r="AA110" s="329"/>
      <c r="AB110" s="329"/>
      <c r="AC110" s="341"/>
    </row>
    <row r="111" spans="4:32" ht="14.75" customHeight="1" x14ac:dyDescent="0.35">
      <c r="D111" s="668" t="s">
        <v>578</v>
      </c>
      <c r="F111" s="419">
        <f>SUM(F112:F115)</f>
        <v>14677.800000000003</v>
      </c>
      <c r="G111" s="1302">
        <f t="shared" ref="G111:O111" si="39">SUM(G112:G115)</f>
        <v>14803.5</v>
      </c>
      <c r="H111" s="1302">
        <f t="shared" si="39"/>
        <v>14984.9</v>
      </c>
      <c r="I111" s="1302">
        <f t="shared" si="39"/>
        <v>15144.2</v>
      </c>
      <c r="J111" s="1302">
        <f t="shared" si="39"/>
        <v>14272.5</v>
      </c>
      <c r="K111" s="1302">
        <f t="shared" si="39"/>
        <v>14950.5</v>
      </c>
      <c r="L111" s="1302">
        <f t="shared" si="39"/>
        <v>15327.199999999999</v>
      </c>
      <c r="M111" s="1302">
        <f t="shared" si="39"/>
        <v>15367.5</v>
      </c>
      <c r="N111" s="1302">
        <f t="shared" si="39"/>
        <v>15835.400000000001</v>
      </c>
      <c r="O111" s="1302">
        <f t="shared" si="39"/>
        <v>16171.900000000001</v>
      </c>
      <c r="P111" s="1302">
        <f t="shared" ref="P111:T111" si="40">SUM(P112:P115)</f>
        <v>16547.599999999999</v>
      </c>
      <c r="Q111" s="1302">
        <f t="shared" si="40"/>
        <v>16765.5</v>
      </c>
      <c r="R111" s="1302">
        <f t="shared" si="40"/>
        <v>17006.199999999997</v>
      </c>
      <c r="S111" s="1303">
        <f t="shared" si="40"/>
        <v>17276.7</v>
      </c>
      <c r="T111" s="614">
        <f t="shared" si="40"/>
        <v>0</v>
      </c>
      <c r="U111" s="329"/>
      <c r="V111" s="329"/>
      <c r="W111" s="329"/>
      <c r="X111" s="329"/>
      <c r="Y111" s="329"/>
      <c r="Z111" s="329"/>
      <c r="AA111" s="329"/>
      <c r="AB111" s="329"/>
      <c r="AC111" s="341"/>
      <c r="AD111" s="687"/>
      <c r="AE111" s="687"/>
      <c r="AF111" s="687"/>
    </row>
    <row r="112" spans="4:32" x14ac:dyDescent="0.35">
      <c r="D112" s="725" t="s">
        <v>852</v>
      </c>
      <c r="E112" s="151" t="s">
        <v>848</v>
      </c>
      <c r="F112" s="419">
        <f>'Haver Pivoted'!GQ81</f>
        <v>9284.7000000000007</v>
      </c>
      <c r="G112" s="1302">
        <f>'Haver Pivoted'!GR81</f>
        <v>9340.5</v>
      </c>
      <c r="H112" s="1302">
        <f>'Haver Pivoted'!GS81</f>
        <v>9487</v>
      </c>
      <c r="I112" s="1302">
        <f>'Haver Pivoted'!GT81</f>
        <v>9634.1</v>
      </c>
      <c r="J112" s="1302">
        <f>'Haver Pivoted'!GU81</f>
        <v>9002.7000000000007</v>
      </c>
      <c r="K112" s="1302">
        <f>'Haver Pivoted'!GV81</f>
        <v>9432.5</v>
      </c>
      <c r="L112" s="1302">
        <f>'Haver Pivoted'!GW81</f>
        <v>9791.5</v>
      </c>
      <c r="M112" s="1302">
        <f>'Haver Pivoted'!GX81</f>
        <v>9861.1</v>
      </c>
      <c r="N112" s="1302">
        <f>'Haver Pivoted'!GY81</f>
        <v>10148.700000000001</v>
      </c>
      <c r="O112" s="1302">
        <f>'Haver Pivoted'!GZ81</f>
        <v>10433.6</v>
      </c>
      <c r="P112" s="1302">
        <f>'Haver Pivoted'!HA81</f>
        <v>10759.7</v>
      </c>
      <c r="Q112" s="1302">
        <f>'Haver Pivoted'!HB81</f>
        <v>10939.3</v>
      </c>
      <c r="R112" s="1302">
        <f>'Haver Pivoted'!HC81</f>
        <v>11071.9</v>
      </c>
      <c r="S112" s="1303">
        <f>'Haver Pivoted'!HD81</f>
        <v>11259.5</v>
      </c>
      <c r="T112" s="614">
        <f>'Haver Pivoted'!HE81</f>
        <v>0</v>
      </c>
      <c r="U112" s="329"/>
      <c r="V112" s="329"/>
      <c r="W112" s="329"/>
      <c r="X112" s="329"/>
      <c r="Y112" s="329"/>
      <c r="Z112" s="329"/>
      <c r="AA112" s="329"/>
      <c r="AB112" s="329"/>
      <c r="AC112" s="341"/>
    </row>
    <row r="113" spans="4:29" x14ac:dyDescent="0.35">
      <c r="D113" s="725" t="s">
        <v>579</v>
      </c>
      <c r="E113" s="151" t="s">
        <v>849</v>
      </c>
      <c r="F113" s="419">
        <f>'Haver Pivoted'!GQ82</f>
        <v>1575.2</v>
      </c>
      <c r="G113" s="1302">
        <f>'Haver Pivoted'!GR82</f>
        <v>1615.3</v>
      </c>
      <c r="H113" s="1302">
        <f>'Haver Pivoted'!GS82</f>
        <v>1631.9</v>
      </c>
      <c r="I113" s="1302">
        <f>'Haver Pivoted'!GT82</f>
        <v>1643.2</v>
      </c>
      <c r="J113" s="1302">
        <f>'Haver Pivoted'!GU82</f>
        <v>1475.6</v>
      </c>
      <c r="K113" s="1302">
        <f>'Haver Pivoted'!GV82</f>
        <v>1751.6</v>
      </c>
      <c r="L113" s="1302">
        <f>'Haver Pivoted'!GW82</f>
        <v>1702</v>
      </c>
      <c r="M113" s="1302">
        <f>'Haver Pivoted'!GX82</f>
        <v>1655</v>
      </c>
      <c r="N113" s="1302">
        <f>'Haver Pivoted'!GY82</f>
        <v>1776.9</v>
      </c>
      <c r="O113" s="1302">
        <f>'Haver Pivoted'!GZ82</f>
        <v>1792.7</v>
      </c>
      <c r="P113" s="1302">
        <f>'Haver Pivoted'!HA82</f>
        <v>1789.8</v>
      </c>
      <c r="Q113" s="1302">
        <f>'Haver Pivoted'!HB82</f>
        <v>1811.4</v>
      </c>
      <c r="R113" s="1302">
        <f>'Haver Pivoted'!HC82</f>
        <v>1835.4</v>
      </c>
      <c r="S113" s="1303">
        <f>'Haver Pivoted'!HD82</f>
        <v>1863.5</v>
      </c>
      <c r="T113" s="614">
        <f>'Haver Pivoted'!HE82</f>
        <v>0</v>
      </c>
      <c r="U113" s="329"/>
      <c r="V113" s="329"/>
      <c r="W113" s="329"/>
      <c r="X113" s="329"/>
      <c r="Y113" s="329"/>
      <c r="Z113" s="329"/>
      <c r="AA113" s="329"/>
      <c r="AB113" s="329"/>
      <c r="AC113" s="341"/>
    </row>
    <row r="114" spans="4:29" x14ac:dyDescent="0.35">
      <c r="D114" s="725" t="s">
        <v>580</v>
      </c>
      <c r="E114" s="151" t="s">
        <v>855</v>
      </c>
      <c r="F114" s="419">
        <f>'Haver Pivoted'!GQ83</f>
        <v>696.1</v>
      </c>
      <c r="G114" s="1302">
        <f>'Haver Pivoted'!GR83</f>
        <v>699.1</v>
      </c>
      <c r="H114" s="1302">
        <f>'Haver Pivoted'!GS83</f>
        <v>708</v>
      </c>
      <c r="I114" s="1302">
        <f>'Haver Pivoted'!GT83</f>
        <v>722.6</v>
      </c>
      <c r="J114" s="1302">
        <f>'Haver Pivoted'!GU83</f>
        <v>717.9</v>
      </c>
      <c r="K114" s="1302">
        <f>'Haver Pivoted'!GV83</f>
        <v>722.6</v>
      </c>
      <c r="L114" s="1302">
        <f>'Haver Pivoted'!GW83</f>
        <v>716.3</v>
      </c>
      <c r="M114" s="1302">
        <f>'Haver Pivoted'!GX83</f>
        <v>719.4</v>
      </c>
      <c r="N114" s="1302">
        <f>'Haver Pivoted'!GY83</f>
        <v>713.5</v>
      </c>
      <c r="O114" s="1302">
        <f>'Haver Pivoted'!GZ83</f>
        <v>722.7</v>
      </c>
      <c r="P114" s="1302">
        <f>'Haver Pivoted'!HA83</f>
        <v>739.6</v>
      </c>
      <c r="Q114" s="1302">
        <f>'Haver Pivoted'!HB83</f>
        <v>744.9</v>
      </c>
      <c r="R114" s="1302">
        <f>'Haver Pivoted'!HC83</f>
        <v>775.9</v>
      </c>
      <c r="S114" s="1303">
        <f>'Haver Pivoted'!HD83</f>
        <v>794.9</v>
      </c>
      <c r="T114" s="614">
        <f>'Haver Pivoted'!HE83</f>
        <v>0</v>
      </c>
      <c r="U114" s="329"/>
      <c r="V114" s="329"/>
      <c r="W114" s="329"/>
      <c r="X114" s="329"/>
      <c r="Y114" s="329"/>
      <c r="Z114" s="329"/>
      <c r="AA114" s="329"/>
      <c r="AB114" s="329"/>
      <c r="AC114" s="341"/>
    </row>
    <row r="115" spans="4:29" x14ac:dyDescent="0.35">
      <c r="D115" s="725" t="s">
        <v>581</v>
      </c>
      <c r="E115" s="151" t="s">
        <v>851</v>
      </c>
      <c r="F115" s="419">
        <f>'Haver Pivoted'!GQ84</f>
        <v>3121.8</v>
      </c>
      <c r="G115" s="1302">
        <f>'Haver Pivoted'!GR84</f>
        <v>3148.6</v>
      </c>
      <c r="H115" s="1302">
        <f>'Haver Pivoted'!GS84</f>
        <v>3158</v>
      </c>
      <c r="I115" s="1302">
        <f>'Haver Pivoted'!GT84</f>
        <v>3144.3</v>
      </c>
      <c r="J115" s="1302">
        <f>'Haver Pivoted'!GU84</f>
        <v>3076.3</v>
      </c>
      <c r="K115" s="1302">
        <f>'Haver Pivoted'!GV84</f>
        <v>3043.8</v>
      </c>
      <c r="L115" s="1302">
        <f>'Haver Pivoted'!GW84</f>
        <v>3117.4</v>
      </c>
      <c r="M115" s="1302">
        <f>'Haver Pivoted'!GX84</f>
        <v>3132</v>
      </c>
      <c r="N115" s="1302">
        <f>'Haver Pivoted'!GY84</f>
        <v>3196.3</v>
      </c>
      <c r="O115" s="1302">
        <f>'Haver Pivoted'!GZ84</f>
        <v>3222.9</v>
      </c>
      <c r="P115" s="1302">
        <f>'Haver Pivoted'!HA84</f>
        <v>3258.5</v>
      </c>
      <c r="Q115" s="1302">
        <f>'Haver Pivoted'!HB84</f>
        <v>3269.9</v>
      </c>
      <c r="R115" s="1302">
        <f>'Haver Pivoted'!HC84</f>
        <v>3323</v>
      </c>
      <c r="S115" s="1303">
        <f>'Haver Pivoted'!HD84</f>
        <v>3358.8</v>
      </c>
      <c r="T115" s="614">
        <f>'Haver Pivoted'!HE84</f>
        <v>0</v>
      </c>
      <c r="U115" s="329"/>
      <c r="V115" s="329"/>
      <c r="W115" s="329"/>
      <c r="X115" s="329"/>
      <c r="Y115" s="329"/>
      <c r="Z115" s="329"/>
      <c r="AA115" s="329"/>
      <c r="AB115" s="329"/>
      <c r="AC115" s="341"/>
    </row>
    <row r="116" spans="4:29" x14ac:dyDescent="0.35">
      <c r="D116" s="668" t="s">
        <v>566</v>
      </c>
      <c r="F116" s="419">
        <f>F112</f>
        <v>9284.7000000000007</v>
      </c>
      <c r="G116" s="1302">
        <f t="shared" ref="G116:O116" si="41">G112</f>
        <v>9340.5</v>
      </c>
      <c r="H116" s="1302">
        <f t="shared" si="41"/>
        <v>9487</v>
      </c>
      <c r="I116" s="1302">
        <f t="shared" si="41"/>
        <v>9634.1</v>
      </c>
      <c r="J116" s="1302">
        <f t="shared" si="41"/>
        <v>9002.7000000000007</v>
      </c>
      <c r="K116" s="1302">
        <f t="shared" si="41"/>
        <v>9432.5</v>
      </c>
      <c r="L116" s="1302">
        <f t="shared" si="41"/>
        <v>9791.5</v>
      </c>
      <c r="M116" s="1302">
        <f t="shared" si="41"/>
        <v>9861.1</v>
      </c>
      <c r="N116" s="1302">
        <f t="shared" si="41"/>
        <v>10148.700000000001</v>
      </c>
      <c r="O116" s="1302">
        <f t="shared" si="41"/>
        <v>10433.6</v>
      </c>
      <c r="P116" s="1302">
        <f t="shared" ref="P116:T116" si="42">P112</f>
        <v>10759.7</v>
      </c>
      <c r="Q116" s="1302">
        <f t="shared" si="42"/>
        <v>10939.3</v>
      </c>
      <c r="R116" s="1302">
        <f t="shared" si="42"/>
        <v>11071.9</v>
      </c>
      <c r="S116" s="1303">
        <f t="shared" si="42"/>
        <v>11259.5</v>
      </c>
      <c r="T116" s="614">
        <f t="shared" si="42"/>
        <v>0</v>
      </c>
      <c r="U116" s="329"/>
      <c r="V116" s="329"/>
      <c r="W116" s="329"/>
      <c r="X116" s="329"/>
      <c r="Y116" s="329"/>
      <c r="Z116" s="329"/>
      <c r="AA116" s="329"/>
      <c r="AB116" s="329"/>
      <c r="AC116" s="341"/>
    </row>
    <row r="117" spans="4:29" x14ac:dyDescent="0.35">
      <c r="D117" s="668" t="s">
        <v>567</v>
      </c>
      <c r="E117" s="151" t="s">
        <v>585</v>
      </c>
      <c r="F117" s="419">
        <f>'Haver Pivoted'!GQ5</f>
        <v>14323.7</v>
      </c>
      <c r="G117" s="1302">
        <f>'Haver Pivoted'!GR5</f>
        <v>14482.2</v>
      </c>
      <c r="H117" s="1302">
        <f>'Haver Pivoted'!GS5</f>
        <v>14619</v>
      </c>
      <c r="I117" s="1302">
        <f>'Haver Pivoted'!GT5</f>
        <v>14440.2</v>
      </c>
      <c r="J117" s="1302">
        <f>'Haver Pivoted'!GU5</f>
        <v>13049.8</v>
      </c>
      <c r="K117" s="1302">
        <f>'Haver Pivoted'!GV5</f>
        <v>14388.7</v>
      </c>
      <c r="L117" s="1302">
        <f>'Haver Pivoted'!GW5</f>
        <v>14586</v>
      </c>
      <c r="M117" s="1302">
        <f>'Haver Pivoted'!GX5</f>
        <v>15131.5</v>
      </c>
      <c r="N117" s="1302">
        <f>'Haver Pivoted'!GY5</f>
        <v>15813.5</v>
      </c>
      <c r="O117" s="1302">
        <f>'Haver Pivoted'!GZ5</f>
        <v>16147.3</v>
      </c>
      <c r="P117" s="1302">
        <f>'Haver Pivoted'!HA5</f>
        <v>16518</v>
      </c>
      <c r="Q117" s="1302">
        <f>'Haver Pivoted'!HB5</f>
        <v>16874.8</v>
      </c>
      <c r="R117" s="1302">
        <f>'Haver Pivoted'!HC5</f>
        <v>17261.3</v>
      </c>
      <c r="S117" s="1303">
        <f>'Haver Pivoted'!HD5</f>
        <v>17542.7</v>
      </c>
      <c r="T117" s="614">
        <f>'Haver Pivoted'!HE5</f>
        <v>0</v>
      </c>
      <c r="U117" s="329"/>
      <c r="V117" s="329"/>
      <c r="W117" s="329"/>
      <c r="X117" s="329"/>
      <c r="Y117" s="329"/>
      <c r="Z117" s="329"/>
      <c r="AA117" s="329"/>
      <c r="AB117" s="329"/>
      <c r="AC117" s="341"/>
    </row>
    <row r="118" spans="4:29" x14ac:dyDescent="0.35">
      <c r="D118" s="668" t="s">
        <v>582</v>
      </c>
      <c r="E118" s="151" t="s">
        <v>850</v>
      </c>
      <c r="F118" s="419">
        <f>'Haver Pivoted'!GQ85</f>
        <v>1872</v>
      </c>
      <c r="G118" s="1302">
        <f>'Haver Pivoted'!GR85</f>
        <v>1882</v>
      </c>
      <c r="H118" s="1302">
        <f>'Haver Pivoted'!GS85</f>
        <v>1933.8</v>
      </c>
      <c r="I118" s="1302">
        <f>'Haver Pivoted'!GT85</f>
        <v>1736.3</v>
      </c>
      <c r="J118" s="1302">
        <f>'Haver Pivoted'!GU85</f>
        <v>1597.1</v>
      </c>
      <c r="K118" s="1302">
        <f>'Haver Pivoted'!GV85</f>
        <v>2041.1</v>
      </c>
      <c r="L118" s="1302">
        <f>'Haver Pivoted'!GW85</f>
        <v>1947.4</v>
      </c>
      <c r="M118" s="1302">
        <f>'Haver Pivoted'!GX85</f>
        <v>2152.8000000000002</v>
      </c>
      <c r="N118" s="1302">
        <f>'Haver Pivoted'!GY85</f>
        <v>2407.1</v>
      </c>
      <c r="O118" s="1302">
        <f>'Haver Pivoted'!GZ85</f>
        <v>2431.8000000000002</v>
      </c>
      <c r="P118" s="1302">
        <f>'Haver Pivoted'!HA85</f>
        <v>2443.1999999999998</v>
      </c>
      <c r="Q118" s="1302">
        <f>'Haver Pivoted'!HB85</f>
        <v>2432.6999999999998</v>
      </c>
      <c r="R118" s="1303">
        <f>'Haver Pivoted'!HC85</f>
        <v>2538.9</v>
      </c>
      <c r="S118" s="1303">
        <f>'Haver Pivoted'!HD85</f>
        <v>2553.1999999999998</v>
      </c>
      <c r="T118" s="614">
        <f>'Haver Pivoted'!HE85</f>
        <v>0</v>
      </c>
      <c r="U118" s="329"/>
      <c r="V118" s="329"/>
      <c r="W118" s="329"/>
      <c r="X118" s="329"/>
      <c r="Y118" s="329"/>
      <c r="Z118" s="329"/>
      <c r="AA118" s="329"/>
      <c r="AB118" s="329"/>
      <c r="AC118" s="341"/>
    </row>
    <row r="119" spans="4:29" x14ac:dyDescent="0.35">
      <c r="D119" s="515" t="s">
        <v>583</v>
      </c>
      <c r="F119" s="264"/>
      <c r="G119" s="1283"/>
      <c r="H119" s="1283"/>
      <c r="I119" s="1283"/>
      <c r="J119" s="1283"/>
      <c r="K119" s="1283"/>
      <c r="L119" s="1283"/>
      <c r="M119" s="1283"/>
      <c r="N119" s="1283"/>
      <c r="O119" s="1283"/>
      <c r="P119" s="1283"/>
      <c r="Q119" s="1283"/>
      <c r="R119" s="1283"/>
      <c r="S119" s="1283"/>
      <c r="T119" s="1428"/>
      <c r="U119" s="329"/>
      <c r="V119" s="329"/>
      <c r="W119" s="329"/>
      <c r="X119" s="329"/>
      <c r="Y119" s="329"/>
      <c r="Z119" s="329"/>
      <c r="AA119" s="329"/>
      <c r="AB119" s="329"/>
      <c r="AC119" s="341"/>
    </row>
    <row r="120" spans="4:29" x14ac:dyDescent="0.35">
      <c r="D120" s="719" t="s">
        <v>548</v>
      </c>
      <c r="F120" s="624">
        <f t="shared" ref="F120:T120" si="43">F24/F111</f>
        <v>3.6040823556663798E-2</v>
      </c>
      <c r="G120" s="1460">
        <f t="shared" si="43"/>
        <v>3.3451548620258724E-2</v>
      </c>
      <c r="H120" s="1460">
        <f t="shared" si="43"/>
        <v>3.2672890709981382E-2</v>
      </c>
      <c r="I120" s="1460">
        <f t="shared" si="43"/>
        <v>3.2850860395398897E-2</v>
      </c>
      <c r="J120" s="1460">
        <f t="shared" si="43"/>
        <v>3.419162725521107E-2</v>
      </c>
      <c r="K120" s="1460">
        <f t="shared" si="43"/>
        <v>3.4473763419283633E-2</v>
      </c>
      <c r="L120" s="1460">
        <f t="shared" si="43"/>
        <v>3.4115820241139933E-2</v>
      </c>
      <c r="M120" s="1460">
        <f t="shared" si="43"/>
        <v>3.5373352855051249E-2</v>
      </c>
      <c r="N120" s="1460">
        <f t="shared" si="43"/>
        <v>3.5780592848933403E-2</v>
      </c>
      <c r="O120" s="1460">
        <f t="shared" si="43"/>
        <v>3.3044973070573025E-2</v>
      </c>
      <c r="P120" s="1460">
        <f t="shared" si="43"/>
        <v>3.449442819502526E-2</v>
      </c>
      <c r="Q120" s="1460">
        <f t="shared" si="43"/>
        <v>3.4672392711222445E-2</v>
      </c>
      <c r="R120" s="1460">
        <f t="shared" si="43"/>
        <v>3.4681469111265309E-2</v>
      </c>
      <c r="S120" s="1461">
        <f t="shared" si="43"/>
        <v>3.4427871063339638E-2</v>
      </c>
      <c r="T120" s="613" t="e">
        <f t="shared" si="43"/>
        <v>#DIV/0!</v>
      </c>
      <c r="U120" s="602" t="e">
        <f t="shared" ref="T120:AC122" si="44">T120</f>
        <v>#DIV/0!</v>
      </c>
      <c r="V120" s="602" t="e">
        <f t="shared" si="44"/>
        <v>#DIV/0!</v>
      </c>
      <c r="W120" s="602" t="e">
        <f t="shared" si="44"/>
        <v>#DIV/0!</v>
      </c>
      <c r="X120" s="602" t="e">
        <f>W120</f>
        <v>#DIV/0!</v>
      </c>
      <c r="Y120" s="602" t="e">
        <f t="shared" si="44"/>
        <v>#DIV/0!</v>
      </c>
      <c r="Z120" s="602" t="e">
        <f t="shared" si="44"/>
        <v>#DIV/0!</v>
      </c>
      <c r="AA120" s="602" t="e">
        <f t="shared" si="44"/>
        <v>#DIV/0!</v>
      </c>
      <c r="AB120" s="602" t="e">
        <f t="shared" si="44"/>
        <v>#DIV/0!</v>
      </c>
      <c r="AC120" s="604" t="e">
        <f t="shared" si="44"/>
        <v>#DIV/0!</v>
      </c>
    </row>
    <row r="121" spans="4:29" x14ac:dyDescent="0.35">
      <c r="D121" s="719" t="s">
        <v>545</v>
      </c>
      <c r="F121" s="624">
        <f t="shared" ref="F121:T121" si="45">F25/F116</f>
        <v>2.2402447036522452E-3</v>
      </c>
      <c r="G121" s="1460">
        <f t="shared" si="45"/>
        <v>2.2161554520635941E-3</v>
      </c>
      <c r="H121" s="1460">
        <f t="shared" si="45"/>
        <v>2.1819331717086539E-3</v>
      </c>
      <c r="I121" s="1460">
        <f t="shared" si="45"/>
        <v>2.1486179300609291E-3</v>
      </c>
      <c r="J121" s="1460">
        <f t="shared" si="45"/>
        <v>2.1993401979406176E-3</v>
      </c>
      <c r="K121" s="1460">
        <f t="shared" si="45"/>
        <v>2.1733368672144184E-3</v>
      </c>
      <c r="L121" s="1460">
        <f t="shared" si="45"/>
        <v>2.1753561762753409E-3</v>
      </c>
      <c r="M121" s="1460">
        <f t="shared" si="45"/>
        <v>2.2309884292827371E-3</v>
      </c>
      <c r="N121" s="1460">
        <f t="shared" si="45"/>
        <v>2.2367396809443571E-3</v>
      </c>
      <c r="O121" s="1460">
        <f t="shared" si="45"/>
        <v>2.2235853396718294E-3</v>
      </c>
      <c r="P121" s="1460">
        <f t="shared" si="45"/>
        <v>2.1747818247720659E-3</v>
      </c>
      <c r="Q121" s="1460">
        <f t="shared" si="45"/>
        <v>2.1390765405464702E-3</v>
      </c>
      <c r="R121" s="1460">
        <f t="shared" si="45"/>
        <v>2.1315221416378402E-3</v>
      </c>
      <c r="S121" s="1461">
        <f t="shared" si="45"/>
        <v>2.122651982770105E-3</v>
      </c>
      <c r="T121" s="613" t="e">
        <f t="shared" si="45"/>
        <v>#DIV/0!</v>
      </c>
      <c r="U121" s="602" t="e">
        <f t="shared" si="44"/>
        <v>#DIV/0!</v>
      </c>
      <c r="V121" s="602" t="e">
        <f t="shared" si="44"/>
        <v>#DIV/0!</v>
      </c>
      <c r="W121" s="602" t="e">
        <f t="shared" si="44"/>
        <v>#DIV/0!</v>
      </c>
      <c r="X121" s="602" t="e">
        <f>W121</f>
        <v>#DIV/0!</v>
      </c>
      <c r="Y121" s="602" t="e">
        <f t="shared" si="44"/>
        <v>#DIV/0!</v>
      </c>
      <c r="Z121" s="602" t="e">
        <f t="shared" si="44"/>
        <v>#DIV/0!</v>
      </c>
      <c r="AA121" s="602" t="e">
        <f t="shared" si="44"/>
        <v>#DIV/0!</v>
      </c>
      <c r="AB121" s="602" t="e">
        <f t="shared" si="44"/>
        <v>#DIV/0!</v>
      </c>
      <c r="AC121" s="604" t="e">
        <f t="shared" si="44"/>
        <v>#DIV/0!</v>
      </c>
    </row>
    <row r="122" spans="4:29" x14ac:dyDescent="0.35">
      <c r="D122" s="719" t="s">
        <v>546</v>
      </c>
      <c r="F122" s="624">
        <f t="shared" ref="F122:T122" si="46">F26/F117</f>
        <v>9.3886356178920244E-2</v>
      </c>
      <c r="G122" s="1460">
        <f t="shared" si="46"/>
        <v>9.4826752841419115E-2</v>
      </c>
      <c r="H122" s="1460">
        <f t="shared" si="46"/>
        <v>9.3898351460428214E-2</v>
      </c>
      <c r="I122" s="1460">
        <f t="shared" si="46"/>
        <v>9.5518067616792005E-2</v>
      </c>
      <c r="J122" s="1460">
        <f t="shared" si="46"/>
        <v>9.9143281889377613E-2</v>
      </c>
      <c r="K122" s="1460">
        <f t="shared" si="46"/>
        <v>9.7117877223098684E-2</v>
      </c>
      <c r="L122" s="1460">
        <f t="shared" si="46"/>
        <v>9.6764020293432063E-2</v>
      </c>
      <c r="M122" s="1460">
        <f t="shared" si="46"/>
        <v>9.4306578990846907E-2</v>
      </c>
      <c r="N122" s="1460">
        <f t="shared" si="46"/>
        <v>9.4817719037531223E-2</v>
      </c>
      <c r="O122" s="1460">
        <f t="shared" si="46"/>
        <v>9.309296291020791E-2</v>
      </c>
      <c r="P122" s="1460">
        <f t="shared" si="46"/>
        <v>9.236590386245308E-2</v>
      </c>
      <c r="Q122" s="1460">
        <f t="shared" si="46"/>
        <v>9.1716642567615622E-2</v>
      </c>
      <c r="R122" s="1460">
        <f t="shared" si="46"/>
        <v>9.072897174604462E-2</v>
      </c>
      <c r="S122" s="1461">
        <f t="shared" si="46"/>
        <v>9.0197062025799898E-2</v>
      </c>
      <c r="T122" s="613" t="e">
        <f t="shared" si="46"/>
        <v>#DIV/0!</v>
      </c>
      <c r="U122" s="602" t="e">
        <f t="shared" si="44"/>
        <v>#DIV/0!</v>
      </c>
      <c r="V122" s="602" t="e">
        <f t="shared" si="44"/>
        <v>#DIV/0!</v>
      </c>
      <c r="W122" s="602" t="e">
        <f t="shared" si="44"/>
        <v>#DIV/0!</v>
      </c>
      <c r="X122" s="602" t="e">
        <f>W122</f>
        <v>#DIV/0!</v>
      </c>
      <c r="Y122" s="602" t="e">
        <f t="shared" si="44"/>
        <v>#DIV/0!</v>
      </c>
      <c r="Z122" s="602" t="e">
        <f t="shared" si="44"/>
        <v>#DIV/0!</v>
      </c>
      <c r="AA122" s="602" t="e">
        <f t="shared" si="44"/>
        <v>#DIV/0!</v>
      </c>
      <c r="AB122" s="602" t="e">
        <f t="shared" si="44"/>
        <v>#DIV/0!</v>
      </c>
      <c r="AC122" s="604" t="e">
        <f t="shared" si="44"/>
        <v>#DIV/0!</v>
      </c>
    </row>
    <row r="123" spans="4:29" x14ac:dyDescent="0.35">
      <c r="D123" s="720" t="s">
        <v>584</v>
      </c>
      <c r="E123" s="245"/>
      <c r="F123" s="178">
        <f t="shared" ref="F123:S123" si="47">F27/F118</f>
        <v>3.9797008547008544E-2</v>
      </c>
      <c r="G123" s="179">
        <f t="shared" si="47"/>
        <v>3.9001062699256114E-2</v>
      </c>
      <c r="H123" s="179">
        <f t="shared" si="47"/>
        <v>3.728410383700486E-2</v>
      </c>
      <c r="I123" s="179">
        <f t="shared" si="47"/>
        <v>3.8990957783793127E-2</v>
      </c>
      <c r="J123" s="179">
        <f t="shared" si="47"/>
        <v>4.0698766514307184E-2</v>
      </c>
      <c r="K123" s="179">
        <f t="shared" si="47"/>
        <v>3.9635490666797321E-2</v>
      </c>
      <c r="L123" s="179">
        <f t="shared" si="47"/>
        <v>4.3545239806922049E-2</v>
      </c>
      <c r="M123" s="179">
        <f t="shared" si="47"/>
        <v>4.0876997398736528E-2</v>
      </c>
      <c r="N123" s="179">
        <f t="shared" si="47"/>
        <v>3.7514021021145774E-2</v>
      </c>
      <c r="O123" s="179">
        <f t="shared" si="47"/>
        <v>3.8818981824163171E-2</v>
      </c>
      <c r="P123" s="179">
        <f t="shared" si="47"/>
        <v>4.52275703994761E-2</v>
      </c>
      <c r="Q123" s="179">
        <f t="shared" si="47"/>
        <v>6.8195831791836234E-2</v>
      </c>
      <c r="R123" s="616">
        <f t="shared" si="47"/>
        <v>4.3247075505140016E-2</v>
      </c>
      <c r="S123" s="616">
        <f t="shared" si="47"/>
        <v>3.9793200689331037E-2</v>
      </c>
      <c r="T123" s="606">
        <f>S123</f>
        <v>3.9793200689331037E-2</v>
      </c>
      <c r="U123" s="605">
        <f t="shared" ref="U123:AC123" si="48">T123</f>
        <v>3.9793200689331037E-2</v>
      </c>
      <c r="V123" s="605">
        <f t="shared" si="48"/>
        <v>3.9793200689331037E-2</v>
      </c>
      <c r="W123" s="605">
        <f t="shared" si="48"/>
        <v>3.9793200689331037E-2</v>
      </c>
      <c r="X123" s="605">
        <f>W123</f>
        <v>3.9793200689331037E-2</v>
      </c>
      <c r="Y123" s="605">
        <f t="shared" si="48"/>
        <v>3.9793200689331037E-2</v>
      </c>
      <c r="Z123" s="605">
        <f t="shared" si="48"/>
        <v>3.9793200689331037E-2</v>
      </c>
      <c r="AA123" s="605">
        <f t="shared" si="48"/>
        <v>3.9793200689331037E-2</v>
      </c>
      <c r="AB123" s="605">
        <f t="shared" si="48"/>
        <v>3.9793200689331037E-2</v>
      </c>
      <c r="AC123" s="606">
        <f t="shared" si="48"/>
        <v>3.9793200689331037E-2</v>
      </c>
    </row>
    <row r="127" spans="4:29" x14ac:dyDescent="0.35">
      <c r="D127" s="1214" t="s">
        <v>1817</v>
      </c>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4"/>
      <c r="AB127" s="1214"/>
      <c r="AC127" s="1214"/>
    </row>
    <row r="128" spans="4:29" x14ac:dyDescent="0.35">
      <c r="D128" s="598" t="s">
        <v>1809</v>
      </c>
      <c r="E128" s="83"/>
      <c r="F128" s="263"/>
      <c r="G128" s="263"/>
      <c r="H128" s="263"/>
      <c r="I128" s="263"/>
      <c r="J128" s="263"/>
      <c r="K128" s="263"/>
      <c r="L128" s="263"/>
      <c r="M128" s="263"/>
      <c r="N128" s="263"/>
      <c r="O128" s="263"/>
      <c r="P128" s="263"/>
      <c r="Q128" s="263"/>
      <c r="R128" s="263"/>
      <c r="S128" s="556"/>
      <c r="T128" s="1466"/>
      <c r="U128" s="225"/>
      <c r="V128" s="225"/>
      <c r="W128" s="225"/>
      <c r="X128" s="225"/>
      <c r="Y128" s="225"/>
      <c r="Z128" s="225"/>
      <c r="AA128" s="225"/>
      <c r="AB128" s="225"/>
      <c r="AC128" s="226"/>
    </row>
    <row r="129" spans="4:29" x14ac:dyDescent="0.35">
      <c r="D129" s="668" t="s">
        <v>578</v>
      </c>
      <c r="E129" s="272"/>
      <c r="F129" s="161"/>
      <c r="G129" s="161">
        <f>(G111/F111)^4-1</f>
        <v>3.4698380469732282E-2</v>
      </c>
      <c r="H129" s="161">
        <f t="shared" ref="H129:S129" si="49">(H111/G111)^4-1</f>
        <v>4.9923760445010679E-2</v>
      </c>
      <c r="I129" s="161">
        <f t="shared" si="49"/>
        <v>4.3205695538489852E-2</v>
      </c>
      <c r="J129" s="161">
        <f t="shared" si="49"/>
        <v>-0.21111288829196628</v>
      </c>
      <c r="K129" s="161">
        <f t="shared" si="49"/>
        <v>0.2039893976975653</v>
      </c>
      <c r="L129" s="161">
        <f t="shared" si="49"/>
        <v>0.10465949131480801</v>
      </c>
      <c r="M129" s="161">
        <f t="shared" si="49"/>
        <v>1.0558802843273263E-2</v>
      </c>
      <c r="N129" s="161">
        <f t="shared" si="49"/>
        <v>0.12746550927768152</v>
      </c>
      <c r="O129" s="161">
        <f t="shared" si="49"/>
        <v>8.7747356366950635E-2</v>
      </c>
      <c r="P129" s="161">
        <f t="shared" si="49"/>
        <v>9.6215323061816349E-2</v>
      </c>
      <c r="Q129" s="161">
        <f t="shared" si="49"/>
        <v>5.3721843023527782E-2</v>
      </c>
      <c r="R129" s="161">
        <f t="shared" si="49"/>
        <v>5.8676051825151676E-2</v>
      </c>
      <c r="S129" s="161">
        <f t="shared" si="49"/>
        <v>6.5158013742018017E-2</v>
      </c>
      <c r="T129" s="1467"/>
      <c r="U129" s="329"/>
      <c r="V129" s="329"/>
      <c r="W129" s="329"/>
      <c r="X129" s="329"/>
      <c r="Y129" s="329"/>
      <c r="Z129" s="329"/>
      <c r="AA129" s="329"/>
      <c r="AB129" s="329"/>
      <c r="AC129" s="341"/>
    </row>
    <row r="130" spans="4:29" x14ac:dyDescent="0.35">
      <c r="D130" s="725" t="s">
        <v>852</v>
      </c>
      <c r="E130" s="520"/>
      <c r="F130" s="161"/>
      <c r="G130" s="161">
        <f t="shared" ref="G130:S130" si="50">(G112/F112)^4-1</f>
        <v>2.4257130985616993E-2</v>
      </c>
      <c r="H130" s="161">
        <f t="shared" si="50"/>
        <v>6.4229034399477136E-2</v>
      </c>
      <c r="I130" s="161">
        <f t="shared" si="50"/>
        <v>6.3479192755366398E-2</v>
      </c>
      <c r="J130" s="161">
        <f t="shared" si="50"/>
        <v>-0.23748829732952048</v>
      </c>
      <c r="K130" s="161">
        <f t="shared" si="50"/>
        <v>0.20508073180198716</v>
      </c>
      <c r="L130" s="161">
        <f t="shared" si="50"/>
        <v>0.1611535586248285</v>
      </c>
      <c r="M130" s="161">
        <f t="shared" si="50"/>
        <v>2.873742311872407E-2</v>
      </c>
      <c r="N130" s="161">
        <f t="shared" si="50"/>
        <v>0.12186398788851394</v>
      </c>
      <c r="O130" s="161">
        <f t="shared" si="50"/>
        <v>0.11710776964011727</v>
      </c>
      <c r="P130" s="161">
        <f t="shared" si="50"/>
        <v>0.13100342179485458</v>
      </c>
      <c r="Q130" s="161">
        <f t="shared" si="50"/>
        <v>6.8458061444058416E-2</v>
      </c>
      <c r="R130" s="161">
        <f t="shared" si="50"/>
        <v>4.9374455409313622E-2</v>
      </c>
      <c r="S130" s="161">
        <f t="shared" si="50"/>
        <v>6.9517271813918535E-2</v>
      </c>
      <c r="T130" s="1467"/>
      <c r="U130" s="329"/>
      <c r="V130" s="329"/>
      <c r="W130" s="329"/>
      <c r="X130" s="329"/>
      <c r="Y130" s="329"/>
      <c r="Z130" s="329"/>
      <c r="AA130" s="329"/>
      <c r="AB130" s="329"/>
      <c r="AC130" s="341"/>
    </row>
    <row r="131" spans="4:29" x14ac:dyDescent="0.35">
      <c r="D131" s="725" t="s">
        <v>579</v>
      </c>
      <c r="E131" s="520"/>
      <c r="F131" s="161"/>
      <c r="G131" s="161">
        <f t="shared" ref="G131:S131" si="51">(G113/F113)^4-1</f>
        <v>0.10578312944398705</v>
      </c>
      <c r="H131" s="161">
        <f t="shared" si="51"/>
        <v>4.1744934553236801E-2</v>
      </c>
      <c r="I131" s="161">
        <f t="shared" si="51"/>
        <v>2.7986793488743444E-2</v>
      </c>
      <c r="J131" s="161">
        <f t="shared" si="51"/>
        <v>-0.34970130690663714</v>
      </c>
      <c r="K131" s="161">
        <f t="shared" si="51"/>
        <v>0.98547836855144699</v>
      </c>
      <c r="L131" s="161">
        <f t="shared" si="51"/>
        <v>-0.1085469464882084</v>
      </c>
      <c r="M131" s="161">
        <f t="shared" si="51"/>
        <v>-0.10596654721724863</v>
      </c>
      <c r="N131" s="161">
        <f t="shared" si="51"/>
        <v>0.32880103280025574</v>
      </c>
      <c r="O131" s="161">
        <f t="shared" si="51"/>
        <v>3.6044774195732154E-2</v>
      </c>
      <c r="P131" s="161">
        <f t="shared" si="51"/>
        <v>-6.4550024300153996E-3</v>
      </c>
      <c r="Q131" s="161">
        <f t="shared" si="51"/>
        <v>4.9154478043828886E-2</v>
      </c>
      <c r="R131" s="161">
        <f t="shared" si="51"/>
        <v>5.4060298595324685E-2</v>
      </c>
      <c r="S131" s="161">
        <f t="shared" si="51"/>
        <v>6.2660845264692622E-2</v>
      </c>
      <c r="T131" s="1467"/>
      <c r="U131" s="329"/>
      <c r="V131" s="329"/>
      <c r="W131" s="329"/>
      <c r="X131" s="329"/>
      <c r="Y131" s="329"/>
      <c r="Z131" s="329"/>
      <c r="AA131" s="329"/>
      <c r="AB131" s="329"/>
      <c r="AC131" s="341"/>
    </row>
    <row r="132" spans="4:29" x14ac:dyDescent="0.35">
      <c r="D132" s="725" t="s">
        <v>580</v>
      </c>
      <c r="E132" s="520"/>
      <c r="F132" s="161"/>
      <c r="G132" s="161">
        <f t="shared" ref="G132:S132" si="52">(G114/F114)^4-1</f>
        <v>1.7350665401546284E-2</v>
      </c>
      <c r="H132" s="161">
        <f t="shared" si="52"/>
        <v>5.1903311323329371E-2</v>
      </c>
      <c r="I132" s="161">
        <f t="shared" si="52"/>
        <v>8.5072603128263369E-2</v>
      </c>
      <c r="J132" s="161">
        <f t="shared" si="52"/>
        <v>-2.5764424405961162E-2</v>
      </c>
      <c r="K132" s="161">
        <f t="shared" si="52"/>
        <v>2.6445784830072538E-2</v>
      </c>
      <c r="L132" s="161">
        <f t="shared" si="52"/>
        <v>-3.4420635784840226E-2</v>
      </c>
      <c r="M132" s="161">
        <f t="shared" si="52"/>
        <v>1.7423885940878847E-2</v>
      </c>
      <c r="N132" s="161">
        <f t="shared" si="52"/>
        <v>-3.2403751505907019E-2</v>
      </c>
      <c r="O132" s="161">
        <f t="shared" si="52"/>
        <v>5.2582897021147934E-2</v>
      </c>
      <c r="P132" s="161">
        <f t="shared" si="52"/>
        <v>9.6870587526498575E-2</v>
      </c>
      <c r="Q132" s="161">
        <f t="shared" si="52"/>
        <v>2.8973729785401803E-2</v>
      </c>
      <c r="R132" s="161">
        <f t="shared" si="52"/>
        <v>0.17714811192574409</v>
      </c>
      <c r="S132" s="161">
        <f t="shared" si="52"/>
        <v>0.101607744588458</v>
      </c>
      <c r="T132" s="1467"/>
      <c r="U132" s="329"/>
      <c r="V132" s="329"/>
      <c r="W132" s="329"/>
      <c r="X132" s="329"/>
      <c r="Y132" s="329"/>
      <c r="Z132" s="329"/>
      <c r="AA132" s="329"/>
      <c r="AB132" s="329"/>
      <c r="AC132" s="341"/>
    </row>
    <row r="133" spans="4:29" x14ac:dyDescent="0.35">
      <c r="D133" s="725" t="s">
        <v>581</v>
      </c>
      <c r="E133" s="520"/>
      <c r="F133" s="161"/>
      <c r="G133" s="161">
        <f t="shared" ref="G133:S133" si="53">(G115/F115)^4-1</f>
        <v>3.4783891285258939E-2</v>
      </c>
      <c r="H133" s="161">
        <f t="shared" si="53"/>
        <v>1.1995399534317164E-2</v>
      </c>
      <c r="I133" s="161">
        <f t="shared" si="53"/>
        <v>-1.72401618421828E-2</v>
      </c>
      <c r="J133" s="161">
        <f t="shared" si="53"/>
        <v>-8.3739764588403598E-2</v>
      </c>
      <c r="K133" s="161">
        <f t="shared" si="53"/>
        <v>-4.1593591819862108E-2</v>
      </c>
      <c r="L133" s="161">
        <f t="shared" si="53"/>
        <v>0.10028621896444267</v>
      </c>
      <c r="M133" s="161">
        <f t="shared" si="53"/>
        <v>1.8865576255239436E-2</v>
      </c>
      <c r="N133" s="161">
        <f t="shared" si="53"/>
        <v>8.4683729354623427E-2</v>
      </c>
      <c r="O133" s="161">
        <f t="shared" si="53"/>
        <v>3.3706346430805167E-2</v>
      </c>
      <c r="P133" s="161">
        <f t="shared" si="53"/>
        <v>4.492129388861188E-2</v>
      </c>
      <c r="Q133" s="161">
        <f t="shared" si="53"/>
        <v>1.4067779320086293E-2</v>
      </c>
      <c r="R133" s="161">
        <f t="shared" si="53"/>
        <v>6.6555550049419487E-2</v>
      </c>
      <c r="S133" s="161">
        <f t="shared" si="53"/>
        <v>4.3795001871779204E-2</v>
      </c>
      <c r="T133" s="1467"/>
      <c r="U133" s="329"/>
      <c r="V133" s="329"/>
      <c r="W133" s="329"/>
      <c r="X133" s="329"/>
      <c r="Y133" s="329"/>
      <c r="Z133" s="329"/>
      <c r="AA133" s="329"/>
      <c r="AB133" s="329"/>
      <c r="AC133" s="341"/>
    </row>
    <row r="134" spans="4:29" x14ac:dyDescent="0.35">
      <c r="D134" s="668" t="s">
        <v>566</v>
      </c>
      <c r="E134" s="272"/>
      <c r="F134" s="161"/>
      <c r="G134" s="161">
        <f t="shared" ref="G134:S134" si="54">(G116/F116)^4-1</f>
        <v>2.4257130985616993E-2</v>
      </c>
      <c r="H134" s="161">
        <f t="shared" si="54"/>
        <v>6.4229034399477136E-2</v>
      </c>
      <c r="I134" s="161">
        <f t="shared" si="54"/>
        <v>6.3479192755366398E-2</v>
      </c>
      <c r="J134" s="161">
        <f t="shared" si="54"/>
        <v>-0.23748829732952048</v>
      </c>
      <c r="K134" s="161">
        <f t="shared" si="54"/>
        <v>0.20508073180198716</v>
      </c>
      <c r="L134" s="161">
        <f t="shared" si="54"/>
        <v>0.1611535586248285</v>
      </c>
      <c r="M134" s="161">
        <f t="shared" si="54"/>
        <v>2.873742311872407E-2</v>
      </c>
      <c r="N134" s="161">
        <f t="shared" si="54"/>
        <v>0.12186398788851394</v>
      </c>
      <c r="O134" s="161">
        <f t="shared" si="54"/>
        <v>0.11710776964011727</v>
      </c>
      <c r="P134" s="161">
        <f t="shared" si="54"/>
        <v>0.13100342179485458</v>
      </c>
      <c r="Q134" s="161">
        <f t="shared" si="54"/>
        <v>6.8458061444058416E-2</v>
      </c>
      <c r="R134" s="161">
        <f t="shared" si="54"/>
        <v>4.9374455409313622E-2</v>
      </c>
      <c r="S134" s="161">
        <f t="shared" si="54"/>
        <v>6.9517271813918535E-2</v>
      </c>
      <c r="T134" s="1467"/>
      <c r="U134" s="329"/>
      <c r="V134" s="329"/>
      <c r="W134" s="329"/>
      <c r="X134" s="329"/>
      <c r="Y134" s="329"/>
      <c r="Z134" s="329"/>
      <c r="AA134" s="329"/>
      <c r="AB134" s="329"/>
      <c r="AC134" s="341"/>
    </row>
    <row r="135" spans="4:29" x14ac:dyDescent="0.35">
      <c r="D135" s="668" t="s">
        <v>567</v>
      </c>
      <c r="E135" s="520"/>
      <c r="F135" s="161"/>
      <c r="G135" s="161">
        <f t="shared" ref="G135:S135" si="55">(G117/F117)^4-1</f>
        <v>4.5002423223402754E-2</v>
      </c>
      <c r="H135" s="161">
        <f t="shared" si="55"/>
        <v>3.8323064342955293E-2</v>
      </c>
      <c r="I135" s="161">
        <f t="shared" si="55"/>
        <v>-4.8032396760868568E-2</v>
      </c>
      <c r="J135" s="161">
        <f t="shared" si="55"/>
        <v>-0.33300498256979416</v>
      </c>
      <c r="K135" s="161">
        <f t="shared" si="55"/>
        <v>0.47798765988551417</v>
      </c>
      <c r="L135" s="161">
        <f t="shared" si="55"/>
        <v>5.5987082820652123E-2</v>
      </c>
      <c r="M135" s="161">
        <f t="shared" si="55"/>
        <v>0.15819874984710092</v>
      </c>
      <c r="N135" s="161">
        <f t="shared" si="55"/>
        <v>0.1928451879925992</v>
      </c>
      <c r="O135" s="161">
        <f t="shared" si="55"/>
        <v>8.7145430326741824E-2</v>
      </c>
      <c r="P135" s="161">
        <f t="shared" si="55"/>
        <v>9.5040522503139657E-2</v>
      </c>
      <c r="Q135" s="161">
        <f t="shared" si="55"/>
        <v>8.9242780231497676E-2</v>
      </c>
      <c r="R135" s="161">
        <f t="shared" si="55"/>
        <v>9.481178927373124E-2</v>
      </c>
      <c r="S135" s="161">
        <f t="shared" si="55"/>
        <v>6.6821460633025076E-2</v>
      </c>
      <c r="T135" s="1467"/>
      <c r="U135" s="329"/>
      <c r="V135" s="329"/>
      <c r="W135" s="329"/>
      <c r="X135" s="329"/>
      <c r="Y135" s="329"/>
      <c r="Z135" s="329"/>
      <c r="AA135" s="329"/>
      <c r="AB135" s="329"/>
      <c r="AC135" s="341"/>
    </row>
    <row r="136" spans="4:29" x14ac:dyDescent="0.35">
      <c r="D136" s="599" t="s">
        <v>582</v>
      </c>
      <c r="E136" s="514"/>
      <c r="F136" s="179"/>
      <c r="G136" s="179">
        <f t="shared" ref="G136:S136" si="56">(G118/F118)^4-1</f>
        <v>2.1539346032199758E-2</v>
      </c>
      <c r="H136" s="179">
        <f t="shared" si="56"/>
        <v>0.11472501548972591</v>
      </c>
      <c r="I136" s="179">
        <f t="shared" si="56"/>
        <v>-0.35009057164746982</v>
      </c>
      <c r="J136" s="179">
        <f t="shared" si="56"/>
        <v>-0.28413788741165624</v>
      </c>
      <c r="K136" s="179">
        <f t="shared" si="56"/>
        <v>1.667649037274042</v>
      </c>
      <c r="L136" s="179">
        <f t="shared" si="56"/>
        <v>-0.17136450639292922</v>
      </c>
      <c r="M136" s="179">
        <f t="shared" si="56"/>
        <v>0.49346165457827729</v>
      </c>
      <c r="N136" s="179">
        <f t="shared" si="56"/>
        <v>0.56301012914725668</v>
      </c>
      <c r="O136" s="179">
        <f t="shared" si="56"/>
        <v>4.1681341019436546E-2</v>
      </c>
      <c r="P136" s="179">
        <f t="shared" si="56"/>
        <v>1.8883812263239985E-2</v>
      </c>
      <c r="Q136" s="179">
        <f t="shared" si="56"/>
        <v>-1.7080068525602621E-2</v>
      </c>
      <c r="R136" s="179">
        <f t="shared" si="56"/>
        <v>0.18639186970056576</v>
      </c>
      <c r="S136" s="179">
        <f t="shared" si="56"/>
        <v>2.2720498509915421E-2</v>
      </c>
      <c r="T136" s="1468"/>
      <c r="U136" s="255"/>
      <c r="V136" s="255"/>
      <c r="W136" s="255"/>
      <c r="X136" s="255"/>
      <c r="Y136" s="255"/>
      <c r="Z136" s="255"/>
      <c r="AA136" s="255"/>
      <c r="AB136" s="255"/>
      <c r="AC136" s="256"/>
    </row>
    <row r="139" spans="4:29" x14ac:dyDescent="0.35">
      <c r="D139" s="1214" t="s">
        <v>1818</v>
      </c>
      <c r="E139" s="1214"/>
      <c r="F139" s="1214"/>
      <c r="G139" s="1214"/>
      <c r="H139" s="1214"/>
      <c r="I139" s="1214"/>
      <c r="J139" s="1214"/>
      <c r="K139" s="1214"/>
      <c r="L139" s="1214"/>
      <c r="M139" s="1214"/>
      <c r="N139" s="1214"/>
      <c r="O139" s="1214"/>
      <c r="P139" s="1214"/>
      <c r="Q139" s="1462"/>
      <c r="R139" s="1462"/>
      <c r="S139" s="1462"/>
      <c r="T139" s="1462"/>
      <c r="U139" s="1214"/>
      <c r="V139" s="1214"/>
      <c r="W139" s="1214"/>
      <c r="X139" s="1214"/>
      <c r="Y139" s="1214"/>
      <c r="Z139" s="1214"/>
      <c r="AA139" s="1214"/>
      <c r="AB139" s="1214"/>
      <c r="AC139" s="1214"/>
    </row>
    <row r="140" spans="4:29" x14ac:dyDescent="0.35">
      <c r="D140" s="1210" t="s">
        <v>975</v>
      </c>
      <c r="E140" s="1215"/>
      <c r="F140" s="1114">
        <v>2019</v>
      </c>
      <c r="G140" s="1115"/>
      <c r="H140" s="1122"/>
      <c r="I140" s="1114">
        <v>2020</v>
      </c>
      <c r="J140" s="1115"/>
      <c r="K140" s="1115"/>
      <c r="L140" s="1122"/>
      <c r="M140" s="1114">
        <v>2021</v>
      </c>
      <c r="N140" s="1115"/>
      <c r="O140" s="1115"/>
      <c r="P140" s="1115"/>
      <c r="Q140" s="1098">
        <v>2022</v>
      </c>
      <c r="R140" s="1099"/>
      <c r="S140" s="1099"/>
      <c r="T140" s="1308"/>
      <c r="U140" s="1277">
        <v>2023</v>
      </c>
      <c r="V140" s="1146"/>
      <c r="W140" s="1146"/>
      <c r="X140" s="1147"/>
      <c r="Y140" s="1145">
        <v>2024</v>
      </c>
      <c r="Z140" s="1146"/>
      <c r="AA140" s="1146"/>
      <c r="AB140" s="1146"/>
      <c r="AC140" s="239">
        <v>2025</v>
      </c>
    </row>
    <row r="141" spans="4:29" x14ac:dyDescent="0.35">
      <c r="D141" s="1216"/>
      <c r="E141" s="1217"/>
      <c r="F141" s="149" t="s">
        <v>329</v>
      </c>
      <c r="G141" s="148" t="s">
        <v>238</v>
      </c>
      <c r="H141" s="198" t="s">
        <v>327</v>
      </c>
      <c r="I141" s="149" t="s">
        <v>328</v>
      </c>
      <c r="J141" s="148" t="s">
        <v>329</v>
      </c>
      <c r="K141" s="148" t="s">
        <v>238</v>
      </c>
      <c r="L141" s="198" t="s">
        <v>327</v>
      </c>
      <c r="M141" s="149" t="s">
        <v>328</v>
      </c>
      <c r="N141" s="148" t="s">
        <v>329</v>
      </c>
      <c r="O141" s="148" t="s">
        <v>238</v>
      </c>
      <c r="P141" s="148" t="s">
        <v>327</v>
      </c>
      <c r="Q141" s="1051" t="s">
        <v>328</v>
      </c>
      <c r="R141" s="1039" t="s">
        <v>329</v>
      </c>
      <c r="S141" s="1039" t="s">
        <v>238</v>
      </c>
      <c r="T141" s="1052" t="s">
        <v>327</v>
      </c>
      <c r="U141" s="1282" t="s">
        <v>328</v>
      </c>
      <c r="V141" s="329" t="s">
        <v>329</v>
      </c>
      <c r="W141" s="329" t="s">
        <v>238</v>
      </c>
      <c r="X141" s="341" t="s">
        <v>327</v>
      </c>
      <c r="Y141" s="328" t="s">
        <v>328</v>
      </c>
      <c r="Z141" s="230" t="s">
        <v>329</v>
      </c>
      <c r="AA141" s="329" t="s">
        <v>238</v>
      </c>
      <c r="AB141" s="329" t="s">
        <v>327</v>
      </c>
      <c r="AC141" s="356" t="s">
        <v>328</v>
      </c>
    </row>
    <row r="142" spans="4:29" x14ac:dyDescent="0.35">
      <c r="D142" s="738" t="s">
        <v>565</v>
      </c>
      <c r="E142" s="695"/>
      <c r="F142" s="1311">
        <f>F143+F144</f>
        <v>14660.3</v>
      </c>
      <c r="G142" s="1312">
        <f t="shared" ref="G142:P142" si="57">G143+G144</f>
        <v>14748</v>
      </c>
      <c r="H142" s="1312">
        <f t="shared" si="57"/>
        <v>14896.1</v>
      </c>
      <c r="I142" s="1312">
        <f t="shared" si="57"/>
        <v>5492.6</v>
      </c>
      <c r="J142" s="1312">
        <f t="shared" si="57"/>
        <v>14127</v>
      </c>
      <c r="K142" s="1312">
        <f t="shared" si="57"/>
        <v>14803.099999999999</v>
      </c>
      <c r="L142" s="1312">
        <f t="shared" si="57"/>
        <v>15014.2</v>
      </c>
      <c r="M142" s="1312">
        <f t="shared" si="57"/>
        <v>15152.900000000001</v>
      </c>
      <c r="N142" s="1312">
        <f t="shared" si="57"/>
        <v>15654.4</v>
      </c>
      <c r="O142" s="1312">
        <f t="shared" si="57"/>
        <v>15799.3</v>
      </c>
      <c r="P142" s="1312">
        <f t="shared" si="57"/>
        <v>15983.8</v>
      </c>
      <c r="Q142" s="1312">
        <f>Q143+Q144</f>
        <v>16571.400000000001</v>
      </c>
      <c r="R142" s="1312">
        <f t="shared" ref="R142:S142" si="58">R143+R144</f>
        <v>16848</v>
      </c>
      <c r="S142" s="1312">
        <f t="shared" si="58"/>
        <v>17094.3</v>
      </c>
      <c r="T142" s="1457">
        <f>S142*(1+T150)^(1/4)</f>
        <v>17315.8</v>
      </c>
      <c r="U142" s="726">
        <f t="shared" ref="U142:AC142" si="59">T142*(1+U150)^(1/4)</f>
        <v>17535.5</v>
      </c>
      <c r="V142" s="726">
        <f t="shared" si="59"/>
        <v>17756.5</v>
      </c>
      <c r="W142" s="726">
        <f t="shared" si="59"/>
        <v>17973.8</v>
      </c>
      <c r="X142" s="726">
        <f t="shared" si="59"/>
        <v>18172.2</v>
      </c>
      <c r="Y142" s="726">
        <f t="shared" si="59"/>
        <v>18369</v>
      </c>
      <c r="Z142" s="726">
        <f t="shared" si="59"/>
        <v>18550.099999999999</v>
      </c>
      <c r="AA142" s="726">
        <f t="shared" si="59"/>
        <v>18735.8</v>
      </c>
      <c r="AB142" s="726">
        <f t="shared" si="59"/>
        <v>18924.199999999993</v>
      </c>
      <c r="AC142" s="727">
        <f t="shared" si="59"/>
        <v>19105.699999999997</v>
      </c>
    </row>
    <row r="143" spans="4:29" x14ac:dyDescent="0.35">
      <c r="D143" s="262" t="s">
        <v>566</v>
      </c>
      <c r="E143" s="471"/>
      <c r="F143" s="419">
        <v>9274.9</v>
      </c>
      <c r="G143" s="1302">
        <v>9311.2999999999993</v>
      </c>
      <c r="H143" s="1302">
        <v>9422.5</v>
      </c>
      <c r="I143" s="1302">
        <v>0</v>
      </c>
      <c r="J143" s="1302">
        <v>8908.7999999999993</v>
      </c>
      <c r="K143" s="1302">
        <v>9343.2999999999993</v>
      </c>
      <c r="L143" s="1302">
        <v>9546</v>
      </c>
      <c r="M143" s="1302">
        <v>9702.2000000000007</v>
      </c>
      <c r="N143" s="1302">
        <v>9950.4</v>
      </c>
      <c r="O143" s="1302">
        <v>10175.1</v>
      </c>
      <c r="P143" s="1302">
        <v>10336.6</v>
      </c>
      <c r="Q143" s="1302">
        <v>10995.9</v>
      </c>
      <c r="R143" s="1302">
        <v>11172.6</v>
      </c>
      <c r="S143" s="1302">
        <v>11320.4</v>
      </c>
      <c r="T143" s="1458">
        <f>S143*(1+T151)^(1/4)</f>
        <v>11443.5</v>
      </c>
      <c r="U143" s="411">
        <f t="shared" ref="U143:AC143" si="60">T143*(1+U151)^(1/4)</f>
        <v>11560.2</v>
      </c>
      <c r="V143" s="411">
        <f t="shared" si="60"/>
        <v>11675.6</v>
      </c>
      <c r="W143" s="411">
        <f t="shared" si="60"/>
        <v>11786</v>
      </c>
      <c r="X143" s="411">
        <f t="shared" si="60"/>
        <v>11879</v>
      </c>
      <c r="Y143" s="411">
        <f t="shared" si="60"/>
        <v>11978</v>
      </c>
      <c r="Z143" s="411">
        <f t="shared" si="60"/>
        <v>12076.9</v>
      </c>
      <c r="AA143" s="411">
        <f t="shared" si="60"/>
        <v>12178.3</v>
      </c>
      <c r="AB143" s="411">
        <f t="shared" si="60"/>
        <v>12278.8</v>
      </c>
      <c r="AC143" s="412">
        <f t="shared" si="60"/>
        <v>12377.499999999998</v>
      </c>
    </row>
    <row r="144" spans="4:29" x14ac:dyDescent="0.35">
      <c r="D144" s="262" t="s">
        <v>974</v>
      </c>
      <c r="E144" s="471"/>
      <c r="F144" s="419">
        <v>5385.4</v>
      </c>
      <c r="G144" s="1302">
        <v>5436.7</v>
      </c>
      <c r="H144" s="1302">
        <v>5473.6</v>
      </c>
      <c r="I144" s="1302">
        <v>5492.6</v>
      </c>
      <c r="J144" s="1302">
        <v>5218.2</v>
      </c>
      <c r="K144" s="1302">
        <v>5459.8</v>
      </c>
      <c r="L144" s="1302">
        <v>5468.2</v>
      </c>
      <c r="M144" s="1302">
        <v>5450.7</v>
      </c>
      <c r="N144" s="1302">
        <v>5704</v>
      </c>
      <c r="O144" s="1302">
        <v>5624.2</v>
      </c>
      <c r="P144" s="1302">
        <v>5647.2</v>
      </c>
      <c r="Q144" s="1302">
        <v>5575.5</v>
      </c>
      <c r="R144" s="1302">
        <v>5675.4</v>
      </c>
      <c r="S144" s="1302">
        <v>5773.9</v>
      </c>
      <c r="T144" s="1458">
        <f t="shared" ref="T144:AC146" si="61">S144*(1+T152)^(1/4)</f>
        <v>5872.3</v>
      </c>
      <c r="U144" s="411">
        <f t="shared" si="61"/>
        <v>5975.3</v>
      </c>
      <c r="V144" s="411">
        <f t="shared" si="61"/>
        <v>6080.8999999999987</v>
      </c>
      <c r="W144" s="411">
        <f t="shared" si="61"/>
        <v>6187.7999999999993</v>
      </c>
      <c r="X144" s="411">
        <f t="shared" si="61"/>
        <v>6293.1999999999989</v>
      </c>
      <c r="Y144" s="411">
        <f t="shared" si="61"/>
        <v>6390.9999999999982</v>
      </c>
      <c r="Z144" s="411">
        <f t="shared" si="61"/>
        <v>6473.199999999998</v>
      </c>
      <c r="AA144" s="411">
        <f t="shared" si="61"/>
        <v>6557.4999999999982</v>
      </c>
      <c r="AB144" s="411">
        <f t="shared" si="61"/>
        <v>6645.3999999999969</v>
      </c>
      <c r="AC144" s="412">
        <f t="shared" si="61"/>
        <v>6728.199999999998</v>
      </c>
    </row>
    <row r="145" spans="3:30" x14ac:dyDescent="0.35">
      <c r="D145" s="264" t="s">
        <v>567</v>
      </c>
      <c r="E145" s="471"/>
      <c r="F145" s="480"/>
      <c r="G145" s="1398"/>
      <c r="H145" s="1302"/>
      <c r="I145" s="1302"/>
      <c r="J145" s="1302"/>
      <c r="K145" s="1302"/>
      <c r="L145" s="1302"/>
      <c r="M145" s="1302">
        <v>15041</v>
      </c>
      <c r="N145" s="1302">
        <v>15551</v>
      </c>
      <c r="O145" s="1302">
        <v>15824</v>
      </c>
      <c r="P145" s="1302">
        <v>16056</v>
      </c>
      <c r="Q145" s="1302">
        <v>16690.7</v>
      </c>
      <c r="R145" s="1302">
        <v>16993</v>
      </c>
      <c r="S145" s="1302">
        <v>17251.3</v>
      </c>
      <c r="T145" s="1458">
        <f t="shared" si="61"/>
        <v>17488.099999999999</v>
      </c>
      <c r="U145" s="411">
        <f t="shared" si="61"/>
        <v>17692.3</v>
      </c>
      <c r="V145" s="411">
        <f t="shared" si="61"/>
        <v>17892.600000000002</v>
      </c>
      <c r="W145" s="411">
        <f t="shared" si="61"/>
        <v>18086.300000000003</v>
      </c>
      <c r="X145" s="411">
        <f t="shared" si="61"/>
        <v>18268.200000000004</v>
      </c>
      <c r="Y145" s="411">
        <f t="shared" si="61"/>
        <v>18446.300000000003</v>
      </c>
      <c r="Z145" s="411">
        <f t="shared" si="61"/>
        <v>18612.400000000005</v>
      </c>
      <c r="AA145" s="411">
        <f t="shared" si="61"/>
        <v>18774.500000000004</v>
      </c>
      <c r="AB145" s="411">
        <f t="shared" si="61"/>
        <v>18946.900000000005</v>
      </c>
      <c r="AC145" s="412">
        <f t="shared" si="61"/>
        <v>19117.900000000005</v>
      </c>
    </row>
    <row r="146" spans="3:30" x14ac:dyDescent="0.35">
      <c r="C146" s="36"/>
      <c r="D146" s="265" t="s">
        <v>574</v>
      </c>
      <c r="E146" s="475"/>
      <c r="F146" s="501"/>
      <c r="G146" s="475"/>
      <c r="H146" s="622"/>
      <c r="I146" s="622"/>
      <c r="J146" s="622"/>
      <c r="K146" s="622"/>
      <c r="L146" s="622"/>
      <c r="M146" s="622">
        <v>1874</v>
      </c>
      <c r="N146" s="622">
        <v>2307</v>
      </c>
      <c r="O146" s="622">
        <v>2443</v>
      </c>
      <c r="P146" s="622">
        <v>2460</v>
      </c>
      <c r="Q146" s="622">
        <v>2329.5</v>
      </c>
      <c r="R146" s="622">
        <v>2420.1999999999998</v>
      </c>
      <c r="S146" s="622">
        <v>2468.6999999999998</v>
      </c>
      <c r="T146" s="1459">
        <f t="shared" si="61"/>
        <v>2486.6999999999998</v>
      </c>
      <c r="U146" s="625">
        <f t="shared" si="61"/>
        <v>2482.1999999999998</v>
      </c>
      <c r="V146" s="625">
        <f t="shared" si="61"/>
        <v>2468.8000000000002</v>
      </c>
      <c r="W146" s="625">
        <f t="shared" si="61"/>
        <v>2453.8000000000002</v>
      </c>
      <c r="X146" s="625">
        <f t="shared" si="61"/>
        <v>2440.6999999999998</v>
      </c>
      <c r="Y146" s="625">
        <f t="shared" si="61"/>
        <v>2429.4</v>
      </c>
      <c r="Z146" s="625">
        <f t="shared" si="61"/>
        <v>2426.5</v>
      </c>
      <c r="AA146" s="625">
        <f t="shared" si="61"/>
        <v>2418</v>
      </c>
      <c r="AB146" s="625">
        <f t="shared" si="61"/>
        <v>2431.3000000000002</v>
      </c>
      <c r="AC146" s="626">
        <f t="shared" si="61"/>
        <v>2440.1</v>
      </c>
      <c r="AD146" s="36"/>
    </row>
    <row r="147" spans="3:30" ht="14.75" customHeight="1" x14ac:dyDescent="0.35">
      <c r="C147" s="36"/>
      <c r="D147" s="137"/>
      <c r="E147" s="471"/>
      <c r="F147" s="471"/>
      <c r="G147" s="471"/>
      <c r="H147" s="388"/>
      <c r="I147" s="388"/>
      <c r="J147" s="388"/>
      <c r="K147" s="388"/>
      <c r="L147" s="388"/>
      <c r="M147" s="388"/>
      <c r="N147" s="388"/>
      <c r="O147" s="388"/>
      <c r="P147" s="388"/>
      <c r="Q147" s="388"/>
      <c r="R147" s="388"/>
      <c r="S147" s="388"/>
      <c r="T147" s="1463"/>
      <c r="U147" s="411"/>
      <c r="V147" s="411"/>
      <c r="W147" s="411"/>
      <c r="X147" s="411"/>
      <c r="Y147" s="411"/>
      <c r="Z147" s="411"/>
      <c r="AA147" s="411"/>
      <c r="AB147" s="411"/>
      <c r="AC147" s="411"/>
      <c r="AD147" s="36"/>
    </row>
    <row r="148" spans="3:30" x14ac:dyDescent="0.35">
      <c r="C148" s="36"/>
      <c r="D148" s="1210" t="s">
        <v>975</v>
      </c>
      <c r="E148" s="1215"/>
      <c r="F148" s="1114">
        <v>2019</v>
      </c>
      <c r="G148" s="1115"/>
      <c r="H148" s="1122"/>
      <c r="I148" s="1114">
        <v>2020</v>
      </c>
      <c r="J148" s="1115"/>
      <c r="K148" s="1115"/>
      <c r="L148" s="1122"/>
      <c r="M148" s="1114">
        <v>2021</v>
      </c>
      <c r="N148" s="1115"/>
      <c r="O148" s="1115"/>
      <c r="P148" s="1099"/>
      <c r="Q148" s="1098">
        <v>2022</v>
      </c>
      <c r="R148" s="1099"/>
      <c r="S148" s="1099"/>
      <c r="T148" s="1308"/>
      <c r="U148" s="1277">
        <v>2023</v>
      </c>
      <c r="V148" s="1146"/>
      <c r="W148" s="1146"/>
      <c r="X148" s="1147"/>
      <c r="Y148" s="1145">
        <v>2024</v>
      </c>
      <c r="Z148" s="1146"/>
      <c r="AA148" s="1146"/>
      <c r="AB148" s="1147"/>
      <c r="AC148" s="239">
        <v>2025</v>
      </c>
      <c r="AD148" s="36"/>
    </row>
    <row r="149" spans="3:30" x14ac:dyDescent="0.35">
      <c r="C149" s="36"/>
      <c r="D149" s="1216"/>
      <c r="E149" s="1217"/>
      <c r="F149" s="149" t="s">
        <v>329</v>
      </c>
      <c r="G149" s="148" t="s">
        <v>238</v>
      </c>
      <c r="H149" s="198" t="s">
        <v>327</v>
      </c>
      <c r="I149" s="149" t="s">
        <v>328</v>
      </c>
      <c r="J149" s="148" t="s">
        <v>329</v>
      </c>
      <c r="K149" s="148" t="s">
        <v>238</v>
      </c>
      <c r="L149" s="198" t="s">
        <v>327</v>
      </c>
      <c r="M149" s="149" t="s">
        <v>328</v>
      </c>
      <c r="N149" s="148" t="s">
        <v>329</v>
      </c>
      <c r="O149" s="148" t="s">
        <v>238</v>
      </c>
      <c r="P149" s="148" t="s">
        <v>327</v>
      </c>
      <c r="Q149" s="1051" t="s">
        <v>328</v>
      </c>
      <c r="R149" s="1039" t="s">
        <v>329</v>
      </c>
      <c r="S149" s="1039" t="s">
        <v>238</v>
      </c>
      <c r="T149" s="1052" t="s">
        <v>327</v>
      </c>
      <c r="U149" s="1282" t="s">
        <v>328</v>
      </c>
      <c r="V149" s="329" t="s">
        <v>329</v>
      </c>
      <c r="W149" s="329" t="s">
        <v>238</v>
      </c>
      <c r="X149" s="341" t="s">
        <v>327</v>
      </c>
      <c r="Y149" s="328" t="s">
        <v>328</v>
      </c>
      <c r="Z149" s="230" t="s">
        <v>329</v>
      </c>
      <c r="AA149" s="329" t="s">
        <v>238</v>
      </c>
      <c r="AB149" s="329" t="s">
        <v>327</v>
      </c>
      <c r="AC149" s="356" t="s">
        <v>328</v>
      </c>
      <c r="AD149" s="36"/>
    </row>
    <row r="150" spans="3:30" ht="27.65" customHeight="1" x14ac:dyDescent="0.35">
      <c r="C150" s="36"/>
      <c r="D150" s="738" t="s">
        <v>565</v>
      </c>
      <c r="E150" s="695"/>
      <c r="F150" s="1464"/>
      <c r="G150" s="1465">
        <f t="shared" ref="G150:AC150" si="62">(G93/F93)^4-1</f>
        <v>2.4144142736737928E-2</v>
      </c>
      <c r="H150" s="1465">
        <f t="shared" si="62"/>
        <v>4.0777274579272937E-2</v>
      </c>
      <c r="I150" s="1465">
        <f t="shared" si="62"/>
        <v>3.3330034507516704E-2</v>
      </c>
      <c r="J150" s="1465">
        <f t="shared" si="62"/>
        <v>-0.21716468092881858</v>
      </c>
      <c r="K150" s="1465">
        <f t="shared" si="62"/>
        <v>0.20562129727556155</v>
      </c>
      <c r="L150" s="1465">
        <f t="shared" si="62"/>
        <v>5.8273923331922273E-2</v>
      </c>
      <c r="M150" s="1465">
        <f t="shared" si="62"/>
        <v>3.7466881601865065E-2</v>
      </c>
      <c r="N150" s="1465">
        <f t="shared" si="62"/>
        <v>0.13910216712016599</v>
      </c>
      <c r="O150" s="1465">
        <f t="shared" si="62"/>
        <v>3.754197537140791E-2</v>
      </c>
      <c r="P150" s="1465">
        <f t="shared" si="62"/>
        <v>4.7535535397144058E-2</v>
      </c>
      <c r="Q150" s="1465">
        <f t="shared" si="62"/>
        <v>0.15535820996076533</v>
      </c>
      <c r="R150" s="1465">
        <f t="shared" si="62"/>
        <v>6.8455929710528718E-2</v>
      </c>
      <c r="S150" s="1465">
        <f t="shared" si="62"/>
        <v>5.9770607688123478E-2</v>
      </c>
      <c r="T150" s="1469">
        <f t="shared" si="62"/>
        <v>5.2846258929502676E-2</v>
      </c>
      <c r="U150" s="601">
        <f t="shared" si="62"/>
        <v>5.1725419677194573E-2</v>
      </c>
      <c r="V150" s="601">
        <f t="shared" si="62"/>
        <v>5.1373068248236953E-2</v>
      </c>
      <c r="W150" s="601">
        <f t="shared" si="62"/>
        <v>4.9857020221277359E-2</v>
      </c>
      <c r="X150" s="601">
        <f t="shared" si="62"/>
        <v>4.4889613849084853E-2</v>
      </c>
      <c r="Y150" s="601">
        <f t="shared" si="62"/>
        <v>4.4027708207090566E-2</v>
      </c>
      <c r="Z150" s="601">
        <f t="shared" si="62"/>
        <v>4.0023048411936823E-2</v>
      </c>
      <c r="AA150" s="601">
        <f t="shared" si="62"/>
        <v>4.0648221765027026E-2</v>
      </c>
      <c r="AB150" s="601">
        <f t="shared" si="62"/>
        <v>4.0833231558606631E-2</v>
      </c>
      <c r="AC150" s="603">
        <f t="shared" si="62"/>
        <v>3.8919025649611916E-2</v>
      </c>
      <c r="AD150" s="36"/>
    </row>
    <row r="151" spans="3:30" ht="27.65" customHeight="1" x14ac:dyDescent="0.35">
      <c r="C151" s="36"/>
      <c r="D151" s="262" t="s">
        <v>566</v>
      </c>
      <c r="E151" s="471"/>
      <c r="F151" s="48"/>
      <c r="G151" s="1460">
        <f t="shared" ref="G151:AC151" si="63">(G94/F94)^4-1</f>
        <v>1.579093801452558E-2</v>
      </c>
      <c r="H151" s="1460">
        <f t="shared" si="63"/>
        <v>4.8632484150745503E-2</v>
      </c>
      <c r="I151" s="1460">
        <f t="shared" si="63"/>
        <v>4.4710501521934454E-2</v>
      </c>
      <c r="J151" s="1460">
        <f t="shared" si="63"/>
        <v>-0.23507951407502192</v>
      </c>
      <c r="K151" s="1460">
        <f t="shared" si="63"/>
        <v>0.20982996685370625</v>
      </c>
      <c r="L151" s="1460">
        <f t="shared" si="63"/>
        <v>8.96437835544448E-2</v>
      </c>
      <c r="M151" s="1460">
        <f t="shared" si="63"/>
        <v>6.7075555891954686E-2</v>
      </c>
      <c r="N151" s="1460">
        <f t="shared" si="63"/>
        <v>0.10632128070792568</v>
      </c>
      <c r="O151" s="1460">
        <f t="shared" si="63"/>
        <v>9.343403174306486E-2</v>
      </c>
      <c r="P151" s="1460">
        <f t="shared" si="63"/>
        <v>6.5015914671644248E-2</v>
      </c>
      <c r="Q151" s="1460">
        <f t="shared" si="63"/>
        <v>0.28059642266880269</v>
      </c>
      <c r="R151" s="1460">
        <f t="shared" si="63"/>
        <v>6.5844566582553776E-2</v>
      </c>
      <c r="S151" s="1460">
        <f t="shared" si="63"/>
        <v>5.3974463897699998E-2</v>
      </c>
      <c r="T151" s="1470">
        <f t="shared" si="63"/>
        <v>4.4211339563524854E-2</v>
      </c>
      <c r="U151" s="602">
        <f t="shared" si="63"/>
        <v>4.1419955413473764E-2</v>
      </c>
      <c r="V151" s="602">
        <f t="shared" si="63"/>
        <v>4.0531998996350627E-2</v>
      </c>
      <c r="W151" s="602">
        <f t="shared" si="63"/>
        <v>3.8362309158184615E-2</v>
      </c>
      <c r="X151" s="602">
        <f t="shared" si="63"/>
        <v>3.1938420856865823E-2</v>
      </c>
      <c r="Y151" s="602">
        <f t="shared" si="63"/>
        <v>3.3755196450719005E-2</v>
      </c>
      <c r="Z151" s="602">
        <f t="shared" si="63"/>
        <v>3.3438521723601733E-2</v>
      </c>
      <c r="AA151" s="602">
        <f t="shared" si="63"/>
        <v>3.4010126596568435E-2</v>
      </c>
      <c r="AB151" s="602">
        <f t="shared" si="63"/>
        <v>3.3420396982317691E-2</v>
      </c>
      <c r="AC151" s="604">
        <f t="shared" si="63"/>
        <v>3.2542741080821891E-2</v>
      </c>
      <c r="AD151" s="36"/>
    </row>
    <row r="152" spans="3:30" x14ac:dyDescent="0.35">
      <c r="C152" s="36"/>
      <c r="D152" s="262" t="s">
        <v>974</v>
      </c>
      <c r="E152" s="471"/>
      <c r="F152" s="48"/>
      <c r="G152" s="1460">
        <f t="shared" ref="G152:AC152" si="64">(G95/F95)^4-1</f>
        <v>3.8650925005419889E-2</v>
      </c>
      <c r="H152" s="1460">
        <f t="shared" si="64"/>
        <v>2.742647160851952E-2</v>
      </c>
      <c r="I152" s="1460">
        <f t="shared" si="64"/>
        <v>1.3957292123351062E-2</v>
      </c>
      <c r="J152" s="1460">
        <f t="shared" si="64"/>
        <v>-0.18535013183116267</v>
      </c>
      <c r="K152" s="1460">
        <f t="shared" si="64"/>
        <v>0.19846141124429506</v>
      </c>
      <c r="L152" s="1460">
        <f t="shared" si="64"/>
        <v>6.1682883741018824E-3</v>
      </c>
      <c r="M152" s="1460">
        <f t="shared" si="64"/>
        <v>-1.273996609033845E-2</v>
      </c>
      <c r="N152" s="1460">
        <f t="shared" si="64"/>
        <v>0.19924785079059104</v>
      </c>
      <c r="O152" s="1460">
        <f t="shared" si="64"/>
        <v>-5.4797292719977575E-2</v>
      </c>
      <c r="P152" s="1460">
        <f t="shared" si="64"/>
        <v>1.6458498468953531E-2</v>
      </c>
      <c r="Q152" s="1460">
        <f t="shared" si="64"/>
        <v>-4.9827175781837041E-2</v>
      </c>
      <c r="R152" s="1460">
        <f t="shared" si="64"/>
        <v>7.3620073213604087E-2</v>
      </c>
      <c r="S152" s="1460">
        <f t="shared" si="64"/>
        <v>7.1250723638111468E-2</v>
      </c>
      <c r="T152" s="1470">
        <f t="shared" si="64"/>
        <v>6.9931332738486951E-2</v>
      </c>
      <c r="U152" s="602">
        <f t="shared" si="64"/>
        <v>7.2027487180982286E-2</v>
      </c>
      <c r="V152" s="602">
        <f t="shared" si="64"/>
        <v>7.2587144688120997E-2</v>
      </c>
      <c r="W152" s="602">
        <f t="shared" si="64"/>
        <v>7.2194626687732466E-2</v>
      </c>
      <c r="X152" s="602">
        <f t="shared" si="64"/>
        <v>6.9894767241385658E-2</v>
      </c>
      <c r="Y152" s="602">
        <f t="shared" si="64"/>
        <v>6.3626463494197871E-2</v>
      </c>
      <c r="Z152" s="602">
        <f t="shared" si="64"/>
        <v>5.2448447071261617E-2</v>
      </c>
      <c r="AA152" s="602">
        <f t="shared" si="64"/>
        <v>5.3118144004384416E-2</v>
      </c>
      <c r="AB152" s="602">
        <f t="shared" si="64"/>
        <v>5.470574456719568E-2</v>
      </c>
      <c r="AC152" s="604">
        <f t="shared" si="64"/>
        <v>5.0778219446022677E-2</v>
      </c>
      <c r="AD152" s="36"/>
    </row>
    <row r="153" spans="3:30" x14ac:dyDescent="0.35">
      <c r="C153" s="36"/>
      <c r="D153" s="264" t="s">
        <v>567</v>
      </c>
      <c r="E153" s="471"/>
      <c r="F153" s="48"/>
      <c r="G153" s="1460"/>
      <c r="H153" s="1460"/>
      <c r="I153" s="1460"/>
      <c r="J153" s="1460"/>
      <c r="K153" s="1460"/>
      <c r="L153" s="1460"/>
      <c r="M153" s="1460"/>
      <c r="N153" s="1460">
        <f t="shared" ref="N153:AC153" si="65">(N96/M96)^4-1</f>
        <v>0.14268477373131994</v>
      </c>
      <c r="O153" s="1460">
        <f t="shared" si="65"/>
        <v>7.2091398238030235E-2</v>
      </c>
      <c r="P153" s="1460">
        <f t="shared" si="65"/>
        <v>5.9947465932440158E-2</v>
      </c>
      <c r="Q153" s="1460">
        <f t="shared" si="65"/>
        <v>0.16774701748800824</v>
      </c>
      <c r="R153" s="1460">
        <f t="shared" si="65"/>
        <v>7.4439645742522265E-2</v>
      </c>
      <c r="S153" s="1460">
        <f t="shared" si="65"/>
        <v>6.2201916861036377E-2</v>
      </c>
      <c r="T153" s="1470">
        <f t="shared" si="65"/>
        <v>5.6046888906577719E-2</v>
      </c>
      <c r="U153" s="602">
        <f t="shared" si="65"/>
        <v>4.7530477878284128E-2</v>
      </c>
      <c r="V153" s="602">
        <f t="shared" si="65"/>
        <v>4.6060090071532001E-2</v>
      </c>
      <c r="W153" s="602">
        <f t="shared" si="65"/>
        <v>4.401108183643121E-2</v>
      </c>
      <c r="X153" s="602">
        <f t="shared" si="65"/>
        <v>4.0840324363817126E-2</v>
      </c>
      <c r="Y153" s="602">
        <f t="shared" si="65"/>
        <v>3.9570721345695947E-2</v>
      </c>
      <c r="Z153" s="602">
        <f t="shared" si="65"/>
        <v>3.6507478038702246E-2</v>
      </c>
      <c r="AA153" s="602">
        <f t="shared" si="65"/>
        <v>3.5294744529592803E-2</v>
      </c>
      <c r="AB153" s="602">
        <f t="shared" si="65"/>
        <v>3.7239704560918296E-2</v>
      </c>
      <c r="AC153" s="604">
        <f t="shared" si="65"/>
        <v>3.6592567629379014E-2</v>
      </c>
      <c r="AD153" s="36"/>
    </row>
    <row r="154" spans="3:30" x14ac:dyDescent="0.35">
      <c r="D154" s="265" t="s">
        <v>574</v>
      </c>
      <c r="E154" s="475"/>
      <c r="F154" s="381"/>
      <c r="G154" s="179"/>
      <c r="H154" s="179"/>
      <c r="I154" s="179"/>
      <c r="J154" s="179"/>
      <c r="K154" s="179"/>
      <c r="L154" s="179"/>
      <c r="M154" s="179"/>
      <c r="N154" s="179">
        <f t="shared" ref="N154:AC154" si="66">(N97/M97)^4-1</f>
        <v>1.2967410457519697</v>
      </c>
      <c r="O154" s="179">
        <f t="shared" si="66"/>
        <v>0.25748695896794094</v>
      </c>
      <c r="P154" s="179">
        <f t="shared" si="66"/>
        <v>2.8126517208340474E-2</v>
      </c>
      <c r="Q154" s="179">
        <f t="shared" si="66"/>
        <v>-0.1958993175199919</v>
      </c>
      <c r="R154" s="179">
        <f t="shared" si="66"/>
        <v>0.16507576172685345</v>
      </c>
      <c r="S154" s="179">
        <f t="shared" si="66"/>
        <v>8.2600545936435843E-2</v>
      </c>
      <c r="T154" s="1471">
        <f t="shared" si="66"/>
        <v>2.9485678166663476E-2</v>
      </c>
      <c r="U154" s="605">
        <f t="shared" si="66"/>
        <v>-7.2188840567785073E-3</v>
      </c>
      <c r="V154" s="605">
        <f t="shared" si="66"/>
        <v>-2.1419517218068784E-2</v>
      </c>
      <c r="W154" s="605">
        <f t="shared" si="66"/>
        <v>-2.4082707067162423E-2</v>
      </c>
      <c r="X154" s="605">
        <f t="shared" si="66"/>
        <v>-2.1184233809863007E-2</v>
      </c>
      <c r="Y154" s="605">
        <f t="shared" si="66"/>
        <v>-1.8391062400676117E-2</v>
      </c>
      <c r="Z154" s="605">
        <f t="shared" si="66"/>
        <v>-4.766298659665491E-3</v>
      </c>
      <c r="AA154" s="605">
        <f t="shared" si="66"/>
        <v>-1.3938497616347689E-2</v>
      </c>
      <c r="AB154" s="605">
        <f t="shared" si="66"/>
        <v>2.2183848121503535E-2</v>
      </c>
      <c r="AC154" s="606">
        <f t="shared" si="66"/>
        <v>1.4556644261568774E-2</v>
      </c>
    </row>
    <row r="155" spans="3:30" x14ac:dyDescent="0.35">
      <c r="D155" s="137"/>
      <c r="E155" s="471"/>
      <c r="G155" s="471"/>
      <c r="H155" s="388"/>
      <c r="I155" s="388"/>
      <c r="J155" s="388"/>
      <c r="K155" s="388"/>
      <c r="L155" s="388"/>
      <c r="M155" s="388"/>
      <c r="N155" s="388"/>
      <c r="O155" s="388"/>
      <c r="P155" s="388"/>
      <c r="Q155" s="388"/>
      <c r="R155" s="388"/>
      <c r="S155" s="388"/>
      <c r="T155" s="411"/>
      <c r="U155" s="411"/>
      <c r="V155" s="411"/>
      <c r="W155" s="411"/>
      <c r="X155" s="411"/>
      <c r="Y155" s="411"/>
      <c r="Z155" s="411"/>
      <c r="AA155" s="411"/>
      <c r="AB155" s="411"/>
      <c r="AC155" s="411"/>
    </row>
    <row r="156" spans="3:30" ht="14.75" customHeight="1" x14ac:dyDescent="0.35"/>
    <row r="157" spans="3:30" ht="14.75" customHeight="1" x14ac:dyDescent="0.35"/>
    <row r="158" spans="3:30" ht="14.75" customHeight="1" x14ac:dyDescent="0.35"/>
  </sheetData>
  <mergeCells count="45">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 ref="U148:X148"/>
    <mergeCell ref="I140:L140"/>
    <mergeCell ref="M140:P140"/>
    <mergeCell ref="Q140:T140"/>
    <mergeCell ref="Q148:T148"/>
    <mergeCell ref="Y101:AB101"/>
    <mergeCell ref="F140:H140"/>
    <mergeCell ref="O58:V58"/>
    <mergeCell ref="P59:S59"/>
    <mergeCell ref="F5:T5"/>
    <mergeCell ref="U5:AC5"/>
    <mergeCell ref="Q6:T6"/>
    <mergeCell ref="Q91:T91"/>
    <mergeCell ref="Q101:T101"/>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opLeftCell="K1" workbookViewId="0">
      <selection activeCell="P50" sqref="P50"/>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242" t="s">
        <v>1819</v>
      </c>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row>
    <row r="2" spans="2:32" x14ac:dyDescent="0.35">
      <c r="B2" s="1243" t="s">
        <v>1820</v>
      </c>
      <c r="C2" s="1243"/>
      <c r="D2" s="1243"/>
      <c r="E2" s="1243"/>
      <c r="F2" s="1243"/>
      <c r="G2" s="1243"/>
      <c r="H2" s="1243"/>
      <c r="I2" s="1243"/>
      <c r="J2" s="1243"/>
      <c r="K2" s="1243"/>
      <c r="L2" s="1243"/>
      <c r="M2" s="1243"/>
      <c r="N2" s="1243"/>
      <c r="O2" s="1243"/>
      <c r="P2" s="1243"/>
      <c r="Q2" s="1243"/>
      <c r="R2" s="1243"/>
      <c r="S2" s="1243"/>
      <c r="T2" s="1243"/>
      <c r="U2" s="1243"/>
      <c r="V2" s="1243"/>
      <c r="W2" s="1243"/>
      <c r="X2" s="1243"/>
      <c r="Y2" s="1243"/>
      <c r="Z2" s="1243"/>
      <c r="AA2" s="1243"/>
      <c r="AB2" s="1243"/>
      <c r="AC2" s="1243"/>
    </row>
    <row r="3" spans="2:32" x14ac:dyDescent="0.35">
      <c r="B3" s="1243"/>
      <c r="C3" s="1243"/>
      <c r="D3" s="1243"/>
      <c r="E3" s="1243"/>
      <c r="F3" s="1243"/>
      <c r="G3" s="1243"/>
      <c r="H3" s="1243"/>
      <c r="I3" s="1243"/>
      <c r="J3" s="1243"/>
      <c r="K3" s="1243"/>
      <c r="L3" s="1243"/>
      <c r="M3" s="1243"/>
      <c r="N3" s="1243"/>
      <c r="O3" s="1243"/>
      <c r="P3" s="1243"/>
      <c r="Q3" s="1243"/>
      <c r="R3" s="1243"/>
      <c r="S3" s="1243"/>
      <c r="T3" s="1243"/>
      <c r="U3" s="1243"/>
      <c r="V3" s="1243"/>
      <c r="W3" s="1243"/>
      <c r="X3" s="1243"/>
      <c r="Y3" s="1243"/>
      <c r="Z3" s="1243"/>
      <c r="AA3" s="1243"/>
      <c r="AB3" s="1243"/>
      <c r="AC3" s="1243"/>
    </row>
    <row r="4" spans="2:32" x14ac:dyDescent="0.35">
      <c r="B4" s="1243"/>
      <c r="C4" s="1243"/>
      <c r="D4" s="1243"/>
      <c r="E4" s="1243"/>
      <c r="F4" s="1243"/>
      <c r="G4" s="1243"/>
      <c r="H4" s="1243"/>
      <c r="I4" s="1243"/>
      <c r="J4" s="1243"/>
      <c r="K4" s="1243"/>
      <c r="L4" s="1243"/>
      <c r="M4" s="1243"/>
      <c r="N4" s="1243"/>
      <c r="O4" s="1243"/>
      <c r="P4" s="1243"/>
      <c r="Q4" s="1243"/>
      <c r="R4" s="1243"/>
      <c r="S4" s="1243"/>
      <c r="T4" s="1243"/>
      <c r="U4" s="1243"/>
      <c r="V4" s="1243"/>
      <c r="W4" s="1243"/>
      <c r="X4" s="1243"/>
      <c r="Y4" s="1243"/>
      <c r="Z4" s="1243"/>
      <c r="AA4" s="1243"/>
      <c r="AB4" s="1243"/>
      <c r="AC4" s="1243"/>
    </row>
    <row r="5" spans="2:32" x14ac:dyDescent="0.35">
      <c r="B5" s="752"/>
      <c r="C5" s="752"/>
      <c r="D5" s="752"/>
      <c r="E5" s="752"/>
      <c r="F5" s="752"/>
      <c r="G5" s="752"/>
      <c r="H5" s="752"/>
      <c r="I5" s="752"/>
      <c r="J5" s="752"/>
      <c r="K5" s="752"/>
      <c r="L5" s="752"/>
      <c r="M5" s="752"/>
      <c r="N5" s="752"/>
      <c r="O5" s="752"/>
      <c r="P5" s="752"/>
      <c r="Q5" s="752"/>
      <c r="R5" s="752"/>
      <c r="S5" s="752"/>
      <c r="T5" s="752"/>
      <c r="U5" s="752"/>
      <c r="V5" s="752"/>
      <c r="W5" s="752"/>
      <c r="X5" s="752"/>
      <c r="Y5" s="752"/>
      <c r="Z5" s="752"/>
      <c r="AA5" s="752"/>
      <c r="AB5" s="752"/>
      <c r="AC5" s="752"/>
    </row>
    <row r="6" spans="2:32" x14ac:dyDescent="0.35">
      <c r="B6" s="75"/>
      <c r="C6" s="757"/>
      <c r="D6" s="764"/>
      <c r="E6" s="764"/>
      <c r="F6" s="764"/>
      <c r="G6" s="764"/>
      <c r="H6" s="764"/>
      <c r="I6" s="764"/>
      <c r="J6" s="764"/>
      <c r="K6" s="764"/>
      <c r="L6" s="764"/>
      <c r="M6" s="764"/>
      <c r="N6" s="764"/>
      <c r="O6" s="764"/>
      <c r="P6" s="764"/>
      <c r="Q6" s="764"/>
      <c r="R6" s="764"/>
      <c r="S6" s="764"/>
      <c r="T6" s="764"/>
      <c r="U6" s="764"/>
      <c r="V6" s="764"/>
      <c r="W6" s="764"/>
      <c r="X6" s="764"/>
      <c r="Y6" s="764"/>
      <c r="Z6" s="764"/>
      <c r="AA6" s="764"/>
      <c r="AB6" s="764"/>
      <c r="AC6" s="764"/>
      <c r="AD6" s="764"/>
      <c r="AE6" s="764"/>
      <c r="AF6" s="764"/>
    </row>
    <row r="7" spans="2:32" ht="14.5" customHeight="1" x14ac:dyDescent="0.35">
      <c r="B7" s="1231" t="s">
        <v>1850</v>
      </c>
      <c r="C7" s="1231"/>
      <c r="D7" s="1231"/>
      <c r="E7" s="1231"/>
      <c r="F7" s="1231"/>
      <c r="G7" s="752"/>
      <c r="H7" s="752"/>
      <c r="I7" s="752"/>
      <c r="J7" s="752"/>
      <c r="K7" s="752"/>
      <c r="L7" s="752"/>
      <c r="M7" s="752"/>
      <c r="N7" s="752"/>
      <c r="O7" s="752"/>
      <c r="P7" s="752"/>
      <c r="Q7" s="752"/>
      <c r="R7" s="752"/>
      <c r="S7" s="752"/>
      <c r="T7" s="752"/>
      <c r="U7" s="752"/>
      <c r="V7" s="752"/>
      <c r="W7" s="752"/>
      <c r="X7" s="752"/>
      <c r="Y7" s="752"/>
      <c r="Z7" s="752"/>
      <c r="AA7" s="752"/>
      <c r="AB7" s="752"/>
      <c r="AC7" s="752"/>
    </row>
    <row r="8" spans="2:32" x14ac:dyDescent="0.35">
      <c r="B8" s="1244" t="s">
        <v>1839</v>
      </c>
      <c r="C8" s="1126"/>
      <c r="D8" s="1237" t="s">
        <v>325</v>
      </c>
      <c r="E8" s="1124"/>
      <c r="F8" s="1124"/>
      <c r="G8" s="1124"/>
      <c r="H8" s="1124"/>
      <c r="I8" s="1124"/>
      <c r="J8" s="1124"/>
      <c r="K8" s="1124"/>
      <c r="L8" s="1124"/>
      <c r="M8" s="1124"/>
      <c r="N8" s="1124"/>
      <c r="O8" s="1124"/>
      <c r="P8" s="1124"/>
      <c r="Q8" s="1125"/>
      <c r="R8" s="1125"/>
      <c r="S8" s="143"/>
      <c r="T8" s="1241" t="s">
        <v>1838</v>
      </c>
      <c r="U8" s="1150"/>
      <c r="V8" s="1150"/>
      <c r="W8" s="1150"/>
      <c r="X8" s="1150"/>
      <c r="Y8" s="1150"/>
      <c r="Z8" s="1150"/>
      <c r="AA8" s="1150"/>
      <c r="AB8" s="1150"/>
      <c r="AC8" s="1150"/>
      <c r="AD8" s="1150"/>
      <c r="AE8" s="1150"/>
      <c r="AF8" s="1151"/>
    </row>
    <row r="9" spans="2:32" x14ac:dyDescent="0.35">
      <c r="B9" s="1143"/>
      <c r="C9" s="1144"/>
      <c r="D9" s="149">
        <v>2018</v>
      </c>
      <c r="E9" s="1161">
        <v>2019</v>
      </c>
      <c r="F9" s="1162"/>
      <c r="G9" s="1162"/>
      <c r="H9" s="1169"/>
      <c r="I9" s="1161">
        <v>2020</v>
      </c>
      <c r="J9" s="1162"/>
      <c r="K9" s="1162"/>
      <c r="L9" s="1162"/>
      <c r="M9" s="1161">
        <v>2021</v>
      </c>
      <c r="N9" s="1162"/>
      <c r="O9" s="1162"/>
      <c r="P9" s="1162"/>
      <c r="Q9" s="1148">
        <v>2022</v>
      </c>
      <c r="R9" s="1149"/>
      <c r="S9" s="233"/>
      <c r="T9" s="267"/>
      <c r="U9" s="1145">
        <v>2023</v>
      </c>
      <c r="V9" s="1146"/>
      <c r="W9" s="1146"/>
      <c r="X9" s="1146"/>
      <c r="Y9" s="1145">
        <v>2024</v>
      </c>
      <c r="Z9" s="1146"/>
      <c r="AA9" s="1146"/>
      <c r="AB9" s="1147"/>
      <c r="AC9" s="1145">
        <v>2025</v>
      </c>
      <c r="AD9" s="1146"/>
      <c r="AE9" s="1146"/>
      <c r="AF9" s="1147"/>
    </row>
    <row r="10" spans="2:32" x14ac:dyDescent="0.35">
      <c r="B10" s="1153"/>
      <c r="C10" s="1154"/>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49" t="s">
        <v>328</v>
      </c>
      <c r="R10" s="148" t="s">
        <v>329</v>
      </c>
      <c r="S10" s="198" t="s">
        <v>238</v>
      </c>
      <c r="T10" s="341" t="s">
        <v>327</v>
      </c>
      <c r="U10" s="328" t="s">
        <v>328</v>
      </c>
      <c r="V10" s="329" t="s">
        <v>329</v>
      </c>
      <c r="W10" s="329" t="s">
        <v>238</v>
      </c>
      <c r="X10" s="329" t="s">
        <v>327</v>
      </c>
      <c r="Y10" s="328" t="s">
        <v>328</v>
      </c>
      <c r="Z10" s="230" t="s">
        <v>329</v>
      </c>
      <c r="AA10" s="329" t="s">
        <v>238</v>
      </c>
      <c r="AB10" s="341" t="s">
        <v>327</v>
      </c>
      <c r="AC10" s="356" t="s">
        <v>328</v>
      </c>
      <c r="AD10" s="329" t="s">
        <v>329</v>
      </c>
      <c r="AE10" s="329" t="s">
        <v>238</v>
      </c>
      <c r="AF10" s="341" t="s">
        <v>327</v>
      </c>
    </row>
    <row r="11" spans="2:32" x14ac:dyDescent="0.35">
      <c r="B11" s="1238" t="s">
        <v>1849</v>
      </c>
      <c r="C11" s="1239"/>
      <c r="D11" s="1239"/>
      <c r="E11" s="1239"/>
      <c r="F11" s="1239"/>
      <c r="G11" s="1239"/>
      <c r="H11" s="1239"/>
      <c r="I11" s="1239"/>
      <c r="J11" s="1239"/>
      <c r="K11" s="1239"/>
      <c r="L11" s="1239"/>
      <c r="M11" s="1239"/>
      <c r="N11" s="1239"/>
      <c r="O11" s="1239"/>
      <c r="P11" s="1239"/>
      <c r="Q11" s="1239"/>
      <c r="R11" s="1239"/>
      <c r="S11" s="1239"/>
      <c r="T11" s="1239"/>
      <c r="U11" s="1239"/>
      <c r="V11" s="1239"/>
      <c r="W11" s="1239"/>
      <c r="X11" s="1239"/>
      <c r="Y11" s="1239"/>
      <c r="Z11" s="1239"/>
      <c r="AA11" s="1239"/>
      <c r="AB11" s="1239"/>
      <c r="AC11" s="1239"/>
      <c r="AD11" s="1239"/>
      <c r="AE11" s="1239"/>
      <c r="AF11" s="1240"/>
    </row>
    <row r="12" spans="2:32" x14ac:dyDescent="0.35">
      <c r="B12" s="755" t="s">
        <v>1823</v>
      </c>
      <c r="C12" s="756"/>
      <c r="D12" s="760">
        <f t="shared" ref="D12:AF12" si="0">D33</f>
        <v>1.5156509117148609E-2</v>
      </c>
      <c r="E12" s="761">
        <f t="shared" si="0"/>
        <v>8.3593342288621475E-3</v>
      </c>
      <c r="F12" s="761">
        <f t="shared" si="0"/>
        <v>2.4734353401225873E-2</v>
      </c>
      <c r="G12" s="761">
        <f t="shared" si="0"/>
        <v>1.0490970472330163E-2</v>
      </c>
      <c r="H12" s="761">
        <f t="shared" si="0"/>
        <v>1.4569048707785859E-2</v>
      </c>
      <c r="I12" s="761">
        <f t="shared" si="0"/>
        <v>1.4662498774455912E-2</v>
      </c>
      <c r="J12" s="761">
        <f t="shared" si="0"/>
        <v>-1.794085945788193E-2</v>
      </c>
      <c r="K12" s="761">
        <f t="shared" si="0"/>
        <v>3.3775526155126689E-2</v>
      </c>
      <c r="L12" s="761">
        <f t="shared" si="0"/>
        <v>1.6442937470855457E-2</v>
      </c>
      <c r="M12" s="761">
        <f t="shared" si="0"/>
        <v>4.5025943450949013E-2</v>
      </c>
      <c r="N12" s="761">
        <f t="shared" si="0"/>
        <v>6.444180274366329E-2</v>
      </c>
      <c r="O12" s="761">
        <f t="shared" si="0"/>
        <v>5.5998846943190017E-2</v>
      </c>
      <c r="P12" s="761">
        <f t="shared" si="0"/>
        <v>6.1859650545573519E-2</v>
      </c>
      <c r="Q12" s="761">
        <f t="shared" si="0"/>
        <v>7.4784916271317448E-2</v>
      </c>
      <c r="R12" s="761">
        <f t="shared" si="0"/>
        <v>7.2922192171477107E-2</v>
      </c>
      <c r="S12" s="761">
        <f t="shared" si="0"/>
        <v>4.3177876601944165E-2</v>
      </c>
      <c r="T12" s="760">
        <f>T33+0.0056</f>
        <v>5.5999999999999999E-3</v>
      </c>
      <c r="U12" s="761">
        <f t="shared" ref="U12:Y12" si="1">U33</f>
        <v>2.4917387063888574E-2</v>
      </c>
      <c r="V12" s="761">
        <f t="shared" si="1"/>
        <v>2.3344001057836294E-2</v>
      </c>
      <c r="W12" s="761">
        <f t="shared" si="1"/>
        <v>2.2676579457354684E-2</v>
      </c>
      <c r="X12" s="761">
        <f t="shared" si="1"/>
        <v>2.2178287431426913E-2</v>
      </c>
      <c r="Y12" s="761">
        <f t="shared" si="1"/>
        <v>2.1434276652948725E-2</v>
      </c>
      <c r="Z12" s="761">
        <f t="shared" si="0"/>
        <v>2.1007206508923071E-2</v>
      </c>
      <c r="AA12" s="761">
        <f t="shared" si="0"/>
        <v>2.0591622707038626E-2</v>
      </c>
      <c r="AB12" s="761">
        <f t="shared" si="0"/>
        <v>2.0347186911993109E-2</v>
      </c>
      <c r="AC12" s="761">
        <f t="shared" si="0"/>
        <v>2.0384446217412533E-2</v>
      </c>
      <c r="AD12" s="761">
        <f t="shared" si="0"/>
        <v>2.021214296856999E-2</v>
      </c>
      <c r="AE12" s="761">
        <f t="shared" si="0"/>
        <v>2.00951255413373E-2</v>
      </c>
      <c r="AF12" s="762">
        <f t="shared" si="0"/>
        <v>2.0005533751415339E-2</v>
      </c>
    </row>
    <row r="13" spans="2:32" x14ac:dyDescent="0.35">
      <c r="B13" s="74" t="s">
        <v>1824</v>
      </c>
      <c r="C13" s="757"/>
      <c r="D13" s="763">
        <f t="shared" ref="D13:AF13" si="2">D34</f>
        <v>2.9652502701153827E-2</v>
      </c>
      <c r="E13" s="764">
        <f t="shared" si="2"/>
        <v>4.3357912415273203E-2</v>
      </c>
      <c r="F13" s="764">
        <f t="shared" si="2"/>
        <v>-2.634393397263235E-2</v>
      </c>
      <c r="G13" s="764">
        <f t="shared" si="2"/>
        <v>1.0018821110834297E-2</v>
      </c>
      <c r="H13" s="764">
        <f t="shared" si="2"/>
        <v>1.6245763277308534E-2</v>
      </c>
      <c r="I13" s="764">
        <f t="shared" si="2"/>
        <v>1.3591255249431944E-2</v>
      </c>
      <c r="J13" s="764">
        <f t="shared" si="2"/>
        <v>3.3104511883148557E-3</v>
      </c>
      <c r="K13" s="764">
        <f t="shared" si="2"/>
        <v>2.5959727144998501E-2</v>
      </c>
      <c r="L13" s="764">
        <f t="shared" si="2"/>
        <v>2.4447407360365325E-2</v>
      </c>
      <c r="M13" s="764">
        <f t="shared" si="2"/>
        <v>4.0827649049088865E-2</v>
      </c>
      <c r="N13" s="764">
        <f t="shared" si="2"/>
        <v>4.1247362410053112E-2</v>
      </c>
      <c r="O13" s="764">
        <f t="shared" si="2"/>
        <v>4.4017858095279694E-2</v>
      </c>
      <c r="P13" s="764">
        <f t="shared" si="2"/>
        <v>4.3432299825096221E-2</v>
      </c>
      <c r="Q13" s="764">
        <f t="shared" si="2"/>
        <v>5.6798579453040565E-2</v>
      </c>
      <c r="R13" s="764">
        <f t="shared" si="2"/>
        <v>5.9959109255099508E-2</v>
      </c>
      <c r="S13" s="764">
        <f t="shared" si="2"/>
        <v>4.8205722331254197E-2</v>
      </c>
      <c r="T13" s="763">
        <f>T34+0.0056</f>
        <v>5.5999999999999999E-3</v>
      </c>
      <c r="U13" s="764">
        <f t="shared" ref="U13:Y13" si="3">U34</f>
        <v>2.1715756912072059E-2</v>
      </c>
      <c r="V13" s="764">
        <f t="shared" si="3"/>
        <v>2.1485909848919071E-2</v>
      </c>
      <c r="W13" s="764">
        <f t="shared" si="3"/>
        <v>2.1729771469872761E-2</v>
      </c>
      <c r="X13" s="764">
        <f t="shared" si="3"/>
        <v>2.2272740712103056E-2</v>
      </c>
      <c r="Y13" s="764">
        <f t="shared" si="3"/>
        <v>2.2362395275012936E-2</v>
      </c>
      <c r="Z13" s="764">
        <f t="shared" si="2"/>
        <v>2.249678921966547E-2</v>
      </c>
      <c r="AA13" s="764">
        <f t="shared" si="2"/>
        <v>2.2512359990298103E-2</v>
      </c>
      <c r="AB13" s="764">
        <f t="shared" si="2"/>
        <v>2.289190171498956E-2</v>
      </c>
      <c r="AC13" s="764">
        <f t="shared" si="2"/>
        <v>2.2688598137850624E-2</v>
      </c>
      <c r="AD13" s="764">
        <f t="shared" si="2"/>
        <v>2.2861927422402006E-2</v>
      </c>
      <c r="AE13" s="764">
        <f t="shared" si="2"/>
        <v>2.2789213164978062E-2</v>
      </c>
      <c r="AF13" s="765">
        <f t="shared" si="2"/>
        <v>2.3006751575430417E-2</v>
      </c>
    </row>
    <row r="14" spans="2:32" x14ac:dyDescent="0.35">
      <c r="B14" s="74" t="s">
        <v>1825</v>
      </c>
      <c r="C14" s="757"/>
      <c r="D14" s="763">
        <f t="shared" ref="D14:AF14" si="4">D35</f>
        <v>2.0739486303195998E-2</v>
      </c>
      <c r="E14" s="764">
        <f t="shared" si="4"/>
        <v>-1.0909955372547464E-2</v>
      </c>
      <c r="F14" s="764">
        <f t="shared" si="4"/>
        <v>2.9915559028399707E-2</v>
      </c>
      <c r="G14" s="764">
        <f t="shared" si="4"/>
        <v>1.0527559706478895E-2</v>
      </c>
      <c r="H14" s="764">
        <f t="shared" si="4"/>
        <v>1.4919704890896002E-2</v>
      </c>
      <c r="I14" s="764">
        <f t="shared" si="4"/>
        <v>4.3158369252632278E-2</v>
      </c>
      <c r="J14" s="764">
        <f t="shared" si="4"/>
        <v>-2.2930962354547058E-3</v>
      </c>
      <c r="K14" s="764">
        <f t="shared" si="4"/>
        <v>3.587837095953339E-2</v>
      </c>
      <c r="L14" s="764">
        <f t="shared" si="4"/>
        <v>4.5534894387470937E-2</v>
      </c>
      <c r="M14" s="764">
        <f t="shared" si="4"/>
        <v>8.7714323909891423E-2</v>
      </c>
      <c r="N14" s="764">
        <f t="shared" si="4"/>
        <v>8.4888593948209357E-2</v>
      </c>
      <c r="O14" s="764">
        <f t="shared" si="4"/>
        <v>6.9703587118332688E-2</v>
      </c>
      <c r="P14" s="764">
        <f t="shared" si="4"/>
        <v>9.0463399615994478E-2</v>
      </c>
      <c r="Q14" s="764">
        <f t="shared" si="4"/>
        <v>0.10558682780244433</v>
      </c>
      <c r="R14" s="764">
        <f t="shared" si="4"/>
        <v>0.14979890704557142</v>
      </c>
      <c r="S14" s="764">
        <f t="shared" si="4"/>
        <v>2.9055945911607095E-2</v>
      </c>
      <c r="T14" s="763">
        <f t="shared" si="4"/>
        <v>0</v>
      </c>
      <c r="U14" s="764">
        <f t="shared" ref="U14:Y14" si="5">U35</f>
        <v>3.6085750781477355E-2</v>
      </c>
      <c r="V14" s="764">
        <f t="shared" si="5"/>
        <v>3.2005284910624043E-2</v>
      </c>
      <c r="W14" s="764">
        <f t="shared" si="5"/>
        <v>2.9538555790940002E-2</v>
      </c>
      <c r="X14" s="764">
        <f t="shared" si="5"/>
        <v>2.8512142036471788E-2</v>
      </c>
      <c r="Y14" s="764">
        <f t="shared" si="5"/>
        <v>2.8283584176253429E-2</v>
      </c>
      <c r="Z14" s="764">
        <f t="shared" si="4"/>
        <v>2.7654852328046209E-2</v>
      </c>
      <c r="AA14" s="764">
        <f t="shared" si="4"/>
        <v>2.7753662335143536E-2</v>
      </c>
      <c r="AB14" s="764">
        <f t="shared" si="4"/>
        <v>2.8110399323646673E-2</v>
      </c>
      <c r="AC14" s="764">
        <f t="shared" si="4"/>
        <v>2.89673943247446E-2</v>
      </c>
      <c r="AD14" s="764">
        <f t="shared" si="4"/>
        <v>2.9717197286266428E-2</v>
      </c>
      <c r="AE14" s="764">
        <f t="shared" si="4"/>
        <v>2.9972823640437074E-2</v>
      </c>
      <c r="AF14" s="765">
        <f t="shared" si="4"/>
        <v>3.03785434321171E-2</v>
      </c>
    </row>
    <row r="15" spans="2:32" x14ac:dyDescent="0.35">
      <c r="B15" s="74" t="s">
        <v>1826</v>
      </c>
      <c r="C15" s="757"/>
      <c r="D15" s="763">
        <f t="shared" ref="D15:AF15" si="6">D36</f>
        <v>1.6036274889288604E-2</v>
      </c>
      <c r="E15" s="764">
        <f t="shared" si="6"/>
        <v>-1.6750426853228473E-2</v>
      </c>
      <c r="F15" s="764">
        <f t="shared" si="6"/>
        <v>2.5813818283004775E-2</v>
      </c>
      <c r="G15" s="764">
        <f t="shared" si="6"/>
        <v>8.6124156242581851E-3</v>
      </c>
      <c r="H15" s="764">
        <f t="shared" si="6"/>
        <v>1.6996215944869331E-2</v>
      </c>
      <c r="I15" s="764">
        <f t="shared" si="6"/>
        <v>5.0660572456327158E-2</v>
      </c>
      <c r="J15" s="764">
        <f t="shared" si="6"/>
        <v>-1.0613393340251909E-3</v>
      </c>
      <c r="K15" s="764">
        <f t="shared" si="6"/>
        <v>3.4596703938156059E-2</v>
      </c>
      <c r="L15" s="764">
        <f t="shared" si="6"/>
        <v>5.1547958936444926E-2</v>
      </c>
      <c r="M15" s="764">
        <f t="shared" si="6"/>
        <v>9.2834286401326738E-2</v>
      </c>
      <c r="N15" s="764">
        <f t="shared" si="6"/>
        <v>8.057551462066237E-2</v>
      </c>
      <c r="O15" s="764">
        <f t="shared" si="6"/>
        <v>6.4680375979367932E-2</v>
      </c>
      <c r="P15" s="764">
        <f t="shared" si="6"/>
        <v>8.4136934840179034E-2</v>
      </c>
      <c r="Q15" s="764">
        <f t="shared" si="6"/>
        <v>0.10120576467409093</v>
      </c>
      <c r="R15" s="764">
        <f t="shared" si="6"/>
        <v>0.15221841372862355</v>
      </c>
      <c r="S15" s="764">
        <f t="shared" si="6"/>
        <v>1.6422651906601304E-2</v>
      </c>
      <c r="T15" s="763">
        <f t="shared" si="6"/>
        <v>0</v>
      </c>
      <c r="U15" s="764">
        <f t="shared" ref="U15:Y15" si="7">U36</f>
        <v>3.6085750781477355E-2</v>
      </c>
      <c r="V15" s="764">
        <f t="shared" si="7"/>
        <v>3.2005284910624043E-2</v>
      </c>
      <c r="W15" s="764">
        <f t="shared" si="7"/>
        <v>2.9538555790940002E-2</v>
      </c>
      <c r="X15" s="764">
        <f t="shared" si="7"/>
        <v>2.8512142036471788E-2</v>
      </c>
      <c r="Y15" s="764">
        <f t="shared" si="7"/>
        <v>2.8283584176253429E-2</v>
      </c>
      <c r="Z15" s="764">
        <f t="shared" si="6"/>
        <v>2.7654852328046209E-2</v>
      </c>
      <c r="AA15" s="764">
        <f t="shared" si="6"/>
        <v>2.7753662335143536E-2</v>
      </c>
      <c r="AB15" s="764">
        <f t="shared" si="6"/>
        <v>2.8110399323646673E-2</v>
      </c>
      <c r="AC15" s="764">
        <f t="shared" si="6"/>
        <v>2.89673943247446E-2</v>
      </c>
      <c r="AD15" s="764">
        <f t="shared" si="6"/>
        <v>2.9717197286266428E-2</v>
      </c>
      <c r="AE15" s="764">
        <f t="shared" si="6"/>
        <v>2.9972823640437074E-2</v>
      </c>
      <c r="AF15" s="765">
        <f t="shared" si="6"/>
        <v>3.03785434321171E-2</v>
      </c>
    </row>
    <row r="16" spans="2:32" x14ac:dyDescent="0.35">
      <c r="B16" s="754" t="s">
        <v>1827</v>
      </c>
      <c r="C16" s="758"/>
      <c r="D16" s="766">
        <f t="shared" ref="D16:AF16" si="8">D37</f>
        <v>4.1912016313215839E-2</v>
      </c>
      <c r="E16" s="767">
        <f t="shared" si="8"/>
        <v>1.5721372171975556E-2</v>
      </c>
      <c r="F16" s="767">
        <f t="shared" si="8"/>
        <v>4.8037769815769016E-2</v>
      </c>
      <c r="G16" s="767">
        <f t="shared" si="8"/>
        <v>1.9083730667159404E-2</v>
      </c>
      <c r="H16" s="767">
        <f t="shared" si="8"/>
        <v>5.8979339636944239E-3</v>
      </c>
      <c r="I16" s="767">
        <f t="shared" si="8"/>
        <v>1.0418465412080913E-2</v>
      </c>
      <c r="J16" s="767">
        <f t="shared" si="8"/>
        <v>-7.6555980249765065E-3</v>
      </c>
      <c r="K16" s="767">
        <f t="shared" si="8"/>
        <v>4.135501545294451E-2</v>
      </c>
      <c r="L16" s="767">
        <f t="shared" si="8"/>
        <v>1.8415186976738607E-2</v>
      </c>
      <c r="M16" s="767">
        <f t="shared" si="8"/>
        <v>6.4160755006020143E-2</v>
      </c>
      <c r="N16" s="767">
        <f t="shared" si="8"/>
        <v>0.10458990215743946</v>
      </c>
      <c r="O16" s="767">
        <f t="shared" si="8"/>
        <v>9.3631239224950313E-2</v>
      </c>
      <c r="P16" s="767">
        <f t="shared" si="8"/>
        <v>0.12124821634027616</v>
      </c>
      <c r="Q16" s="767">
        <f t="shared" si="8"/>
        <v>0.12687792670398412</v>
      </c>
      <c r="R16" s="767">
        <f t="shared" si="8"/>
        <v>0.13796693794697101</v>
      </c>
      <c r="S16" s="767">
        <f t="shared" si="8"/>
        <v>9.3268944702830758E-2</v>
      </c>
      <c r="T16" s="766">
        <f t="shared" si="8"/>
        <v>0</v>
      </c>
      <c r="U16" s="767">
        <f t="shared" ref="U16:Y16" si="9">U37</f>
        <v>3.6085750781477355E-2</v>
      </c>
      <c r="V16" s="767">
        <f t="shared" si="9"/>
        <v>3.2005284910624043E-2</v>
      </c>
      <c r="W16" s="767">
        <f t="shared" si="9"/>
        <v>2.9538555790940002E-2</v>
      </c>
      <c r="X16" s="767">
        <f t="shared" si="9"/>
        <v>2.8512142036471788E-2</v>
      </c>
      <c r="Y16" s="767">
        <f t="shared" si="9"/>
        <v>2.8283584176253429E-2</v>
      </c>
      <c r="Z16" s="767">
        <f t="shared" si="8"/>
        <v>2.7654852328046209E-2</v>
      </c>
      <c r="AA16" s="767">
        <f t="shared" si="8"/>
        <v>2.7753662335143536E-2</v>
      </c>
      <c r="AB16" s="767">
        <f t="shared" si="8"/>
        <v>2.8110399323646673E-2</v>
      </c>
      <c r="AC16" s="767">
        <f t="shared" si="8"/>
        <v>2.89673943247446E-2</v>
      </c>
      <c r="AD16" s="767">
        <f t="shared" si="8"/>
        <v>2.9717197286266428E-2</v>
      </c>
      <c r="AE16" s="767">
        <f t="shared" si="8"/>
        <v>2.9972823640437074E-2</v>
      </c>
      <c r="AF16" s="768">
        <f t="shared" si="8"/>
        <v>3.03785434321171E-2</v>
      </c>
    </row>
    <row r="17" spans="2:32" x14ac:dyDescent="0.35">
      <c r="B17" s="1234" t="s">
        <v>1854</v>
      </c>
      <c r="C17" s="1235"/>
      <c r="D17" s="1235"/>
      <c r="E17" s="1235"/>
      <c r="F17" s="1235"/>
      <c r="G17" s="1235"/>
      <c r="H17" s="1235"/>
      <c r="I17" s="1235"/>
      <c r="J17" s="1235"/>
      <c r="K17" s="1235"/>
      <c r="L17" s="1235"/>
      <c r="M17" s="1235"/>
      <c r="N17" s="1235"/>
      <c r="O17" s="1235"/>
      <c r="P17" s="1235"/>
      <c r="Q17" s="1235"/>
      <c r="R17" s="1235"/>
      <c r="S17" s="1235"/>
      <c r="T17" s="1235"/>
      <c r="U17" s="1235"/>
      <c r="V17" s="1235"/>
      <c r="W17" s="1235"/>
      <c r="X17" s="1235"/>
      <c r="Y17" s="1235"/>
      <c r="Z17" s="1235"/>
      <c r="AA17" s="1235"/>
      <c r="AB17" s="1235"/>
      <c r="AC17" s="1235"/>
      <c r="AD17" s="1235"/>
      <c r="AE17" s="1235"/>
      <c r="AF17" s="1236"/>
    </row>
    <row r="18" spans="2:32" x14ac:dyDescent="0.35">
      <c r="B18" s="796" t="s">
        <v>1823</v>
      </c>
      <c r="C18" s="797"/>
      <c r="D18" s="794">
        <f t="shared" ref="D18:AF18" si="10">(D12+1)^0.25-1</f>
        <v>3.7677794973836054E-3</v>
      </c>
      <c r="E18" s="794">
        <f t="shared" si="10"/>
        <v>2.0833142133425131E-3</v>
      </c>
      <c r="F18" s="794">
        <f t="shared" si="10"/>
        <v>6.127046928233737E-3</v>
      </c>
      <c r="G18" s="794">
        <f t="shared" si="10"/>
        <v>2.6124871423760521E-3</v>
      </c>
      <c r="H18" s="794">
        <f t="shared" si="10"/>
        <v>3.6225305055199719E-3</v>
      </c>
      <c r="I18" s="794">
        <f t="shared" si="10"/>
        <v>3.6456401581284048E-3</v>
      </c>
      <c r="J18" s="794">
        <f t="shared" si="10"/>
        <v>-4.5157103455735204E-3</v>
      </c>
      <c r="K18" s="794">
        <f t="shared" si="10"/>
        <v>8.3389922585903609E-3</v>
      </c>
      <c r="L18" s="794">
        <f t="shared" si="10"/>
        <v>4.0856275703535783E-3</v>
      </c>
      <c r="M18" s="794">
        <f t="shared" si="10"/>
        <v>1.1071265683547882E-2</v>
      </c>
      <c r="N18" s="794">
        <f t="shared" si="10"/>
        <v>1.5735147135566452E-2</v>
      </c>
      <c r="O18" s="794">
        <f t="shared" si="10"/>
        <v>1.3714972395896918E-2</v>
      </c>
      <c r="P18" s="794">
        <f t="shared" si="10"/>
        <v>1.5118586412170565E-2</v>
      </c>
      <c r="Q18" s="794">
        <f t="shared" si="10"/>
        <v>1.8193665219635502E-2</v>
      </c>
      <c r="R18" s="794">
        <f t="shared" si="10"/>
        <v>1.7752216949378008E-2</v>
      </c>
      <c r="S18" s="795">
        <f t="shared" si="10"/>
        <v>1.0623963938950931E-2</v>
      </c>
      <c r="T18" s="794">
        <f t="shared" si="10"/>
        <v>1.397069567179221E-3</v>
      </c>
      <c r="U18" s="794">
        <f t="shared" si="10"/>
        <v>6.1719714455739094E-3</v>
      </c>
      <c r="V18" s="794">
        <f t="shared" si="10"/>
        <v>5.7855966297839512E-3</v>
      </c>
      <c r="W18" s="794">
        <f t="shared" si="10"/>
        <v>5.6215639895718095E-3</v>
      </c>
      <c r="X18" s="794">
        <f t="shared" si="10"/>
        <v>5.4990460791324303E-3</v>
      </c>
      <c r="Y18" s="794">
        <f t="shared" si="10"/>
        <v>5.3160284933546631E-3</v>
      </c>
      <c r="Z18" s="794">
        <f t="shared" si="10"/>
        <v>5.2109292706559174E-3</v>
      </c>
      <c r="AA18" s="794">
        <f t="shared" si="10"/>
        <v>5.1086251056220444E-3</v>
      </c>
      <c r="AB18" s="794">
        <f t="shared" si="10"/>
        <v>5.0484378109654227E-3</v>
      </c>
      <c r="AC18" s="794">
        <f t="shared" si="10"/>
        <v>5.0576128482484606E-3</v>
      </c>
      <c r="AD18" s="794">
        <f t="shared" si="10"/>
        <v>5.0151813755774377E-3</v>
      </c>
      <c r="AE18" s="794">
        <f t="shared" si="10"/>
        <v>4.9863615486378521E-3</v>
      </c>
      <c r="AF18" s="795">
        <f t="shared" si="10"/>
        <v>4.9642946133339194E-3</v>
      </c>
    </row>
    <row r="19" spans="2:32" x14ac:dyDescent="0.35">
      <c r="B19" s="798" t="s">
        <v>1824</v>
      </c>
      <c r="C19" s="797"/>
      <c r="D19" s="794">
        <f t="shared" ref="D19:AF19" si="11">(D13+1)^0.25-1</f>
        <v>7.3320914354932931E-3</v>
      </c>
      <c r="E19" s="794">
        <f t="shared" si="11"/>
        <v>1.0667565499398624E-2</v>
      </c>
      <c r="F19" s="794">
        <f t="shared" si="11"/>
        <v>-6.652064573700045E-3</v>
      </c>
      <c r="G19" s="794">
        <f t="shared" si="11"/>
        <v>2.495349575790673E-3</v>
      </c>
      <c r="H19" s="794">
        <f t="shared" si="11"/>
        <v>4.0369297610427513E-3</v>
      </c>
      <c r="I19" s="794">
        <f t="shared" si="11"/>
        <v>3.3806321331337763E-3</v>
      </c>
      <c r="J19" s="794">
        <f t="shared" si="11"/>
        <v>8.2658736219798357E-4</v>
      </c>
      <c r="K19" s="794">
        <f t="shared" si="11"/>
        <v>6.4276929430036045E-3</v>
      </c>
      <c r="L19" s="794">
        <f t="shared" si="11"/>
        <v>6.0566056248829714E-3</v>
      </c>
      <c r="M19" s="794">
        <f t="shared" si="11"/>
        <v>1.0054261091605454E-2</v>
      </c>
      <c r="N19" s="794">
        <f t="shared" si="11"/>
        <v>1.0156071698179447E-2</v>
      </c>
      <c r="O19" s="794">
        <f t="shared" si="11"/>
        <v>1.0827344693645324E-2</v>
      </c>
      <c r="P19" s="794">
        <f t="shared" si="11"/>
        <v>1.0685579196217487E-2</v>
      </c>
      <c r="Q19" s="794">
        <f t="shared" si="11"/>
        <v>1.3906845400109002E-2</v>
      </c>
      <c r="R19" s="794">
        <f t="shared" si="11"/>
        <v>1.4664060468276618E-2</v>
      </c>
      <c r="S19" s="795">
        <f t="shared" si="11"/>
        <v>1.1839505254193972E-2</v>
      </c>
      <c r="T19" s="794">
        <f t="shared" si="11"/>
        <v>1.397069567179221E-3</v>
      </c>
      <c r="U19" s="794">
        <f t="shared" si="11"/>
        <v>5.3852809613164077E-3</v>
      </c>
      <c r="V19" s="794">
        <f t="shared" si="11"/>
        <v>5.3287328583728755E-3</v>
      </c>
      <c r="W19" s="794">
        <f t="shared" si="11"/>
        <v>5.3887285830158671E-3</v>
      </c>
      <c r="X19" s="794">
        <f t="shared" si="11"/>
        <v>5.5222732876392122E-3</v>
      </c>
      <c r="Y19" s="794">
        <f t="shared" si="11"/>
        <v>5.5443189442510032E-3</v>
      </c>
      <c r="Z19" s="794">
        <f t="shared" si="11"/>
        <v>5.5773630993742884E-3</v>
      </c>
      <c r="AA19" s="794">
        <f t="shared" si="11"/>
        <v>5.581191357131754E-3</v>
      </c>
      <c r="AB19" s="794">
        <f t="shared" si="11"/>
        <v>5.6744926513563332E-3</v>
      </c>
      <c r="AC19" s="794">
        <f t="shared" si="11"/>
        <v>5.6245185382668428E-3</v>
      </c>
      <c r="AD19" s="794">
        <f t="shared" si="11"/>
        <v>5.6671251297499836E-3</v>
      </c>
      <c r="AE19" s="794">
        <f t="shared" si="11"/>
        <v>5.6492516793433811E-3</v>
      </c>
      <c r="AF19" s="795">
        <f t="shared" si="11"/>
        <v>5.702720637148273E-3</v>
      </c>
    </row>
    <row r="20" spans="2:32" x14ac:dyDescent="0.35">
      <c r="B20" s="798" t="s">
        <v>1825</v>
      </c>
      <c r="C20" s="797"/>
      <c r="D20" s="794">
        <f t="shared" ref="D20:AF20" si="12">(D14+1)^0.25-1</f>
        <v>5.1450282316933826E-3</v>
      </c>
      <c r="E20" s="794">
        <f t="shared" si="12"/>
        <v>-2.7387191894091556E-3</v>
      </c>
      <c r="F20" s="794">
        <f t="shared" si="12"/>
        <v>7.3964237457664339E-3</v>
      </c>
      <c r="G20" s="794">
        <f t="shared" si="12"/>
        <v>2.6215630089621023E-3</v>
      </c>
      <c r="H20" s="794">
        <f t="shared" si="12"/>
        <v>3.7092374780660631E-3</v>
      </c>
      <c r="I20" s="794">
        <f t="shared" si="12"/>
        <v>1.0619239257432245E-2</v>
      </c>
      <c r="J20" s="794">
        <f t="shared" si="12"/>
        <v>-5.737676840339434E-4</v>
      </c>
      <c r="K20" s="794">
        <f t="shared" si="12"/>
        <v>8.8513774045670957E-3</v>
      </c>
      <c r="L20" s="794">
        <f t="shared" si="12"/>
        <v>1.1194346769946906E-2</v>
      </c>
      <c r="M20" s="794">
        <f t="shared" si="12"/>
        <v>2.1242104555839303E-2</v>
      </c>
      <c r="N20" s="794">
        <f t="shared" si="12"/>
        <v>2.0578196323559839E-2</v>
      </c>
      <c r="O20" s="794">
        <f t="shared" si="12"/>
        <v>1.6988080943209027E-2</v>
      </c>
      <c r="P20" s="794">
        <f t="shared" si="12"/>
        <v>2.1886762550021865E-2</v>
      </c>
      <c r="Q20" s="794">
        <f t="shared" si="12"/>
        <v>2.5411571298960212E-2</v>
      </c>
      <c r="R20" s="794">
        <f t="shared" si="12"/>
        <v>3.5512803061239939E-2</v>
      </c>
      <c r="S20" s="795">
        <f t="shared" si="12"/>
        <v>7.1861535090920192E-3</v>
      </c>
      <c r="T20" s="794">
        <f t="shared" si="12"/>
        <v>0</v>
      </c>
      <c r="U20" s="794">
        <f t="shared" si="12"/>
        <v>8.9018658885664514E-3</v>
      </c>
      <c r="V20" s="794">
        <f t="shared" si="12"/>
        <v>7.9070438771131624E-3</v>
      </c>
      <c r="W20" s="794">
        <f t="shared" si="12"/>
        <v>7.3042210756391057E-3</v>
      </c>
      <c r="X20" s="794">
        <f t="shared" si="12"/>
        <v>7.0530654325617892E-3</v>
      </c>
      <c r="Y20" s="794">
        <f t="shared" si="12"/>
        <v>6.9971134735056228E-3</v>
      </c>
      <c r="Z20" s="794">
        <f t="shared" si="12"/>
        <v>6.8431490448084276E-3</v>
      </c>
      <c r="AA20" s="794">
        <f t="shared" si="12"/>
        <v>6.8673504076357528E-3</v>
      </c>
      <c r="AB20" s="794">
        <f t="shared" si="12"/>
        <v>6.9547108559351312E-3</v>
      </c>
      <c r="AC20" s="794">
        <f t="shared" si="12"/>
        <v>7.1644853940870945E-3</v>
      </c>
      <c r="AD20" s="794">
        <f t="shared" si="12"/>
        <v>7.3479141028771622E-3</v>
      </c>
      <c r="AE20" s="794">
        <f t="shared" si="12"/>
        <v>7.410426583688734E-3</v>
      </c>
      <c r="AF20" s="795">
        <f t="shared" si="12"/>
        <v>7.5096199742570313E-3</v>
      </c>
    </row>
    <row r="21" spans="2:32" x14ac:dyDescent="0.35">
      <c r="B21" s="798" t="s">
        <v>1826</v>
      </c>
      <c r="C21" s="797"/>
      <c r="D21" s="794">
        <f t="shared" ref="D21:AF21" si="13">(D15+1)^0.25-1</f>
        <v>3.9851828444024129E-3</v>
      </c>
      <c r="E21" s="794">
        <f t="shared" si="13"/>
        <v>-4.2141708050640325E-3</v>
      </c>
      <c r="F21" s="794">
        <f t="shared" si="13"/>
        <v>6.3919082655803372E-3</v>
      </c>
      <c r="G21" s="794">
        <f t="shared" si="13"/>
        <v>2.1461848510757608E-3</v>
      </c>
      <c r="H21" s="794">
        <f t="shared" si="13"/>
        <v>4.2222376989240473E-3</v>
      </c>
      <c r="I21" s="794">
        <f t="shared" si="13"/>
        <v>1.2431406205300366E-2</v>
      </c>
      <c r="J21" s="794">
        <f t="shared" si="13"/>
        <v>-2.6544050279575515E-4</v>
      </c>
      <c r="K21" s="794">
        <f t="shared" si="13"/>
        <v>8.5391757168795657E-3</v>
      </c>
      <c r="L21" s="794">
        <f t="shared" si="13"/>
        <v>1.2645113075675285E-2</v>
      </c>
      <c r="M21" s="794">
        <f t="shared" si="13"/>
        <v>2.2441757099008752E-2</v>
      </c>
      <c r="N21" s="794">
        <f t="shared" si="13"/>
        <v>1.9562328778359062E-2</v>
      </c>
      <c r="O21" s="794">
        <f t="shared" si="13"/>
        <v>1.5792056507083485E-2</v>
      </c>
      <c r="P21" s="794">
        <f t="shared" si="13"/>
        <v>2.0401374875263389E-2</v>
      </c>
      <c r="Q21" s="794">
        <f t="shared" si="13"/>
        <v>2.4394219276322904E-2</v>
      </c>
      <c r="R21" s="794">
        <f t="shared" si="13"/>
        <v>3.6057127703905678E-2</v>
      </c>
      <c r="S21" s="795">
        <f t="shared" si="13"/>
        <v>4.0806177967589452E-3</v>
      </c>
      <c r="T21" s="794">
        <f t="shared" si="13"/>
        <v>0</v>
      </c>
      <c r="U21" s="794">
        <f t="shared" si="13"/>
        <v>8.9018658885664514E-3</v>
      </c>
      <c r="V21" s="794">
        <f t="shared" si="13"/>
        <v>7.9070438771131624E-3</v>
      </c>
      <c r="W21" s="794">
        <f t="shared" si="13"/>
        <v>7.3042210756391057E-3</v>
      </c>
      <c r="X21" s="794">
        <f t="shared" si="13"/>
        <v>7.0530654325617892E-3</v>
      </c>
      <c r="Y21" s="794">
        <f t="shared" si="13"/>
        <v>6.9971134735056228E-3</v>
      </c>
      <c r="Z21" s="794">
        <f t="shared" si="13"/>
        <v>6.8431490448084276E-3</v>
      </c>
      <c r="AA21" s="794">
        <f t="shared" si="13"/>
        <v>6.8673504076357528E-3</v>
      </c>
      <c r="AB21" s="794">
        <f t="shared" si="13"/>
        <v>6.9547108559351312E-3</v>
      </c>
      <c r="AC21" s="794">
        <f t="shared" si="13"/>
        <v>7.1644853940870945E-3</v>
      </c>
      <c r="AD21" s="794">
        <f t="shared" si="13"/>
        <v>7.3479141028771622E-3</v>
      </c>
      <c r="AE21" s="794">
        <f t="shared" si="13"/>
        <v>7.410426583688734E-3</v>
      </c>
      <c r="AF21" s="795">
        <f t="shared" si="13"/>
        <v>7.5096199742570313E-3</v>
      </c>
    </row>
    <row r="22" spans="2:32" x14ac:dyDescent="0.35">
      <c r="B22" s="799" t="s">
        <v>1827</v>
      </c>
      <c r="C22" s="800"/>
      <c r="D22" s="801">
        <f t="shared" ref="D22:AF22" si="14">(D16+1)^0.25-1</f>
        <v>1.0317235016500392E-2</v>
      </c>
      <c r="E22" s="801">
        <f t="shared" si="14"/>
        <v>3.9073818785286818E-3</v>
      </c>
      <c r="F22" s="801">
        <f t="shared" si="14"/>
        <v>1.1798971416576265E-2</v>
      </c>
      <c r="G22" s="801">
        <f t="shared" si="14"/>
        <v>4.7371651351562072E-3</v>
      </c>
      <c r="H22" s="801">
        <f t="shared" si="14"/>
        <v>1.4712335131508159E-3</v>
      </c>
      <c r="I22" s="801">
        <f t="shared" si="14"/>
        <v>2.5945017182129604E-3</v>
      </c>
      <c r="J22" s="801">
        <f t="shared" si="14"/>
        <v>-1.9194186903395138E-3</v>
      </c>
      <c r="K22" s="801">
        <f t="shared" si="14"/>
        <v>1.0182180325898571E-2</v>
      </c>
      <c r="L22" s="801">
        <f t="shared" si="14"/>
        <v>4.5723415828120562E-3</v>
      </c>
      <c r="M22" s="801">
        <f t="shared" si="14"/>
        <v>1.5668093602477118E-2</v>
      </c>
      <c r="N22" s="801">
        <f t="shared" si="14"/>
        <v>2.5180335515684549E-2</v>
      </c>
      <c r="O22" s="801">
        <f t="shared" si="14"/>
        <v>2.2628110857430661E-2</v>
      </c>
      <c r="P22" s="801">
        <f t="shared" si="14"/>
        <v>2.9023851519918598E-2</v>
      </c>
      <c r="Q22" s="801">
        <f t="shared" si="14"/>
        <v>3.0313091147743609E-2</v>
      </c>
      <c r="R22" s="801">
        <f t="shared" si="14"/>
        <v>3.2838482925038104E-2</v>
      </c>
      <c r="S22" s="802">
        <f t="shared" si="14"/>
        <v>2.2543407123629677E-2</v>
      </c>
      <c r="T22" s="801">
        <f t="shared" si="14"/>
        <v>0</v>
      </c>
      <c r="U22" s="801">
        <f t="shared" si="14"/>
        <v>8.9018658885664514E-3</v>
      </c>
      <c r="V22" s="801">
        <f t="shared" si="14"/>
        <v>7.9070438771131624E-3</v>
      </c>
      <c r="W22" s="801">
        <f t="shared" si="14"/>
        <v>7.3042210756391057E-3</v>
      </c>
      <c r="X22" s="801">
        <f t="shared" si="14"/>
        <v>7.0530654325617892E-3</v>
      </c>
      <c r="Y22" s="801">
        <f t="shared" si="14"/>
        <v>6.9971134735056228E-3</v>
      </c>
      <c r="Z22" s="801">
        <f t="shared" si="14"/>
        <v>6.8431490448084276E-3</v>
      </c>
      <c r="AA22" s="801">
        <f t="shared" si="14"/>
        <v>6.8673504076357528E-3</v>
      </c>
      <c r="AB22" s="801">
        <f t="shared" si="14"/>
        <v>6.9547108559351312E-3</v>
      </c>
      <c r="AC22" s="801">
        <f t="shared" si="14"/>
        <v>7.1644853940870945E-3</v>
      </c>
      <c r="AD22" s="801">
        <f t="shared" si="14"/>
        <v>7.3479141028771622E-3</v>
      </c>
      <c r="AE22" s="801">
        <f t="shared" si="14"/>
        <v>7.410426583688734E-3</v>
      </c>
      <c r="AF22" s="802">
        <f t="shared" si="14"/>
        <v>7.5096199742570313E-3</v>
      </c>
    </row>
    <row r="23" spans="2:32" x14ac:dyDescent="0.35">
      <c r="B23" s="75"/>
      <c r="C23" s="757"/>
      <c r="D23" s="764"/>
      <c r="E23" s="764"/>
      <c r="F23" s="764"/>
      <c r="G23" s="764"/>
      <c r="H23" s="764"/>
      <c r="I23" s="764"/>
      <c r="J23" s="764"/>
      <c r="K23" s="764"/>
      <c r="L23" s="764"/>
      <c r="M23" s="764"/>
      <c r="N23" s="764"/>
      <c r="O23" s="764"/>
      <c r="P23" s="764"/>
      <c r="Q23" s="764"/>
      <c r="R23" s="764"/>
      <c r="S23" s="764"/>
      <c r="T23" s="764"/>
      <c r="U23" s="764"/>
      <c r="V23" s="764"/>
      <c r="W23" s="764"/>
      <c r="X23" s="764"/>
      <c r="Y23" s="764"/>
      <c r="Z23" s="764"/>
      <c r="AA23" s="764"/>
      <c r="AB23" s="764"/>
      <c r="AC23" s="764"/>
      <c r="AD23" s="764"/>
      <c r="AE23" s="764"/>
      <c r="AF23" s="764"/>
    </row>
    <row r="24" spans="2:32" x14ac:dyDescent="0.35">
      <c r="B24" s="75"/>
      <c r="C24" s="757"/>
      <c r="D24" s="764"/>
      <c r="E24" s="764"/>
      <c r="F24" s="764"/>
      <c r="G24" s="764"/>
      <c r="H24" s="764"/>
      <c r="I24" s="764"/>
      <c r="J24" s="764"/>
      <c r="K24" s="764"/>
      <c r="L24" s="764"/>
      <c r="M24" s="764"/>
      <c r="N24" s="764"/>
      <c r="O24" s="764"/>
      <c r="P24" s="764"/>
      <c r="Q24" s="764"/>
      <c r="R24" s="764"/>
      <c r="S24" s="764"/>
      <c r="T24" s="764"/>
      <c r="U24" s="764"/>
      <c r="V24" s="764"/>
      <c r="W24" s="764"/>
      <c r="X24" s="764"/>
      <c r="Y24" s="764"/>
      <c r="Z24" s="764"/>
      <c r="AA24" s="764"/>
      <c r="AB24" s="764"/>
      <c r="AC24" s="764"/>
      <c r="AD24" s="764"/>
      <c r="AE24" s="764"/>
      <c r="AF24" s="764"/>
    </row>
    <row r="25" spans="2:32" x14ac:dyDescent="0.35">
      <c r="B25" s="75"/>
      <c r="C25" s="757"/>
      <c r="D25" s="764"/>
      <c r="E25" s="764"/>
      <c r="F25" s="764"/>
      <c r="G25" s="764"/>
      <c r="H25" s="764"/>
      <c r="I25" s="764"/>
      <c r="J25" s="764"/>
      <c r="K25" s="764"/>
      <c r="L25" s="764"/>
      <c r="M25" s="764"/>
      <c r="N25" s="764"/>
      <c r="O25" s="764"/>
      <c r="P25" s="764"/>
      <c r="Q25" s="764"/>
      <c r="R25" s="764"/>
      <c r="S25" s="764"/>
      <c r="T25" s="764"/>
      <c r="U25" s="764"/>
      <c r="V25" s="764"/>
      <c r="W25" s="764"/>
      <c r="X25" s="764"/>
      <c r="Y25" s="764"/>
      <c r="Z25" s="764"/>
      <c r="AA25" s="764"/>
      <c r="AB25" s="764"/>
      <c r="AC25" s="764"/>
      <c r="AD25" s="764"/>
      <c r="AE25" s="764"/>
      <c r="AF25" s="764"/>
    </row>
    <row r="26" spans="2:32" x14ac:dyDescent="0.35">
      <c r="B26" s="75"/>
      <c r="C26" s="757"/>
      <c r="D26" s="764"/>
      <c r="E26" s="764"/>
      <c r="F26" s="764"/>
      <c r="G26" s="764"/>
      <c r="H26" s="764"/>
      <c r="I26" s="764"/>
      <c r="J26" s="764"/>
      <c r="K26" s="764"/>
      <c r="L26" s="764"/>
      <c r="M26" s="764"/>
      <c r="N26" s="764"/>
      <c r="O26" s="764"/>
      <c r="P26" s="764"/>
      <c r="Q26" s="764"/>
      <c r="R26" s="764"/>
      <c r="S26" s="764"/>
      <c r="T26" s="764"/>
      <c r="U26" s="764"/>
      <c r="V26" s="764"/>
      <c r="W26" s="764"/>
      <c r="X26" s="764"/>
      <c r="Y26" s="764"/>
      <c r="Z26" s="764"/>
      <c r="AA26" s="764"/>
      <c r="AB26" s="764"/>
      <c r="AC26" s="764"/>
      <c r="AD26" s="764"/>
      <c r="AE26" s="764"/>
      <c r="AF26" s="764"/>
    </row>
    <row r="27" spans="2:32" x14ac:dyDescent="0.35">
      <c r="B27" s="75"/>
      <c r="C27" s="757"/>
      <c r="D27" s="764"/>
      <c r="E27" s="764"/>
      <c r="F27" s="764"/>
      <c r="G27" s="764"/>
      <c r="H27" s="764"/>
      <c r="I27" s="764"/>
      <c r="J27" s="764"/>
      <c r="K27" s="764"/>
      <c r="L27" s="764"/>
      <c r="M27" s="764"/>
      <c r="N27" s="764"/>
      <c r="O27" s="764"/>
      <c r="P27" s="764"/>
      <c r="Q27" s="764"/>
      <c r="R27" s="764"/>
      <c r="S27" s="764"/>
      <c r="T27" s="764"/>
      <c r="U27" s="764"/>
      <c r="V27" s="764"/>
      <c r="W27" s="764"/>
      <c r="X27" s="764"/>
      <c r="Y27" s="764"/>
      <c r="Z27" s="764"/>
      <c r="AA27" s="764"/>
      <c r="AB27" s="764"/>
      <c r="AC27" s="764"/>
      <c r="AD27" s="764"/>
      <c r="AE27" s="764"/>
      <c r="AF27" s="764"/>
    </row>
    <row r="28" spans="2:32" x14ac:dyDescent="0.35">
      <c r="B28" s="75"/>
      <c r="C28" s="757"/>
      <c r="D28" s="764"/>
      <c r="E28" s="764"/>
      <c r="F28" s="764"/>
      <c r="G28" s="764"/>
      <c r="H28" s="764"/>
      <c r="I28" s="764"/>
      <c r="J28" s="764"/>
      <c r="K28" s="764"/>
      <c r="L28" s="764"/>
      <c r="M28" s="764"/>
      <c r="N28" s="764"/>
      <c r="O28" s="764"/>
      <c r="P28" s="764"/>
      <c r="Q28" s="764"/>
      <c r="R28" s="764"/>
      <c r="S28" s="764"/>
      <c r="T28" s="764"/>
      <c r="U28" s="764"/>
      <c r="V28" s="764"/>
      <c r="W28" s="764"/>
      <c r="X28" s="764"/>
      <c r="Y28" s="764"/>
      <c r="Z28" s="764"/>
      <c r="AA28" s="764"/>
      <c r="AB28" s="764"/>
      <c r="AC28" s="764"/>
      <c r="AD28" s="764"/>
      <c r="AE28" s="764"/>
      <c r="AF28" s="764"/>
    </row>
    <row r="29" spans="2:32" x14ac:dyDescent="0.35">
      <c r="B29" s="1233" t="s">
        <v>1851</v>
      </c>
      <c r="C29" s="1233"/>
      <c r="D29" s="752"/>
      <c r="E29" s="752"/>
      <c r="F29" s="752"/>
      <c r="G29" s="752"/>
      <c r="H29" s="752"/>
      <c r="I29" s="752"/>
      <c r="J29" s="752"/>
      <c r="K29" s="752"/>
      <c r="L29" s="752"/>
      <c r="M29" s="752"/>
      <c r="N29" s="752"/>
      <c r="O29" s="752"/>
      <c r="P29" s="752"/>
      <c r="Q29" s="752"/>
      <c r="R29" s="752"/>
      <c r="S29" s="752"/>
      <c r="T29" s="752"/>
      <c r="U29" s="752"/>
      <c r="V29" s="752"/>
      <c r="W29" s="752"/>
      <c r="X29" s="752"/>
      <c r="Y29" s="752"/>
      <c r="Z29" s="752"/>
      <c r="AA29" s="752"/>
      <c r="AB29" s="752"/>
      <c r="AC29" s="752"/>
    </row>
    <row r="30" spans="2:32" x14ac:dyDescent="0.35">
      <c r="B30" s="1244" t="s">
        <v>1822</v>
      </c>
      <c r="C30" s="1126"/>
      <c r="D30" s="1478" t="s">
        <v>1852</v>
      </c>
      <c r="E30" s="1479"/>
      <c r="F30" s="1479"/>
      <c r="G30" s="1479"/>
      <c r="H30" s="1479"/>
      <c r="I30" s="1479"/>
      <c r="J30" s="1479"/>
      <c r="K30" s="1479"/>
      <c r="L30" s="1479"/>
      <c r="M30" s="1479"/>
      <c r="N30" s="1479"/>
      <c r="O30" s="1479"/>
      <c r="P30" s="1479"/>
      <c r="Q30" s="1480"/>
      <c r="R30" s="1480"/>
      <c r="S30" s="1480"/>
      <c r="T30" s="1480"/>
      <c r="U30" s="1296" t="s">
        <v>2213</v>
      </c>
      <c r="V30" s="1296"/>
      <c r="W30" s="1296"/>
      <c r="X30" s="1296"/>
      <c r="Y30" s="1296"/>
      <c r="Z30" s="1296"/>
      <c r="AA30" s="1296"/>
      <c r="AB30" s="1296"/>
      <c r="AC30" s="1296"/>
      <c r="AD30" s="1296"/>
      <c r="AE30" s="1296"/>
      <c r="AF30" s="1297"/>
    </row>
    <row r="31" spans="2:32" x14ac:dyDescent="0.35">
      <c r="B31" s="1143"/>
      <c r="C31" s="1144"/>
      <c r="D31" s="149">
        <v>2018</v>
      </c>
      <c r="E31" s="1161">
        <v>2019</v>
      </c>
      <c r="F31" s="1162"/>
      <c r="G31" s="1162"/>
      <c r="H31" s="1169"/>
      <c r="I31" s="1161">
        <v>2020</v>
      </c>
      <c r="J31" s="1162"/>
      <c r="K31" s="1162"/>
      <c r="L31" s="1162"/>
      <c r="M31" s="1161">
        <v>2021</v>
      </c>
      <c r="N31" s="1162"/>
      <c r="O31" s="1162"/>
      <c r="P31" s="1162"/>
      <c r="Q31" s="1098">
        <v>2022</v>
      </c>
      <c r="R31" s="1099"/>
      <c r="S31" s="1099"/>
      <c r="T31" s="1308"/>
      <c r="U31" s="1277">
        <v>2023</v>
      </c>
      <c r="V31" s="1146"/>
      <c r="W31" s="1146"/>
      <c r="X31" s="1146"/>
      <c r="Y31" s="1145">
        <v>2024</v>
      </c>
      <c r="Z31" s="1146"/>
      <c r="AA31" s="1146"/>
      <c r="AB31" s="1147"/>
      <c r="AC31" s="1145">
        <v>2025</v>
      </c>
      <c r="AD31" s="1146"/>
      <c r="AE31" s="1146"/>
      <c r="AF31" s="1147"/>
    </row>
    <row r="32" spans="2:32" x14ac:dyDescent="0.35">
      <c r="B32" s="1153"/>
      <c r="C32" s="1154"/>
      <c r="D32" s="149" t="s">
        <v>327</v>
      </c>
      <c r="E32" s="149" t="s">
        <v>328</v>
      </c>
      <c r="F32" s="148" t="s">
        <v>329</v>
      </c>
      <c r="G32" s="148" t="s">
        <v>238</v>
      </c>
      <c r="H32" s="198" t="s">
        <v>327</v>
      </c>
      <c r="I32" s="148" t="s">
        <v>328</v>
      </c>
      <c r="J32" s="148" t="s">
        <v>329</v>
      </c>
      <c r="K32" s="148" t="s">
        <v>238</v>
      </c>
      <c r="L32" s="148" t="s">
        <v>327</v>
      </c>
      <c r="M32" s="149" t="s">
        <v>328</v>
      </c>
      <c r="N32" s="148" t="s">
        <v>329</v>
      </c>
      <c r="O32" s="148" t="s">
        <v>238</v>
      </c>
      <c r="P32" s="148" t="s">
        <v>327</v>
      </c>
      <c r="Q32" s="1051" t="s">
        <v>328</v>
      </c>
      <c r="R32" s="1039" t="s">
        <v>329</v>
      </c>
      <c r="S32" s="1039" t="s">
        <v>238</v>
      </c>
      <c r="T32" s="1052" t="s">
        <v>327</v>
      </c>
      <c r="U32" s="1282" t="s">
        <v>328</v>
      </c>
      <c r="V32" s="329" t="s">
        <v>329</v>
      </c>
      <c r="W32" s="329" t="s">
        <v>238</v>
      </c>
      <c r="X32" s="329" t="s">
        <v>327</v>
      </c>
      <c r="Y32" s="328" t="s">
        <v>328</v>
      </c>
      <c r="Z32" s="230" t="s">
        <v>329</v>
      </c>
      <c r="AA32" s="329" t="s">
        <v>238</v>
      </c>
      <c r="AB32" s="341" t="s">
        <v>327</v>
      </c>
      <c r="AC32" s="356" t="s">
        <v>328</v>
      </c>
      <c r="AD32" s="329" t="s">
        <v>329</v>
      </c>
      <c r="AE32" s="329" t="s">
        <v>238</v>
      </c>
      <c r="AF32" s="341" t="s">
        <v>327</v>
      </c>
    </row>
    <row r="33" spans="2:48" x14ac:dyDescent="0.35">
      <c r="B33" s="755" t="s">
        <v>1823</v>
      </c>
      <c r="C33" s="756" t="s">
        <v>1811</v>
      </c>
      <c r="D33" s="1483">
        <f>('Haver Pivoted'!GO76+1)^4-1</f>
        <v>1.5156509117148609E-2</v>
      </c>
      <c r="E33" s="1484">
        <f>('Haver Pivoted'!GP76+1)^4-1</f>
        <v>8.3593342288621475E-3</v>
      </c>
      <c r="F33" s="1484">
        <f>('Haver Pivoted'!GQ76+1)^4-1</f>
        <v>2.4734353401225873E-2</v>
      </c>
      <c r="G33" s="1484">
        <f>('Haver Pivoted'!GR76+1)^4-1</f>
        <v>1.0490970472330163E-2</v>
      </c>
      <c r="H33" s="1484">
        <f>('Haver Pivoted'!GS76+1)^4-1</f>
        <v>1.4569048707785859E-2</v>
      </c>
      <c r="I33" s="1484">
        <f>('Haver Pivoted'!GT76+1)^4-1</f>
        <v>1.4662498774455912E-2</v>
      </c>
      <c r="J33" s="1484">
        <f>('Haver Pivoted'!GU76+1)^4-1</f>
        <v>-1.794085945788193E-2</v>
      </c>
      <c r="K33" s="1484">
        <f>('Haver Pivoted'!GV76+1)^4-1</f>
        <v>3.3775526155126689E-2</v>
      </c>
      <c r="L33" s="1484">
        <f>('Haver Pivoted'!GW76+1)^4-1</f>
        <v>1.6442937470855457E-2</v>
      </c>
      <c r="M33" s="1484">
        <f>('Haver Pivoted'!GX76+1)^4-1</f>
        <v>4.5025943450949013E-2</v>
      </c>
      <c r="N33" s="1484">
        <f>('Haver Pivoted'!GY76+1)^4-1</f>
        <v>6.444180274366329E-2</v>
      </c>
      <c r="O33" s="1484">
        <f>('Haver Pivoted'!GZ76+1)^4-1</f>
        <v>5.5998846943190017E-2</v>
      </c>
      <c r="P33" s="1484">
        <f>('Haver Pivoted'!HA76+1)^4-1</f>
        <v>6.1859650545573519E-2</v>
      </c>
      <c r="Q33" s="1484">
        <f>('Haver Pivoted'!HB76+1)^4-1</f>
        <v>7.4784916271317448E-2</v>
      </c>
      <c r="R33" s="1484">
        <f>('Haver Pivoted'!HC76+1)^4-1</f>
        <v>7.2922192171477107E-2</v>
      </c>
      <c r="S33" s="1485">
        <f>('Haver Pivoted'!HD76+1)^4-1</f>
        <v>4.3177876601944165E-2</v>
      </c>
      <c r="T33" s="1486">
        <f>('Haver Pivoted'!HE76+1)^4-1</f>
        <v>0</v>
      </c>
      <c r="U33" s="761">
        <f t="shared" ref="T33:AF33" si="15">(U49/T49)^4-1</f>
        <v>2.4917387063888574E-2</v>
      </c>
      <c r="V33" s="761">
        <f t="shared" si="15"/>
        <v>2.3344001057836294E-2</v>
      </c>
      <c r="W33" s="761">
        <f t="shared" si="15"/>
        <v>2.2676579457354684E-2</v>
      </c>
      <c r="X33" s="761">
        <f t="shared" si="15"/>
        <v>2.2178287431426913E-2</v>
      </c>
      <c r="Y33" s="761">
        <f t="shared" si="15"/>
        <v>2.1434276652948725E-2</v>
      </c>
      <c r="Z33" s="761">
        <f t="shared" si="15"/>
        <v>2.1007206508923071E-2</v>
      </c>
      <c r="AA33" s="761">
        <f t="shared" si="15"/>
        <v>2.0591622707038626E-2</v>
      </c>
      <c r="AB33" s="761">
        <f t="shared" si="15"/>
        <v>2.0347186911993109E-2</v>
      </c>
      <c r="AC33" s="761">
        <f t="shared" si="15"/>
        <v>2.0384446217412533E-2</v>
      </c>
      <c r="AD33" s="761">
        <f t="shared" si="15"/>
        <v>2.021214296856999E-2</v>
      </c>
      <c r="AE33" s="761">
        <f t="shared" si="15"/>
        <v>2.00951255413373E-2</v>
      </c>
      <c r="AF33" s="762">
        <f t="shared" si="15"/>
        <v>2.0005533751415339E-2</v>
      </c>
    </row>
    <row r="34" spans="2:48" x14ac:dyDescent="0.35">
      <c r="B34" s="74" t="s">
        <v>1824</v>
      </c>
      <c r="C34" s="757" t="s">
        <v>1812</v>
      </c>
      <c r="D34" s="763">
        <f>('Haver Pivoted'!GO77+1)^4-1</f>
        <v>2.9652502701153827E-2</v>
      </c>
      <c r="E34" s="1481">
        <f>('Haver Pivoted'!GP77+1)^4-1</f>
        <v>4.3357912415273203E-2</v>
      </c>
      <c r="F34" s="1481">
        <f>('Haver Pivoted'!GQ77+1)^4-1</f>
        <v>-2.634393397263235E-2</v>
      </c>
      <c r="G34" s="1481">
        <f>('Haver Pivoted'!GR77+1)^4-1</f>
        <v>1.0018821110834297E-2</v>
      </c>
      <c r="H34" s="1481">
        <f>('Haver Pivoted'!GS77+1)^4-1</f>
        <v>1.6245763277308534E-2</v>
      </c>
      <c r="I34" s="1481">
        <f>('Haver Pivoted'!GT77+1)^4-1</f>
        <v>1.3591255249431944E-2</v>
      </c>
      <c r="J34" s="1481">
        <f>('Haver Pivoted'!GU77+1)^4-1</f>
        <v>3.3104511883148557E-3</v>
      </c>
      <c r="K34" s="1481">
        <f>('Haver Pivoted'!GV77+1)^4-1</f>
        <v>2.5959727144998501E-2</v>
      </c>
      <c r="L34" s="1481">
        <f>('Haver Pivoted'!GW77+1)^4-1</f>
        <v>2.4447407360365325E-2</v>
      </c>
      <c r="M34" s="1481">
        <f>('Haver Pivoted'!GX77+1)^4-1</f>
        <v>4.0827649049088865E-2</v>
      </c>
      <c r="N34" s="1481">
        <f>('Haver Pivoted'!GY77+1)^4-1</f>
        <v>4.1247362410053112E-2</v>
      </c>
      <c r="O34" s="1481">
        <f>('Haver Pivoted'!GZ77+1)^4-1</f>
        <v>4.4017858095279694E-2</v>
      </c>
      <c r="P34" s="1481">
        <f>('Haver Pivoted'!HA77+1)^4-1</f>
        <v>4.3432299825096221E-2</v>
      </c>
      <c r="Q34" s="1481">
        <f>('Haver Pivoted'!HB77+1)^4-1</f>
        <v>5.6798579453040565E-2</v>
      </c>
      <c r="R34" s="1481">
        <f>('Haver Pivoted'!HC77+1)^4-1</f>
        <v>5.9959109255099508E-2</v>
      </c>
      <c r="S34" s="1482">
        <f>('Haver Pivoted'!HD77+1)^4-1</f>
        <v>4.8205722331254197E-2</v>
      </c>
      <c r="T34" s="1487">
        <f>('Haver Pivoted'!HE77+1)^4-1</f>
        <v>0</v>
      </c>
      <c r="U34" s="764">
        <f t="shared" ref="T34:AF34" si="16">(U50/T50)^4-1</f>
        <v>2.1715756912072059E-2</v>
      </c>
      <c r="V34" s="764">
        <f t="shared" si="16"/>
        <v>2.1485909848919071E-2</v>
      </c>
      <c r="W34" s="764">
        <f t="shared" si="16"/>
        <v>2.1729771469872761E-2</v>
      </c>
      <c r="X34" s="764">
        <f t="shared" si="16"/>
        <v>2.2272740712103056E-2</v>
      </c>
      <c r="Y34" s="764">
        <f t="shared" si="16"/>
        <v>2.2362395275012936E-2</v>
      </c>
      <c r="Z34" s="764">
        <f t="shared" si="16"/>
        <v>2.249678921966547E-2</v>
      </c>
      <c r="AA34" s="764">
        <f t="shared" si="16"/>
        <v>2.2512359990298103E-2</v>
      </c>
      <c r="AB34" s="764">
        <f t="shared" si="16"/>
        <v>2.289190171498956E-2</v>
      </c>
      <c r="AC34" s="764">
        <f t="shared" si="16"/>
        <v>2.2688598137850624E-2</v>
      </c>
      <c r="AD34" s="764">
        <f t="shared" si="16"/>
        <v>2.2861927422402006E-2</v>
      </c>
      <c r="AE34" s="764">
        <f t="shared" si="16"/>
        <v>2.2789213164978062E-2</v>
      </c>
      <c r="AF34" s="765">
        <f t="shared" si="16"/>
        <v>2.3006751575430417E-2</v>
      </c>
    </row>
    <row r="35" spans="2:48" x14ac:dyDescent="0.35">
      <c r="B35" s="74" t="s">
        <v>1825</v>
      </c>
      <c r="C35" s="757" t="s">
        <v>1813</v>
      </c>
      <c r="D35" s="763">
        <f>('Haver Pivoted'!GO78+1)^4-1</f>
        <v>2.0739486303195998E-2</v>
      </c>
      <c r="E35" s="1481">
        <f>('Haver Pivoted'!GP78+1)^4-1</f>
        <v>-1.0909955372547464E-2</v>
      </c>
      <c r="F35" s="1481">
        <f>('Haver Pivoted'!GQ78+1)^4-1</f>
        <v>2.9915559028399707E-2</v>
      </c>
      <c r="G35" s="1481">
        <f>('Haver Pivoted'!GR78+1)^4-1</f>
        <v>1.0527559706478895E-2</v>
      </c>
      <c r="H35" s="1481">
        <f>('Haver Pivoted'!GS78+1)^4-1</f>
        <v>1.4919704890896002E-2</v>
      </c>
      <c r="I35" s="1481">
        <f>('Haver Pivoted'!GT78+1)^4-1</f>
        <v>4.3158369252632278E-2</v>
      </c>
      <c r="J35" s="1481">
        <f>('Haver Pivoted'!GU78+1)^4-1</f>
        <v>-2.2930962354547058E-3</v>
      </c>
      <c r="K35" s="1481">
        <f>('Haver Pivoted'!GV78+1)^4-1</f>
        <v>3.587837095953339E-2</v>
      </c>
      <c r="L35" s="1481">
        <f>('Haver Pivoted'!GW78+1)^4-1</f>
        <v>4.5534894387470937E-2</v>
      </c>
      <c r="M35" s="1481">
        <f>('Haver Pivoted'!GX78+1)^4-1</f>
        <v>8.7714323909891423E-2</v>
      </c>
      <c r="N35" s="1481">
        <f>('Haver Pivoted'!GY78+1)^4-1</f>
        <v>8.4888593948209357E-2</v>
      </c>
      <c r="O35" s="1481">
        <f>('Haver Pivoted'!GZ78+1)^4-1</f>
        <v>6.9703587118332688E-2</v>
      </c>
      <c r="P35" s="1481">
        <f>('Haver Pivoted'!HA78+1)^4-1</f>
        <v>9.0463399615994478E-2</v>
      </c>
      <c r="Q35" s="1481">
        <f>('Haver Pivoted'!HB78+1)^4-1</f>
        <v>0.10558682780244433</v>
      </c>
      <c r="R35" s="1481">
        <f>('Haver Pivoted'!HC78+1)^4-1</f>
        <v>0.14979890704557142</v>
      </c>
      <c r="S35" s="1482">
        <f>('Haver Pivoted'!HD78+1)^4-1</f>
        <v>2.9055945911607095E-2</v>
      </c>
      <c r="T35" s="1487">
        <f>('Haver Pivoted'!HE78+1)^4-1</f>
        <v>0</v>
      </c>
      <c r="U35" s="764">
        <f t="shared" ref="T35:AF35" si="17">(U51/T51)^4-1</f>
        <v>3.6085750781477355E-2</v>
      </c>
      <c r="V35" s="764">
        <f t="shared" si="17"/>
        <v>3.2005284910624043E-2</v>
      </c>
      <c r="W35" s="764">
        <f t="shared" si="17"/>
        <v>2.9538555790940002E-2</v>
      </c>
      <c r="X35" s="764">
        <f t="shared" si="17"/>
        <v>2.8512142036471788E-2</v>
      </c>
      <c r="Y35" s="764">
        <f t="shared" si="17"/>
        <v>2.8283584176253429E-2</v>
      </c>
      <c r="Z35" s="764">
        <f t="shared" si="17"/>
        <v>2.7654852328046209E-2</v>
      </c>
      <c r="AA35" s="764">
        <f t="shared" si="17"/>
        <v>2.7753662335143536E-2</v>
      </c>
      <c r="AB35" s="764">
        <f t="shared" si="17"/>
        <v>2.8110399323646673E-2</v>
      </c>
      <c r="AC35" s="764">
        <f t="shared" si="17"/>
        <v>2.89673943247446E-2</v>
      </c>
      <c r="AD35" s="764">
        <f t="shared" si="17"/>
        <v>2.9717197286266428E-2</v>
      </c>
      <c r="AE35" s="764">
        <f t="shared" si="17"/>
        <v>2.9972823640437074E-2</v>
      </c>
      <c r="AF35" s="765">
        <f t="shared" si="17"/>
        <v>3.03785434321171E-2</v>
      </c>
    </row>
    <row r="36" spans="2:48" x14ac:dyDescent="0.35">
      <c r="B36" s="74" t="s">
        <v>1826</v>
      </c>
      <c r="C36" s="757" t="s">
        <v>1814</v>
      </c>
      <c r="D36" s="763">
        <f>('Haver Pivoted'!GO79+1)^4-1</f>
        <v>1.6036274889288604E-2</v>
      </c>
      <c r="E36" s="1481">
        <f>('Haver Pivoted'!GP79+1)^4-1</f>
        <v>-1.6750426853228473E-2</v>
      </c>
      <c r="F36" s="1481">
        <f>('Haver Pivoted'!GQ79+1)^4-1</f>
        <v>2.5813818283004775E-2</v>
      </c>
      <c r="G36" s="1481">
        <f>('Haver Pivoted'!GR79+1)^4-1</f>
        <v>8.6124156242581851E-3</v>
      </c>
      <c r="H36" s="1481">
        <f>('Haver Pivoted'!GS79+1)^4-1</f>
        <v>1.6996215944869331E-2</v>
      </c>
      <c r="I36" s="1481">
        <f>('Haver Pivoted'!GT79+1)^4-1</f>
        <v>5.0660572456327158E-2</v>
      </c>
      <c r="J36" s="1481">
        <f>('Haver Pivoted'!GU79+1)^4-1</f>
        <v>-1.0613393340251909E-3</v>
      </c>
      <c r="K36" s="1481">
        <f>('Haver Pivoted'!GV79+1)^4-1</f>
        <v>3.4596703938156059E-2</v>
      </c>
      <c r="L36" s="1481">
        <f>('Haver Pivoted'!GW79+1)^4-1</f>
        <v>5.1547958936444926E-2</v>
      </c>
      <c r="M36" s="1481">
        <f>('Haver Pivoted'!GX79+1)^4-1</f>
        <v>9.2834286401326738E-2</v>
      </c>
      <c r="N36" s="1481">
        <f>('Haver Pivoted'!GY79+1)^4-1</f>
        <v>8.057551462066237E-2</v>
      </c>
      <c r="O36" s="1481">
        <f>('Haver Pivoted'!GZ79+1)^4-1</f>
        <v>6.4680375979367932E-2</v>
      </c>
      <c r="P36" s="1481">
        <f>('Haver Pivoted'!HA79+1)^4-1</f>
        <v>8.4136934840179034E-2</v>
      </c>
      <c r="Q36" s="1481">
        <f>('Haver Pivoted'!HB79+1)^4-1</f>
        <v>0.10120576467409093</v>
      </c>
      <c r="R36" s="1481">
        <f>('Haver Pivoted'!HC79+1)^4-1</f>
        <v>0.15221841372862355</v>
      </c>
      <c r="S36" s="1482">
        <f>('Haver Pivoted'!HD79+1)^4-1</f>
        <v>1.6422651906601304E-2</v>
      </c>
      <c r="T36" s="1487">
        <f>('Haver Pivoted'!HE79+1)^4-1</f>
        <v>0</v>
      </c>
      <c r="U36" s="764">
        <f t="shared" ref="U36:AF37" si="18">U35</f>
        <v>3.6085750781477355E-2</v>
      </c>
      <c r="V36" s="764">
        <f t="shared" si="18"/>
        <v>3.2005284910624043E-2</v>
      </c>
      <c r="W36" s="764">
        <f t="shared" si="18"/>
        <v>2.9538555790940002E-2</v>
      </c>
      <c r="X36" s="764">
        <f t="shared" si="18"/>
        <v>2.8512142036471788E-2</v>
      </c>
      <c r="Y36" s="764">
        <f t="shared" si="18"/>
        <v>2.8283584176253429E-2</v>
      </c>
      <c r="Z36" s="764">
        <f t="shared" si="18"/>
        <v>2.7654852328046209E-2</v>
      </c>
      <c r="AA36" s="764">
        <f t="shared" si="18"/>
        <v>2.7753662335143536E-2</v>
      </c>
      <c r="AB36" s="764">
        <f t="shared" si="18"/>
        <v>2.8110399323646673E-2</v>
      </c>
      <c r="AC36" s="764">
        <f t="shared" si="18"/>
        <v>2.89673943247446E-2</v>
      </c>
      <c r="AD36" s="764">
        <f t="shared" si="18"/>
        <v>2.9717197286266428E-2</v>
      </c>
      <c r="AE36" s="764">
        <f t="shared" si="18"/>
        <v>2.9972823640437074E-2</v>
      </c>
      <c r="AF36" s="765">
        <f t="shared" si="18"/>
        <v>3.03785434321171E-2</v>
      </c>
    </row>
    <row r="37" spans="2:48" x14ac:dyDescent="0.35">
      <c r="B37" s="754" t="s">
        <v>1827</v>
      </c>
      <c r="C37" s="758" t="s">
        <v>1815</v>
      </c>
      <c r="D37" s="766">
        <f>('Haver Pivoted'!GO80+1)^4-1</f>
        <v>4.1912016313215839E-2</v>
      </c>
      <c r="E37" s="767">
        <f>('Haver Pivoted'!GP80+1)^4-1</f>
        <v>1.5721372171975556E-2</v>
      </c>
      <c r="F37" s="767">
        <f>('Haver Pivoted'!GQ80+1)^4-1</f>
        <v>4.8037769815769016E-2</v>
      </c>
      <c r="G37" s="767">
        <f>('Haver Pivoted'!GR80+1)^4-1</f>
        <v>1.9083730667159404E-2</v>
      </c>
      <c r="H37" s="767">
        <f>('Haver Pivoted'!GS80+1)^4-1</f>
        <v>5.8979339636944239E-3</v>
      </c>
      <c r="I37" s="767">
        <f>('Haver Pivoted'!GT80+1)^4-1</f>
        <v>1.0418465412080913E-2</v>
      </c>
      <c r="J37" s="767">
        <f>('Haver Pivoted'!GU80+1)^4-1</f>
        <v>-7.6555980249765065E-3</v>
      </c>
      <c r="K37" s="767">
        <f>('Haver Pivoted'!GV80+1)^4-1</f>
        <v>4.135501545294451E-2</v>
      </c>
      <c r="L37" s="767">
        <f>('Haver Pivoted'!GW80+1)^4-1</f>
        <v>1.8415186976738607E-2</v>
      </c>
      <c r="M37" s="767">
        <f>('Haver Pivoted'!GX80+1)^4-1</f>
        <v>6.4160755006020143E-2</v>
      </c>
      <c r="N37" s="767">
        <f>('Haver Pivoted'!GY80+1)^4-1</f>
        <v>0.10458990215743946</v>
      </c>
      <c r="O37" s="767">
        <f>('Haver Pivoted'!GZ80+1)^4-1</f>
        <v>9.3631239224950313E-2</v>
      </c>
      <c r="P37" s="767">
        <f>('Haver Pivoted'!HA80+1)^4-1</f>
        <v>0.12124821634027616</v>
      </c>
      <c r="Q37" s="767">
        <f>('Haver Pivoted'!HB80+1)^4-1</f>
        <v>0.12687792670398412</v>
      </c>
      <c r="R37" s="767">
        <f>('Haver Pivoted'!HC80+1)^4-1</f>
        <v>0.13796693794697101</v>
      </c>
      <c r="S37" s="1476">
        <f>('Haver Pivoted'!HD80+1)^4-1</f>
        <v>9.3268944702830758E-2</v>
      </c>
      <c r="T37" s="1488">
        <f>('Haver Pivoted'!HE80+1)^4-1</f>
        <v>0</v>
      </c>
      <c r="U37" s="767">
        <f t="shared" si="18"/>
        <v>3.6085750781477355E-2</v>
      </c>
      <c r="V37" s="767">
        <f t="shared" si="18"/>
        <v>3.2005284910624043E-2</v>
      </c>
      <c r="W37" s="767">
        <f t="shared" si="18"/>
        <v>2.9538555790940002E-2</v>
      </c>
      <c r="X37" s="767">
        <f t="shared" si="18"/>
        <v>2.8512142036471788E-2</v>
      </c>
      <c r="Y37" s="767">
        <f t="shared" si="18"/>
        <v>2.8283584176253429E-2</v>
      </c>
      <c r="Z37" s="767">
        <f t="shared" si="18"/>
        <v>2.7654852328046209E-2</v>
      </c>
      <c r="AA37" s="767">
        <f t="shared" si="18"/>
        <v>2.7753662335143536E-2</v>
      </c>
      <c r="AB37" s="767">
        <f t="shared" si="18"/>
        <v>2.8110399323646673E-2</v>
      </c>
      <c r="AC37" s="767">
        <f t="shared" si="18"/>
        <v>2.89673943247446E-2</v>
      </c>
      <c r="AD37" s="767">
        <f t="shared" si="18"/>
        <v>2.9717197286266428E-2</v>
      </c>
      <c r="AE37" s="767">
        <f t="shared" si="18"/>
        <v>2.9972823640437074E-2</v>
      </c>
      <c r="AF37" s="768">
        <f t="shared" si="18"/>
        <v>3.03785434321171E-2</v>
      </c>
    </row>
    <row r="38" spans="2:48" x14ac:dyDescent="0.35">
      <c r="B38" s="75"/>
      <c r="C38" s="757"/>
      <c r="D38" s="764"/>
      <c r="E38" s="764"/>
      <c r="F38" s="764"/>
      <c r="G38" s="764"/>
      <c r="H38" s="764"/>
      <c r="I38" s="764"/>
      <c r="J38" s="764"/>
      <c r="K38" s="764"/>
      <c r="L38" s="764"/>
      <c r="M38" s="764"/>
      <c r="N38" s="764"/>
      <c r="O38" s="764"/>
      <c r="P38" s="764"/>
      <c r="Q38" s="764"/>
      <c r="R38" s="764"/>
      <c r="S38" s="764"/>
      <c r="T38" s="764"/>
      <c r="U38" s="764"/>
      <c r="V38" s="764"/>
      <c r="W38" s="764"/>
      <c r="X38" s="764"/>
      <c r="Y38" s="764"/>
      <c r="Z38" s="764"/>
      <c r="AA38" s="764"/>
      <c r="AB38" s="764"/>
      <c r="AC38" s="764"/>
      <c r="AD38" s="764"/>
      <c r="AE38" s="764"/>
      <c r="AF38" s="764"/>
    </row>
    <row r="39" spans="2:48" ht="14.5" customHeight="1" x14ac:dyDescent="0.35">
      <c r="B39" s="1232" t="s">
        <v>1853</v>
      </c>
      <c r="C39" s="1232"/>
      <c r="D39" s="1232"/>
      <c r="E39" s="1232"/>
      <c r="F39" s="752"/>
      <c r="G39" s="752"/>
      <c r="H39" s="752"/>
      <c r="I39" s="752"/>
      <c r="J39" s="752"/>
      <c r="K39" s="752"/>
      <c r="L39" s="752"/>
      <c r="M39" s="752"/>
      <c r="N39" s="752"/>
      <c r="O39" s="752"/>
      <c r="P39" s="752"/>
      <c r="Q39" s="752"/>
      <c r="R39" s="752"/>
      <c r="S39" s="752"/>
      <c r="T39" s="752"/>
      <c r="U39" s="752"/>
      <c r="V39" s="752"/>
      <c r="W39" s="752"/>
      <c r="X39" s="752"/>
      <c r="Y39" s="752"/>
      <c r="Z39" s="752"/>
      <c r="AA39" s="752"/>
      <c r="AB39" s="752"/>
      <c r="AC39" s="752"/>
    </row>
    <row r="40" spans="2:48" ht="30" customHeight="1" x14ac:dyDescent="0.35">
      <c r="B40" s="787" t="s">
        <v>1828</v>
      </c>
      <c r="C40" s="788"/>
      <c r="D40" s="141">
        <v>2018</v>
      </c>
      <c r="E40" s="1114">
        <v>2019</v>
      </c>
      <c r="F40" s="1115"/>
      <c r="G40" s="1115"/>
      <c r="H40" s="1122"/>
      <c r="I40" s="1114">
        <v>2020</v>
      </c>
      <c r="J40" s="1115"/>
      <c r="K40" s="1115"/>
      <c r="L40" s="1115"/>
      <c r="M40" s="1114">
        <v>2021</v>
      </c>
      <c r="N40" s="1115"/>
      <c r="O40" s="1115"/>
      <c r="P40" s="1115"/>
      <c r="Q40" s="1290">
        <v>2022</v>
      </c>
      <c r="R40" s="1100"/>
      <c r="S40" s="1040"/>
      <c r="T40" s="1298"/>
      <c r="U40" s="1277">
        <v>2023</v>
      </c>
      <c r="V40" s="1146"/>
      <c r="W40" s="1146"/>
      <c r="X40" s="1146"/>
      <c r="Y40" s="1145">
        <v>2024</v>
      </c>
      <c r="Z40" s="1146"/>
      <c r="AA40" s="1146"/>
      <c r="AB40" s="1147"/>
      <c r="AC40" s="1145">
        <v>2025</v>
      </c>
      <c r="AD40" s="1146"/>
      <c r="AE40" s="1146"/>
      <c r="AF40" s="1147"/>
    </row>
    <row r="41" spans="2:48" x14ac:dyDescent="0.35">
      <c r="B41" s="769"/>
      <c r="C41" s="520"/>
      <c r="D41" s="1039" t="s">
        <v>327</v>
      </c>
      <c r="E41" s="1051" t="s">
        <v>328</v>
      </c>
      <c r="F41" s="1039" t="s">
        <v>329</v>
      </c>
      <c r="G41" s="1039" t="s">
        <v>238</v>
      </c>
      <c r="H41" s="1052" t="s">
        <v>327</v>
      </c>
      <c r="I41" s="1039" t="s">
        <v>328</v>
      </c>
      <c r="J41" s="1039" t="s">
        <v>329</v>
      </c>
      <c r="K41" s="1039" t="s">
        <v>238</v>
      </c>
      <c r="L41" s="1039" t="s">
        <v>327</v>
      </c>
      <c r="M41" s="1051" t="s">
        <v>328</v>
      </c>
      <c r="N41" s="1039" t="s">
        <v>329</v>
      </c>
      <c r="O41" s="1039" t="s">
        <v>238</v>
      </c>
      <c r="P41" s="1039" t="s">
        <v>327</v>
      </c>
      <c r="Q41" s="1051" t="s">
        <v>328</v>
      </c>
      <c r="R41" s="1039" t="s">
        <v>329</v>
      </c>
      <c r="S41" s="1039" t="s">
        <v>238</v>
      </c>
      <c r="T41" s="1052" t="s">
        <v>327</v>
      </c>
      <c r="U41" s="255" t="s">
        <v>328</v>
      </c>
      <c r="V41" s="255" t="s">
        <v>329</v>
      </c>
      <c r="W41" s="255" t="s">
        <v>238</v>
      </c>
      <c r="X41" s="255" t="s">
        <v>327</v>
      </c>
      <c r="Y41" s="254" t="s">
        <v>328</v>
      </c>
      <c r="Z41" s="250" t="s">
        <v>329</v>
      </c>
      <c r="AA41" s="255" t="s">
        <v>238</v>
      </c>
      <c r="AB41" s="256" t="s">
        <v>327</v>
      </c>
      <c r="AC41" s="258" t="s">
        <v>328</v>
      </c>
      <c r="AD41" s="255" t="s">
        <v>329</v>
      </c>
      <c r="AE41" s="255" t="s">
        <v>238</v>
      </c>
      <c r="AF41" s="256" t="s">
        <v>327</v>
      </c>
    </row>
    <row r="42" spans="2:48" ht="26.25" customHeight="1" x14ac:dyDescent="0.35">
      <c r="B42" s="770" t="s">
        <v>1829</v>
      </c>
      <c r="C42" s="1328" t="s">
        <v>1832</v>
      </c>
      <c r="D42" s="1464"/>
      <c r="E42" s="1492"/>
      <c r="F42" s="1492"/>
      <c r="G42" s="1492"/>
      <c r="H42" s="1492"/>
      <c r="I42" s="1492"/>
      <c r="J42" s="1492"/>
      <c r="K42" s="1492"/>
      <c r="L42" s="1492"/>
      <c r="M42" s="1492"/>
      <c r="N42" s="1492"/>
      <c r="O42" s="1492"/>
      <c r="P42" s="1492"/>
      <c r="Q42" s="1492"/>
      <c r="R42" s="1492"/>
      <c r="S42" s="1493">
        <v>17251.3</v>
      </c>
      <c r="T42" s="1494">
        <v>17488.099999999999</v>
      </c>
      <c r="U42" s="773">
        <v>17692.3</v>
      </c>
      <c r="V42" s="773">
        <v>17892.599999999999</v>
      </c>
      <c r="W42" s="773">
        <v>18086.3</v>
      </c>
      <c r="X42" s="773">
        <v>18268.2</v>
      </c>
      <c r="Y42" s="773">
        <v>18446.3</v>
      </c>
      <c r="Z42" s="774">
        <v>18612.400000000001</v>
      </c>
      <c r="AA42" s="774">
        <v>18774.5</v>
      </c>
      <c r="AB42" s="774">
        <v>18946.900000000001</v>
      </c>
      <c r="AC42" s="774">
        <v>19117.900000000001</v>
      </c>
      <c r="AD42" s="774">
        <v>19292.7</v>
      </c>
      <c r="AE42" s="774">
        <v>19460.400000000001</v>
      </c>
      <c r="AF42" s="775">
        <v>19646.400000000001</v>
      </c>
      <c r="AG42" s="774"/>
      <c r="AH42" s="774"/>
      <c r="AI42" s="774"/>
      <c r="AJ42" s="774"/>
      <c r="AK42" s="774"/>
      <c r="AL42" s="774"/>
      <c r="AM42" s="774"/>
      <c r="AN42" s="774"/>
      <c r="AO42" s="774"/>
    </row>
    <row r="43" spans="2:48" ht="26.25" customHeight="1" x14ac:dyDescent="0.35">
      <c r="B43" s="770" t="s">
        <v>1830</v>
      </c>
      <c r="C43" s="1328" t="s">
        <v>1833</v>
      </c>
      <c r="D43" s="48"/>
      <c r="E43" s="1328"/>
      <c r="F43" s="1328"/>
      <c r="G43" s="1328"/>
      <c r="H43" s="1328"/>
      <c r="I43" s="1328"/>
      <c r="J43" s="1328"/>
      <c r="K43" s="1328"/>
      <c r="L43" s="1328"/>
      <c r="M43" s="1328"/>
      <c r="N43" s="1328"/>
      <c r="O43" s="1328"/>
      <c r="P43" s="1328"/>
      <c r="Q43" s="1328"/>
      <c r="R43" s="1328"/>
      <c r="S43" s="1491">
        <v>1607.9</v>
      </c>
      <c r="T43" s="1495">
        <v>1622.9</v>
      </c>
      <c r="U43" s="776">
        <v>1639</v>
      </c>
      <c r="V43" s="776">
        <v>1653.9</v>
      </c>
      <c r="W43" s="776">
        <v>1667.4</v>
      </c>
      <c r="X43" s="776">
        <v>1679.6</v>
      </c>
      <c r="Y43" s="776">
        <v>1693.3</v>
      </c>
      <c r="Z43" s="777">
        <v>1706.4</v>
      </c>
      <c r="AA43" s="777">
        <v>1719.6</v>
      </c>
      <c r="AB43" s="777">
        <v>1732.8</v>
      </c>
      <c r="AC43" s="777">
        <v>1743.7</v>
      </c>
      <c r="AD43" s="777">
        <v>1755</v>
      </c>
      <c r="AE43" s="777">
        <v>1766.6</v>
      </c>
      <c r="AF43" s="778">
        <v>1778.5</v>
      </c>
      <c r="AG43" s="777"/>
      <c r="AH43" s="777"/>
      <c r="AI43" s="777"/>
      <c r="AJ43" s="777"/>
      <c r="AK43" s="777"/>
      <c r="AL43" s="777"/>
      <c r="AM43" s="777"/>
      <c r="AN43" s="777"/>
      <c r="AO43" s="777"/>
    </row>
    <row r="44" spans="2:48" ht="26.25" customHeight="1" x14ac:dyDescent="0.35">
      <c r="B44" s="770" t="s">
        <v>1831</v>
      </c>
      <c r="C44" s="1328" t="s">
        <v>1834</v>
      </c>
      <c r="D44" s="48"/>
      <c r="E44" s="1328"/>
      <c r="F44" s="1328"/>
      <c r="G44" s="1328"/>
      <c r="H44" s="1328"/>
      <c r="I44" s="1328"/>
      <c r="J44" s="1328"/>
      <c r="K44" s="1328"/>
      <c r="L44" s="1328"/>
      <c r="M44" s="1328"/>
      <c r="N44" s="1328"/>
      <c r="O44" s="1328"/>
      <c r="P44" s="1328"/>
      <c r="Q44" s="1328"/>
      <c r="R44" s="1328"/>
      <c r="S44" s="1491">
        <v>2737.7</v>
      </c>
      <c r="T44" s="1495">
        <v>2776</v>
      </c>
      <c r="U44" s="776">
        <v>2809.9</v>
      </c>
      <c r="V44" s="776">
        <v>2839.2</v>
      </c>
      <c r="W44" s="776">
        <v>2865.7</v>
      </c>
      <c r="X44" s="776">
        <v>2891.3</v>
      </c>
      <c r="Y44" s="776">
        <v>2916.4</v>
      </c>
      <c r="Z44" s="777">
        <v>2941.4</v>
      </c>
      <c r="AA44" s="777">
        <v>2967.1</v>
      </c>
      <c r="AB44" s="777">
        <v>2993.7</v>
      </c>
      <c r="AC44" s="777">
        <v>3022.3</v>
      </c>
      <c r="AD44" s="777">
        <v>3052</v>
      </c>
      <c r="AE44" s="777">
        <v>3082.6</v>
      </c>
      <c r="AF44" s="778">
        <v>3113.5</v>
      </c>
      <c r="AG44" s="777"/>
      <c r="AH44" s="777"/>
      <c r="AI44" s="777"/>
      <c r="AJ44" s="777"/>
      <c r="AK44" s="777"/>
      <c r="AL44" s="777"/>
      <c r="AM44" s="777"/>
      <c r="AN44" s="777"/>
      <c r="AO44" s="777"/>
    </row>
    <row r="45" spans="2:48" ht="26.25" customHeight="1" x14ac:dyDescent="0.35">
      <c r="B45" s="770" t="s">
        <v>1829</v>
      </c>
      <c r="C45" s="1328" t="s">
        <v>1835</v>
      </c>
      <c r="D45" s="48"/>
      <c r="E45" s="1328"/>
      <c r="F45" s="1328"/>
      <c r="G45" s="1328"/>
      <c r="H45" s="1328"/>
      <c r="I45" s="1328"/>
      <c r="J45" s="1328"/>
      <c r="K45" s="1328"/>
      <c r="L45" s="1328"/>
      <c r="M45" s="1328"/>
      <c r="N45" s="1328"/>
      <c r="O45" s="1328"/>
      <c r="P45" s="1328"/>
      <c r="Q45" s="1328"/>
      <c r="R45" s="1328"/>
      <c r="S45" s="1491">
        <v>14141.9</v>
      </c>
      <c r="T45" s="1495">
        <v>14239.3</v>
      </c>
      <c r="U45" s="776">
        <v>14317.2</v>
      </c>
      <c r="V45" s="776">
        <v>14396</v>
      </c>
      <c r="W45" s="776">
        <v>14470.5</v>
      </c>
      <c r="X45" s="776">
        <v>14536.1</v>
      </c>
      <c r="Y45" s="776">
        <v>14600.2</v>
      </c>
      <c r="Z45" s="777">
        <v>14655.3</v>
      </c>
      <c r="AA45" s="777">
        <v>14707.8</v>
      </c>
      <c r="AB45" s="777">
        <v>14768.3</v>
      </c>
      <c r="AC45" s="777">
        <v>14826.6</v>
      </c>
      <c r="AD45" s="777">
        <v>14887.5</v>
      </c>
      <c r="AE45" s="777">
        <v>14942.4</v>
      </c>
      <c r="AF45" s="778">
        <v>15010.7</v>
      </c>
      <c r="AG45" s="777"/>
      <c r="AH45" s="777"/>
      <c r="AI45" s="777"/>
      <c r="AJ45" s="777"/>
      <c r="AK45" s="777"/>
      <c r="AL45" s="777"/>
      <c r="AM45" s="777"/>
      <c r="AN45" s="777"/>
      <c r="AO45" s="777"/>
    </row>
    <row r="46" spans="2:48" ht="26.25" customHeight="1" x14ac:dyDescent="0.35">
      <c r="B46" s="770" t="s">
        <v>1830</v>
      </c>
      <c r="C46" s="1328" t="s">
        <v>1836</v>
      </c>
      <c r="D46" s="48"/>
      <c r="E46" s="1328"/>
      <c r="F46" s="1328"/>
      <c r="G46" s="1328"/>
      <c r="H46" s="1328"/>
      <c r="I46" s="1328"/>
      <c r="J46" s="1328"/>
      <c r="K46" s="1328"/>
      <c r="L46" s="1328"/>
      <c r="M46" s="1328"/>
      <c r="N46" s="1328"/>
      <c r="O46" s="1328"/>
      <c r="P46" s="1328"/>
      <c r="Q46" s="1328"/>
      <c r="R46" s="1328"/>
      <c r="S46" s="1491">
        <v>1325.4</v>
      </c>
      <c r="T46" s="1495">
        <v>1330.1</v>
      </c>
      <c r="U46" s="776">
        <v>1336.1</v>
      </c>
      <c r="V46" s="776">
        <v>1341.1</v>
      </c>
      <c r="W46" s="776">
        <v>1344.8</v>
      </c>
      <c r="X46" s="776">
        <v>1347.2</v>
      </c>
      <c r="Y46" s="776">
        <v>1350.7</v>
      </c>
      <c r="Z46" s="777">
        <v>1353.6</v>
      </c>
      <c r="AA46" s="777">
        <v>1356.5</v>
      </c>
      <c r="AB46" s="777">
        <v>1359.2</v>
      </c>
      <c r="AC46" s="777">
        <v>1360.1</v>
      </c>
      <c r="AD46" s="777">
        <v>1361.2</v>
      </c>
      <c r="AE46" s="777">
        <v>1362.5</v>
      </c>
      <c r="AF46" s="778">
        <v>1363.9</v>
      </c>
      <c r="AG46" s="777"/>
      <c r="AH46" s="777"/>
      <c r="AI46" s="777"/>
      <c r="AJ46" s="777"/>
      <c r="AK46" s="777"/>
      <c r="AL46" s="777"/>
      <c r="AM46" s="777"/>
      <c r="AN46" s="777"/>
      <c r="AO46" s="777"/>
    </row>
    <row r="47" spans="2:48" ht="26.25" customHeight="1" x14ac:dyDescent="0.35">
      <c r="B47" s="771" t="s">
        <v>1831</v>
      </c>
      <c r="C47" s="37" t="s">
        <v>1837</v>
      </c>
      <c r="D47" s="381"/>
      <c r="E47" s="37"/>
      <c r="F47" s="37"/>
      <c r="G47" s="37"/>
      <c r="H47" s="37"/>
      <c r="I47" s="37"/>
      <c r="J47" s="37"/>
      <c r="K47" s="37"/>
      <c r="L47" s="37"/>
      <c r="M47" s="37"/>
      <c r="N47" s="37"/>
      <c r="O47" s="37"/>
      <c r="P47" s="37"/>
      <c r="Q47" s="37"/>
      <c r="R47" s="37"/>
      <c r="S47" s="793">
        <v>2063.4</v>
      </c>
      <c r="T47" s="1496">
        <v>2072.6999999999998</v>
      </c>
      <c r="U47" s="780">
        <v>2079.5</v>
      </c>
      <c r="V47" s="780">
        <v>2084.6999999999998</v>
      </c>
      <c r="W47" s="780">
        <v>2088.9</v>
      </c>
      <c r="X47" s="780">
        <v>2092.8000000000002</v>
      </c>
      <c r="Y47" s="780">
        <v>2096.3000000000002</v>
      </c>
      <c r="Z47" s="781">
        <v>2099.9</v>
      </c>
      <c r="AA47" s="781">
        <v>2103.8000000000002</v>
      </c>
      <c r="AB47" s="781">
        <v>2108</v>
      </c>
      <c r="AC47" s="781">
        <v>2113</v>
      </c>
      <c r="AD47" s="781">
        <v>2118.1999999999998</v>
      </c>
      <c r="AE47" s="781">
        <v>2123.6999999999998</v>
      </c>
      <c r="AF47" s="782">
        <v>2129</v>
      </c>
      <c r="AG47" s="777"/>
      <c r="AH47" s="777"/>
      <c r="AI47" s="777"/>
      <c r="AJ47" s="777"/>
      <c r="AK47" s="777"/>
      <c r="AL47" s="777"/>
      <c r="AM47" s="777"/>
      <c r="AN47" s="777"/>
      <c r="AO47" s="777"/>
    </row>
    <row r="48" spans="2:48" x14ac:dyDescent="0.35">
      <c r="B48" s="789"/>
      <c r="C48" s="790"/>
      <c r="D48" s="1489"/>
      <c r="E48" s="1489"/>
      <c r="F48" s="1489"/>
      <c r="G48" s="1489"/>
      <c r="H48" s="1489"/>
      <c r="I48" s="1489"/>
      <c r="J48" s="1489"/>
      <c r="K48" s="1489"/>
      <c r="L48" s="1489"/>
      <c r="M48" s="1489"/>
      <c r="N48" s="1489"/>
      <c r="O48" s="1489"/>
      <c r="P48" s="1489"/>
      <c r="Q48" s="1489"/>
      <c r="R48" s="1489"/>
      <c r="S48" s="1489"/>
      <c r="T48" s="1490" t="s">
        <v>1819</v>
      </c>
      <c r="U48" s="791"/>
      <c r="V48" s="791"/>
      <c r="W48" s="791"/>
      <c r="X48" s="791"/>
      <c r="Y48" s="791"/>
      <c r="Z48" s="791"/>
      <c r="AA48" s="791"/>
      <c r="AB48" s="791"/>
      <c r="AC48" s="791"/>
      <c r="AD48" s="791"/>
      <c r="AE48" s="791"/>
      <c r="AF48" s="792"/>
      <c r="AG48" s="151"/>
      <c r="AH48" s="151"/>
      <c r="AI48" s="151"/>
      <c r="AJ48" s="151"/>
      <c r="AK48" s="151"/>
      <c r="AL48" s="151"/>
      <c r="AM48" s="151"/>
      <c r="AN48" s="151"/>
      <c r="AO48" s="151"/>
      <c r="AP48" s="36"/>
      <c r="AQ48" s="36"/>
      <c r="AR48" s="36"/>
      <c r="AS48" s="36"/>
      <c r="AT48" s="36"/>
      <c r="AU48" s="36"/>
      <c r="AV48" s="36"/>
    </row>
    <row r="49" spans="2:41" x14ac:dyDescent="0.35">
      <c r="B49" s="755" t="s">
        <v>1823</v>
      </c>
      <c r="C49" s="83"/>
      <c r="D49" s="594"/>
      <c r="E49" s="594"/>
      <c r="F49" s="594"/>
      <c r="G49" s="594"/>
      <c r="H49" s="594"/>
      <c r="I49" s="594"/>
      <c r="J49" s="594"/>
      <c r="K49" s="594"/>
      <c r="L49" s="594"/>
      <c r="M49" s="594"/>
      <c r="N49" s="594"/>
      <c r="O49" s="594"/>
      <c r="P49" s="594"/>
      <c r="Q49" s="594"/>
      <c r="R49" s="594"/>
      <c r="S49" s="783">
        <f>S42/S45</f>
        <v>1.2198714458453248</v>
      </c>
      <c r="T49" s="783">
        <f>T42/T45</f>
        <v>1.2281572830125076</v>
      </c>
      <c r="U49" s="783">
        <f t="shared" ref="U49:AF49" si="19">U42/U45</f>
        <v>1.2357374346939345</v>
      </c>
      <c r="V49" s="783">
        <f t="shared" si="19"/>
        <v>1.2428869130313975</v>
      </c>
      <c r="W49" s="783">
        <f t="shared" si="19"/>
        <v>1.2498738813448049</v>
      </c>
      <c r="X49" s="783">
        <f t="shared" si="19"/>
        <v>1.2567469954114241</v>
      </c>
      <c r="Y49" s="783">
        <f t="shared" si="19"/>
        <v>1.2634278982479692</v>
      </c>
      <c r="Z49" s="783">
        <f t="shared" si="19"/>
        <v>1.2700115316643128</v>
      </c>
      <c r="AA49" s="783">
        <f t="shared" si="19"/>
        <v>1.2764995444594025</v>
      </c>
      <c r="AB49" s="783">
        <f t="shared" si="19"/>
        <v>1.2829438730253315</v>
      </c>
      <c r="AC49" s="783">
        <f t="shared" si="19"/>
        <v>1.2894325064411261</v>
      </c>
      <c r="AD49" s="783">
        <f t="shared" si="19"/>
        <v>1.2958992443324937</v>
      </c>
      <c r="AE49" s="783">
        <f t="shared" si="19"/>
        <v>1.3023610664953422</v>
      </c>
      <c r="AF49" s="784">
        <f t="shared" si="19"/>
        <v>1.3088263705223608</v>
      </c>
      <c r="AG49" s="774"/>
      <c r="AH49" s="774"/>
      <c r="AI49" s="774"/>
      <c r="AJ49" s="774"/>
      <c r="AK49" s="774"/>
      <c r="AL49" s="774"/>
      <c r="AM49" s="774"/>
      <c r="AN49" s="774"/>
      <c r="AO49" s="774"/>
    </row>
    <row r="50" spans="2:41" x14ac:dyDescent="0.35">
      <c r="B50" s="74" t="s">
        <v>1824</v>
      </c>
      <c r="C50" s="272"/>
      <c r="D50" s="36"/>
      <c r="E50" s="36"/>
      <c r="F50" s="36"/>
      <c r="G50" s="36"/>
      <c r="H50" s="36"/>
      <c r="I50" s="36"/>
      <c r="J50" s="36"/>
      <c r="K50" s="36"/>
      <c r="L50" s="36"/>
      <c r="M50" s="36"/>
      <c r="N50" s="36"/>
      <c r="O50" s="36"/>
      <c r="P50" s="36"/>
      <c r="Q50" s="36"/>
      <c r="R50" s="36"/>
      <c r="S50" s="773">
        <f t="shared" ref="S50" si="20">S43/S46</f>
        <v>1.2131432020522106</v>
      </c>
      <c r="T50" s="773">
        <f t="shared" ref="T50:AF51" si="21">T43/T46</f>
        <v>1.2201338245244719</v>
      </c>
      <c r="U50" s="773">
        <f t="shared" si="21"/>
        <v>1.2267045879799416</v>
      </c>
      <c r="V50" s="773">
        <f t="shared" si="21"/>
        <v>1.2332413690254271</v>
      </c>
      <c r="W50" s="773">
        <f t="shared" si="21"/>
        <v>1.2398869720404522</v>
      </c>
      <c r="X50" s="773">
        <f t="shared" si="21"/>
        <v>1.246733966745843</v>
      </c>
      <c r="Y50" s="773">
        <f t="shared" si="21"/>
        <v>1.2536462574961131</v>
      </c>
      <c r="Z50" s="773">
        <f t="shared" si="21"/>
        <v>1.2606382978723405</v>
      </c>
      <c r="AA50" s="773">
        <f t="shared" si="21"/>
        <v>1.267674161444895</v>
      </c>
      <c r="AB50" s="773">
        <f t="shared" si="21"/>
        <v>1.2748675691583284</v>
      </c>
      <c r="AC50" s="773">
        <f t="shared" si="21"/>
        <v>1.2820380854348945</v>
      </c>
      <c r="AD50" s="773">
        <f t="shared" si="21"/>
        <v>1.2893035556861592</v>
      </c>
      <c r="AE50" s="773">
        <f t="shared" si="21"/>
        <v>1.2965871559633027</v>
      </c>
      <c r="AF50" s="785">
        <f t="shared" si="21"/>
        <v>1.3039812302954761</v>
      </c>
      <c r="AG50" s="777"/>
      <c r="AH50" s="777"/>
      <c r="AI50" s="777"/>
      <c r="AJ50" s="777"/>
      <c r="AK50" s="777"/>
      <c r="AL50" s="777"/>
      <c r="AM50" s="777"/>
      <c r="AN50" s="777"/>
      <c r="AO50" s="777"/>
    </row>
    <row r="51" spans="2:41" x14ac:dyDescent="0.35">
      <c r="B51" s="754" t="s">
        <v>1825</v>
      </c>
      <c r="C51" s="274"/>
      <c r="D51" s="37"/>
      <c r="E51" s="37"/>
      <c r="F51" s="37"/>
      <c r="G51" s="37"/>
      <c r="H51" s="37"/>
      <c r="I51" s="37"/>
      <c r="J51" s="37"/>
      <c r="K51" s="37"/>
      <c r="L51" s="37"/>
      <c r="M51" s="37"/>
      <c r="N51" s="37"/>
      <c r="O51" s="37"/>
      <c r="P51" s="37"/>
      <c r="Q51" s="37"/>
      <c r="R51" s="37"/>
      <c r="S51" s="779">
        <f t="shared" ref="S51" si="22">S44/S47</f>
        <v>1.3267907337404283</v>
      </c>
      <c r="T51" s="779">
        <f t="shared" si="21"/>
        <v>1.3393158681912483</v>
      </c>
      <c r="U51" s="779">
        <f t="shared" si="21"/>
        <v>1.3512382784323156</v>
      </c>
      <c r="V51" s="779">
        <f t="shared" si="21"/>
        <v>1.3619225787883149</v>
      </c>
      <c r="W51" s="779">
        <f t="shared" si="21"/>
        <v>1.3718703623916892</v>
      </c>
      <c r="X51" s="779">
        <f t="shared" si="21"/>
        <v>1.38154625382263</v>
      </c>
      <c r="Y51" s="779">
        <f t="shared" si="21"/>
        <v>1.3912130897295234</v>
      </c>
      <c r="Z51" s="779">
        <f t="shared" si="21"/>
        <v>1.4007333682556311</v>
      </c>
      <c r="AA51" s="779">
        <f t="shared" si="21"/>
        <v>1.4103526951231105</v>
      </c>
      <c r="AB51" s="779">
        <f t="shared" si="21"/>
        <v>1.4201612903225806</v>
      </c>
      <c r="AC51" s="779">
        <f t="shared" si="21"/>
        <v>1.4303360151443447</v>
      </c>
      <c r="AD51" s="779">
        <f t="shared" si="21"/>
        <v>1.4408460013218771</v>
      </c>
      <c r="AE51" s="779">
        <f t="shared" si="21"/>
        <v>1.4515232848330744</v>
      </c>
      <c r="AF51" s="786">
        <f t="shared" si="21"/>
        <v>1.4624236730859559</v>
      </c>
      <c r="AG51" s="777"/>
      <c r="AH51" s="777"/>
      <c r="AI51" s="777"/>
      <c r="AJ51" s="777"/>
      <c r="AK51" s="777"/>
      <c r="AL51" s="777"/>
      <c r="AM51" s="777"/>
      <c r="AN51" s="777"/>
      <c r="AO51" s="777"/>
    </row>
    <row r="52" spans="2:41" x14ac:dyDescent="0.35">
      <c r="B52" s="772"/>
      <c r="C52" s="772"/>
      <c r="D52" s="151"/>
      <c r="E52" s="151"/>
      <c r="F52" s="151"/>
      <c r="G52" s="151"/>
      <c r="H52" s="151"/>
      <c r="I52" s="151"/>
      <c r="J52" s="151"/>
      <c r="K52" s="151"/>
      <c r="L52" s="151"/>
      <c r="M52" s="151"/>
      <c r="N52" s="151"/>
      <c r="O52" s="151"/>
      <c r="P52" s="151"/>
      <c r="Q52" s="151"/>
      <c r="R52" s="151"/>
      <c r="S52" s="151"/>
      <c r="T52" s="151"/>
      <c r="U52" s="151"/>
      <c r="V52" s="151"/>
      <c r="W52" s="151"/>
      <c r="X52" s="151"/>
      <c r="Y52" s="151"/>
      <c r="Z52" s="36"/>
      <c r="AA52" s="36"/>
      <c r="AB52" s="36"/>
      <c r="AC52" s="36"/>
      <c r="AD52" s="36"/>
      <c r="AE52" s="36"/>
      <c r="AF52" s="36"/>
    </row>
    <row r="53" spans="2:41" x14ac:dyDescent="0.35">
      <c r="B53" s="772"/>
      <c r="C53" s="772"/>
      <c r="D53" s="151"/>
      <c r="E53" s="151"/>
      <c r="F53" s="151"/>
      <c r="G53" s="151"/>
      <c r="H53" s="151"/>
      <c r="I53" s="151"/>
      <c r="J53" s="151"/>
      <c r="K53" s="151"/>
      <c r="L53" s="151"/>
      <c r="M53" s="151"/>
      <c r="N53" s="151"/>
      <c r="O53" s="151"/>
      <c r="P53" s="151"/>
      <c r="Q53" s="151"/>
      <c r="R53" s="151"/>
      <c r="S53" s="151"/>
      <c r="T53" s="667"/>
      <c r="U53" s="667"/>
      <c r="V53" s="667"/>
      <c r="W53" s="667"/>
      <c r="X53" s="667"/>
      <c r="Y53" s="667"/>
      <c r="Z53" s="667"/>
      <c r="AA53" s="667"/>
      <c r="AB53" s="667"/>
      <c r="AC53" s="667"/>
      <c r="AD53" s="667"/>
      <c r="AE53" s="667"/>
      <c r="AF53" s="667"/>
    </row>
    <row r="54" spans="2:41" x14ac:dyDescent="0.35">
      <c r="B54" s="326"/>
      <c r="C54" s="151"/>
      <c r="D54" s="151"/>
      <c r="E54" s="151"/>
      <c r="F54" s="151"/>
      <c r="G54" s="151"/>
      <c r="H54" s="151"/>
      <c r="I54" s="151"/>
      <c r="J54" s="151"/>
      <c r="K54" s="151"/>
      <c r="L54" s="151"/>
      <c r="M54" s="151"/>
      <c r="N54" s="151"/>
      <c r="O54" s="151"/>
      <c r="P54" s="151"/>
      <c r="Q54" s="151"/>
      <c r="R54" s="151"/>
      <c r="S54" s="151"/>
      <c r="T54" s="151"/>
      <c r="U54" s="151"/>
      <c r="V54" s="151"/>
      <c r="W54" s="151"/>
      <c r="X54" s="151"/>
      <c r="Y54" s="151"/>
    </row>
    <row r="56" spans="2:41" x14ac:dyDescent="0.35">
      <c r="C56" s="31"/>
      <c r="D56" s="753"/>
      <c r="E56" s="753"/>
      <c r="F56" s="753"/>
      <c r="G56" s="753"/>
    </row>
    <row r="60" spans="2:41" x14ac:dyDescent="0.35">
      <c r="C60" s="14"/>
      <c r="D60" s="72"/>
      <c r="E60" s="72"/>
      <c r="F60" s="72"/>
      <c r="G60" s="72"/>
      <c r="H60" s="72"/>
      <c r="I60" s="72"/>
      <c r="J60" s="72"/>
      <c r="K60" s="72"/>
      <c r="L60" s="72"/>
      <c r="M60" s="72"/>
    </row>
    <row r="61" spans="2:41" x14ac:dyDescent="0.35">
      <c r="C61" s="31"/>
      <c r="D61" s="759"/>
      <c r="E61" s="759"/>
      <c r="F61" s="759"/>
      <c r="G61" s="759"/>
      <c r="H61" s="759"/>
      <c r="I61" s="759"/>
      <c r="J61" s="759"/>
      <c r="K61" s="759"/>
      <c r="L61" s="759"/>
      <c r="M61" s="759"/>
    </row>
    <row r="62" spans="2:41" x14ac:dyDescent="0.35">
      <c r="C62" s="753"/>
      <c r="D62" s="759"/>
      <c r="E62" s="759"/>
      <c r="F62" s="759"/>
      <c r="G62" s="759"/>
      <c r="H62" s="759"/>
      <c r="I62" s="759"/>
      <c r="J62" s="759"/>
      <c r="K62" s="759"/>
      <c r="L62" s="759"/>
      <c r="M62" s="759"/>
    </row>
    <row r="63" spans="2:41" x14ac:dyDescent="0.35">
      <c r="C63" s="753"/>
      <c r="D63" s="759"/>
      <c r="E63" s="759"/>
      <c r="F63" s="759"/>
      <c r="G63" s="759"/>
      <c r="H63" s="759"/>
      <c r="I63" s="759"/>
      <c r="J63" s="759"/>
      <c r="K63" s="759"/>
      <c r="L63" s="759"/>
      <c r="M63" s="759"/>
    </row>
    <row r="64" spans="2:41" x14ac:dyDescent="0.35">
      <c r="C64" s="753"/>
      <c r="D64" s="759"/>
      <c r="E64" s="759"/>
      <c r="F64" s="759"/>
      <c r="G64" s="759"/>
      <c r="H64" s="759"/>
      <c r="I64" s="759"/>
      <c r="J64" s="759"/>
      <c r="K64" s="759"/>
      <c r="L64" s="759"/>
      <c r="M64" s="759"/>
    </row>
    <row r="65" spans="3:13" x14ac:dyDescent="0.35">
      <c r="C65" s="753"/>
      <c r="D65" s="759"/>
      <c r="E65" s="759"/>
      <c r="F65" s="759"/>
      <c r="G65" s="759"/>
      <c r="H65" s="759"/>
      <c r="I65" s="759"/>
      <c r="J65" s="759"/>
      <c r="K65" s="759"/>
      <c r="L65" s="759"/>
      <c r="M65" s="759"/>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U40:X40"/>
    <mergeCell ref="D8:R8"/>
    <mergeCell ref="B11:AF11"/>
    <mergeCell ref="AC40:AF40"/>
    <mergeCell ref="T8:AF8"/>
    <mergeCell ref="Y40:AB40"/>
    <mergeCell ref="AC31:AF31"/>
    <mergeCell ref="Y9:AB9"/>
    <mergeCell ref="Y31:AB31"/>
    <mergeCell ref="B7:F7"/>
    <mergeCell ref="B39:E39"/>
    <mergeCell ref="Q40:R40"/>
    <mergeCell ref="M9:P9"/>
    <mergeCell ref="Q9:R9"/>
    <mergeCell ref="B29:C29"/>
    <mergeCell ref="E40:H40"/>
    <mergeCell ref="I40:L40"/>
    <mergeCell ref="M40:P40"/>
    <mergeCell ref="E9:H9"/>
    <mergeCell ref="I9:L9"/>
    <mergeCell ref="B17:AF17"/>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670" t="s">
        <v>588</v>
      </c>
      <c r="B3" s="151"/>
    </row>
    <row r="4" spans="1:17" x14ac:dyDescent="0.35">
      <c r="A4" s="809" t="s">
        <v>589</v>
      </c>
      <c r="B4" s="810"/>
      <c r="C4" s="810"/>
    </row>
    <row r="7" spans="1:17" x14ac:dyDescent="0.35">
      <c r="A7" s="1246" t="s">
        <v>590</v>
      </c>
      <c r="B7" s="1247"/>
      <c r="C7" s="1247"/>
      <c r="D7" s="1247"/>
      <c r="E7" s="1247"/>
      <c r="F7" s="1247"/>
      <c r="G7" s="1247"/>
      <c r="H7" s="1247"/>
      <c r="I7" s="1247"/>
      <c r="J7" s="1247"/>
      <c r="K7" s="1247"/>
      <c r="L7" s="1247"/>
      <c r="M7" s="1247"/>
      <c r="N7" s="1247"/>
      <c r="O7" s="1247"/>
      <c r="P7" s="1247"/>
    </row>
    <row r="8" spans="1:17" x14ac:dyDescent="0.35">
      <c r="A8" s="245" t="s">
        <v>591</v>
      </c>
      <c r="B8" s="245"/>
      <c r="C8" s="245"/>
      <c r="D8" s="804"/>
      <c r="E8" s="245"/>
      <c r="F8" s="245"/>
      <c r="G8" s="245"/>
      <c r="H8" s="245"/>
      <c r="I8" s="245"/>
      <c r="J8" s="245"/>
      <c r="K8" s="245"/>
      <c r="L8" s="245"/>
      <c r="M8" s="245"/>
      <c r="N8" s="245"/>
      <c r="O8" s="245"/>
      <c r="P8" s="245"/>
    </row>
    <row r="9" spans="1:17" x14ac:dyDescent="0.35">
      <c r="A9" s="151"/>
      <c r="B9" s="151"/>
      <c r="C9" s="151"/>
      <c r="D9" s="805"/>
      <c r="E9" s="151"/>
      <c r="F9" s="151"/>
      <c r="G9" s="151"/>
      <c r="H9" s="151"/>
      <c r="I9" s="151"/>
      <c r="J9" s="151"/>
      <c r="K9" s="151"/>
      <c r="L9" s="151"/>
      <c r="M9" s="151"/>
      <c r="N9" s="151"/>
      <c r="O9" s="151"/>
      <c r="P9" s="151"/>
    </row>
    <row r="10" spans="1:17" x14ac:dyDescent="0.35">
      <c r="A10" s="151"/>
      <c r="B10" s="151"/>
      <c r="C10" s="151"/>
      <c r="D10" s="805"/>
      <c r="E10" s="151"/>
      <c r="F10" s="151"/>
      <c r="G10" s="151"/>
      <c r="H10" s="151"/>
      <c r="I10" s="151"/>
      <c r="J10" s="151"/>
      <c r="K10" s="151"/>
      <c r="L10" s="151"/>
      <c r="M10" s="151"/>
      <c r="N10" s="151"/>
      <c r="O10" s="1248" t="s">
        <v>360</v>
      </c>
      <c r="P10" s="1248"/>
    </row>
    <row r="11" spans="1:17" x14ac:dyDescent="0.35">
      <c r="A11" s="151"/>
      <c r="B11" s="151"/>
      <c r="C11" s="192"/>
      <c r="D11" s="249"/>
      <c r="E11" s="192"/>
      <c r="F11" s="192"/>
      <c r="G11" s="192"/>
      <c r="H11" s="192"/>
      <c r="I11" s="192"/>
      <c r="J11" s="192"/>
      <c r="K11" s="192"/>
      <c r="L11" s="192"/>
      <c r="M11" s="192"/>
      <c r="N11" s="192"/>
      <c r="O11" s="468" t="s">
        <v>592</v>
      </c>
      <c r="P11" s="468" t="s">
        <v>592</v>
      </c>
    </row>
    <row r="12" spans="1:17" x14ac:dyDescent="0.35">
      <c r="A12" s="245"/>
      <c r="B12" s="245"/>
      <c r="C12" s="245"/>
      <c r="D12" s="804">
        <v>2020</v>
      </c>
      <c r="E12" s="804">
        <v>2021</v>
      </c>
      <c r="F12" s="804">
        <v>2022</v>
      </c>
      <c r="G12" s="804">
        <v>2023</v>
      </c>
      <c r="H12" s="804">
        <v>2024</v>
      </c>
      <c r="I12" s="804">
        <v>2025</v>
      </c>
      <c r="J12" s="804">
        <v>2026</v>
      </c>
      <c r="K12" s="804">
        <v>2027</v>
      </c>
      <c r="L12" s="804">
        <v>2028</v>
      </c>
      <c r="M12" s="804">
        <v>2029</v>
      </c>
      <c r="N12" s="804">
        <v>2030</v>
      </c>
      <c r="O12" s="813">
        <v>2025</v>
      </c>
      <c r="P12" s="813">
        <v>2030</v>
      </c>
    </row>
    <row r="13" spans="1:17" x14ac:dyDescent="0.35">
      <c r="A13" s="192" t="s">
        <v>593</v>
      </c>
      <c r="B13" s="192"/>
      <c r="C13" s="192"/>
      <c r="D13" s="812">
        <v>540.56299999999999</v>
      </c>
      <c r="E13" s="812">
        <v>0</v>
      </c>
      <c r="F13" s="812">
        <v>0</v>
      </c>
      <c r="G13" s="812">
        <v>0</v>
      </c>
      <c r="H13" s="812">
        <v>0</v>
      </c>
      <c r="I13" s="812">
        <v>0</v>
      </c>
      <c r="J13" s="812">
        <v>0</v>
      </c>
      <c r="K13" s="812">
        <v>0</v>
      </c>
      <c r="L13" s="812">
        <v>0</v>
      </c>
      <c r="M13" s="812">
        <v>0</v>
      </c>
      <c r="N13" s="812">
        <v>0</v>
      </c>
      <c r="O13" s="812">
        <v>0</v>
      </c>
      <c r="P13" s="812">
        <v>0</v>
      </c>
      <c r="Q13" t="s">
        <v>50</v>
      </c>
    </row>
    <row r="14" spans="1:17" x14ac:dyDescent="0.35">
      <c r="A14" s="151" t="s">
        <v>594</v>
      </c>
      <c r="B14" s="151"/>
      <c r="C14" s="151"/>
      <c r="D14" s="249"/>
      <c r="E14" s="192"/>
      <c r="F14" s="192"/>
      <c r="G14" s="192"/>
      <c r="H14" s="192"/>
      <c r="I14" s="192"/>
      <c r="J14" s="192"/>
      <c r="K14" s="192"/>
      <c r="L14" s="192"/>
      <c r="M14" s="192"/>
      <c r="N14" s="192"/>
      <c r="O14" s="192"/>
      <c r="P14" s="192"/>
      <c r="Q14" t="s">
        <v>595</v>
      </c>
    </row>
    <row r="15" spans="1:17" x14ac:dyDescent="0.35">
      <c r="A15" s="151"/>
      <c r="B15" s="151" t="s">
        <v>596</v>
      </c>
      <c r="C15" s="151"/>
      <c r="D15" s="249">
        <v>285.56</v>
      </c>
      <c r="E15" s="249">
        <v>5</v>
      </c>
      <c r="F15" s="249">
        <v>0</v>
      </c>
      <c r="G15" s="249">
        <v>0</v>
      </c>
      <c r="H15" s="249">
        <v>0</v>
      </c>
      <c r="I15" s="249">
        <v>0</v>
      </c>
      <c r="J15" s="249">
        <v>0</v>
      </c>
      <c r="K15" s="249">
        <v>0</v>
      </c>
      <c r="L15" s="249">
        <v>0</v>
      </c>
      <c r="M15" s="249">
        <v>0</v>
      </c>
      <c r="N15" s="249">
        <v>0</v>
      </c>
      <c r="O15" s="249">
        <v>5</v>
      </c>
      <c r="P15" s="249">
        <v>5</v>
      </c>
    </row>
    <row r="16" spans="1:17" x14ac:dyDescent="0.35">
      <c r="A16" s="192"/>
      <c r="B16" s="151" t="s">
        <v>597</v>
      </c>
      <c r="C16" s="192"/>
      <c r="D16" s="249">
        <v>67.209999999999994</v>
      </c>
      <c r="E16" s="249">
        <v>13.68</v>
      </c>
      <c r="F16" s="249">
        <v>0</v>
      </c>
      <c r="G16" s="249">
        <v>0</v>
      </c>
      <c r="H16" s="249">
        <v>0</v>
      </c>
      <c r="I16" s="249">
        <v>0</v>
      </c>
      <c r="J16" s="249">
        <v>0</v>
      </c>
      <c r="K16" s="249">
        <v>0</v>
      </c>
      <c r="L16" s="249">
        <v>0</v>
      </c>
      <c r="M16" s="249">
        <v>0</v>
      </c>
      <c r="N16" s="249">
        <v>0</v>
      </c>
      <c r="O16" s="249">
        <v>13.68</v>
      </c>
      <c r="P16" s="249">
        <v>13.68</v>
      </c>
    </row>
    <row r="17" spans="1:17" x14ac:dyDescent="0.35">
      <c r="A17" s="192"/>
      <c r="B17" s="151" t="s">
        <v>598</v>
      </c>
      <c r="C17" s="192"/>
      <c r="D17" s="249">
        <v>11.12</v>
      </c>
      <c r="E17" s="249">
        <v>47.8</v>
      </c>
      <c r="F17" s="249">
        <v>0</v>
      </c>
      <c r="G17" s="249">
        <v>0</v>
      </c>
      <c r="H17" s="249">
        <v>0</v>
      </c>
      <c r="I17" s="249">
        <v>0</v>
      </c>
      <c r="J17" s="249">
        <v>0</v>
      </c>
      <c r="K17" s="249">
        <v>0</v>
      </c>
      <c r="L17" s="249">
        <v>0</v>
      </c>
      <c r="M17" s="249">
        <v>0</v>
      </c>
      <c r="N17" s="249">
        <v>0</v>
      </c>
      <c r="O17" s="249">
        <v>47.8</v>
      </c>
      <c r="P17" s="249">
        <v>47.8</v>
      </c>
    </row>
    <row r="18" spans="1:17" x14ac:dyDescent="0.35">
      <c r="A18" s="192"/>
      <c r="B18" s="151" t="s">
        <v>599</v>
      </c>
      <c r="C18" s="192"/>
      <c r="D18" s="249">
        <v>6.2149999999999999</v>
      </c>
      <c r="E18" s="249">
        <v>5.0049999999999999</v>
      </c>
      <c r="F18" s="249">
        <v>0</v>
      </c>
      <c r="G18" s="249">
        <v>0</v>
      </c>
      <c r="H18" s="249">
        <v>0</v>
      </c>
      <c r="I18" s="249">
        <v>0</v>
      </c>
      <c r="J18" s="249">
        <v>0</v>
      </c>
      <c r="K18" s="249">
        <v>0</v>
      </c>
      <c r="L18" s="249">
        <v>0</v>
      </c>
      <c r="M18" s="249">
        <v>0</v>
      </c>
      <c r="N18" s="249">
        <v>0</v>
      </c>
      <c r="O18" s="249">
        <v>5.0049999999999999</v>
      </c>
      <c r="P18" s="249">
        <v>5.0049999999999999</v>
      </c>
    </row>
    <row r="19" spans="1:17" x14ac:dyDescent="0.35">
      <c r="A19" s="192"/>
      <c r="B19" s="151"/>
      <c r="C19" s="192"/>
      <c r="D19" s="249" t="s">
        <v>600</v>
      </c>
      <c r="E19" s="249" t="s">
        <v>600</v>
      </c>
      <c r="F19" s="249" t="s">
        <v>600</v>
      </c>
      <c r="G19" s="249" t="s">
        <v>600</v>
      </c>
      <c r="H19" s="249" t="s">
        <v>600</v>
      </c>
      <c r="I19" s="249" t="s">
        <v>600</v>
      </c>
      <c r="J19" s="249" t="s">
        <v>600</v>
      </c>
      <c r="K19" s="249" t="s">
        <v>600</v>
      </c>
      <c r="L19" s="249" t="s">
        <v>600</v>
      </c>
      <c r="M19" s="249" t="s">
        <v>600</v>
      </c>
      <c r="N19" s="249" t="s">
        <v>600</v>
      </c>
      <c r="O19" s="249" t="s">
        <v>600</v>
      </c>
      <c r="P19" s="249" t="s">
        <v>600</v>
      </c>
    </row>
    <row r="20" spans="1:17" x14ac:dyDescent="0.35">
      <c r="A20" s="192"/>
      <c r="B20" s="151"/>
      <c r="C20" s="192" t="s">
        <v>601</v>
      </c>
      <c r="D20" s="249">
        <v>370.10500000000002</v>
      </c>
      <c r="E20" s="249">
        <v>71.484999999999999</v>
      </c>
      <c r="F20" s="249">
        <v>0</v>
      </c>
      <c r="G20" s="249">
        <v>0</v>
      </c>
      <c r="H20" s="249">
        <v>0</v>
      </c>
      <c r="I20" s="249">
        <v>0</v>
      </c>
      <c r="J20" s="249">
        <v>0</v>
      </c>
      <c r="K20" s="249">
        <v>0</v>
      </c>
      <c r="L20" s="249">
        <v>0</v>
      </c>
      <c r="M20" s="249">
        <v>0</v>
      </c>
      <c r="N20" s="249">
        <v>0</v>
      </c>
      <c r="O20" s="249">
        <v>71.484999999999999</v>
      </c>
      <c r="P20" s="249">
        <v>71.484999999999999</v>
      </c>
    </row>
    <row r="21" spans="1:17" x14ac:dyDescent="0.35">
      <c r="A21" s="192"/>
      <c r="B21" s="151"/>
      <c r="C21" s="192"/>
      <c r="D21" s="249"/>
      <c r="E21" s="249"/>
      <c r="F21" s="249"/>
      <c r="G21" s="249"/>
      <c r="H21" s="249"/>
      <c r="I21" s="249"/>
      <c r="J21" s="249"/>
      <c r="K21" s="249"/>
      <c r="L21" s="249"/>
      <c r="M21" s="249"/>
      <c r="N21" s="249"/>
      <c r="O21" s="249"/>
      <c r="P21" s="249"/>
    </row>
    <row r="22" spans="1:17" ht="17" customHeight="1" x14ac:dyDescent="0.35">
      <c r="A22" s="192" t="s">
        <v>602</v>
      </c>
      <c r="B22" s="151"/>
      <c r="C22" s="192"/>
      <c r="D22" s="249">
        <v>271.98399999999998</v>
      </c>
      <c r="E22" s="249">
        <v>9.327</v>
      </c>
      <c r="F22" s="249">
        <v>0</v>
      </c>
      <c r="G22" s="249">
        <v>0</v>
      </c>
      <c r="H22" s="249">
        <v>0</v>
      </c>
      <c r="I22" s="249">
        <v>0</v>
      </c>
      <c r="J22" s="249">
        <v>0</v>
      </c>
      <c r="K22" s="249">
        <v>0</v>
      </c>
      <c r="L22" s="249">
        <v>0</v>
      </c>
      <c r="M22" s="249">
        <v>0</v>
      </c>
      <c r="N22" s="249">
        <v>0</v>
      </c>
      <c r="O22" s="249">
        <v>9.327</v>
      </c>
      <c r="P22" s="249">
        <v>9.327</v>
      </c>
      <c r="Q22" t="s">
        <v>603</v>
      </c>
    </row>
    <row r="23" spans="1:17" x14ac:dyDescent="0.35">
      <c r="A23" s="192" t="s">
        <v>149</v>
      </c>
      <c r="B23" s="151"/>
      <c r="C23" s="151"/>
      <c r="D23" s="249">
        <v>149.97300000000001</v>
      </c>
      <c r="E23" s="249">
        <v>2.5999999999999999E-2</v>
      </c>
      <c r="F23" s="249">
        <v>0</v>
      </c>
      <c r="G23" s="249">
        <v>0</v>
      </c>
      <c r="H23" s="249">
        <v>0</v>
      </c>
      <c r="I23" s="249">
        <v>0</v>
      </c>
      <c r="J23" s="249">
        <v>0</v>
      </c>
      <c r="K23" s="249">
        <v>0</v>
      </c>
      <c r="L23" s="249">
        <v>0</v>
      </c>
      <c r="M23" s="249">
        <v>0</v>
      </c>
      <c r="N23" s="249">
        <v>0</v>
      </c>
      <c r="O23" s="249">
        <v>2.5999999999999999E-2</v>
      </c>
      <c r="P23" s="249">
        <v>2.5999999999999999E-2</v>
      </c>
      <c r="Q23" t="s">
        <v>51</v>
      </c>
    </row>
    <row r="24" spans="1:17" x14ac:dyDescent="0.35">
      <c r="A24" s="192" t="s">
        <v>604</v>
      </c>
      <c r="B24" s="151"/>
      <c r="C24" s="151"/>
      <c r="D24" s="249">
        <v>135.41999999999999</v>
      </c>
      <c r="E24" s="249">
        <v>72.537999999999997</v>
      </c>
      <c r="F24" s="249">
        <v>10.331</v>
      </c>
      <c r="G24" s="249">
        <v>4.2670000000000003</v>
      </c>
      <c r="H24" s="249">
        <v>1.347</v>
      </c>
      <c r="I24" s="249">
        <v>0.67400000000000004</v>
      </c>
      <c r="J24" s="249">
        <v>0</v>
      </c>
      <c r="K24" s="249">
        <v>0</v>
      </c>
      <c r="L24" s="249">
        <v>0</v>
      </c>
      <c r="M24" s="249">
        <v>0</v>
      </c>
      <c r="N24" s="249">
        <v>0</v>
      </c>
      <c r="O24" s="249">
        <v>89.156999999999996</v>
      </c>
      <c r="P24" s="249">
        <v>89.156999999999996</v>
      </c>
      <c r="Q24" t="s">
        <v>605</v>
      </c>
    </row>
    <row r="25" spans="1:17" x14ac:dyDescent="0.35">
      <c r="A25" s="192" t="s">
        <v>606</v>
      </c>
      <c r="B25" s="151"/>
      <c r="C25" s="151"/>
      <c r="D25" s="249"/>
      <c r="E25" s="249"/>
      <c r="F25" s="249"/>
      <c r="G25" s="249"/>
      <c r="H25" s="249"/>
      <c r="I25" s="249"/>
      <c r="J25" s="249"/>
      <c r="K25" s="249"/>
      <c r="L25" s="249"/>
      <c r="M25" s="249"/>
      <c r="N25" s="249"/>
      <c r="O25" s="249"/>
      <c r="P25" s="249"/>
    </row>
    <row r="26" spans="1:17" x14ac:dyDescent="0.35">
      <c r="A26" s="192" t="s">
        <v>607</v>
      </c>
      <c r="B26" s="151"/>
      <c r="C26" s="151"/>
      <c r="D26" s="249">
        <v>40.831000000000003</v>
      </c>
      <c r="E26" s="249">
        <v>79.391999999999996</v>
      </c>
      <c r="F26" s="249">
        <v>47.442999999999998</v>
      </c>
      <c r="G26" s="249">
        <v>4.7220000000000004</v>
      </c>
      <c r="H26" s="249">
        <v>0</v>
      </c>
      <c r="I26" s="249">
        <v>0</v>
      </c>
      <c r="J26" s="249">
        <v>0</v>
      </c>
      <c r="K26" s="249">
        <v>0</v>
      </c>
      <c r="L26" s="249">
        <v>0</v>
      </c>
      <c r="M26" s="249">
        <v>0</v>
      </c>
      <c r="N26" s="249">
        <v>0</v>
      </c>
      <c r="O26" s="249">
        <v>131.55699999999999</v>
      </c>
      <c r="P26" s="249">
        <v>131.55699999999999</v>
      </c>
      <c r="Q26" t="s">
        <v>133</v>
      </c>
    </row>
    <row r="27" spans="1:17" x14ac:dyDescent="0.35">
      <c r="A27" s="192" t="s">
        <v>608</v>
      </c>
      <c r="B27" s="151"/>
      <c r="C27" s="151"/>
      <c r="D27" s="249">
        <v>58.054000000000002</v>
      </c>
      <c r="E27" s="249">
        <v>14.755000000000001</v>
      </c>
      <c r="F27" s="249">
        <v>3.4750000000000001</v>
      </c>
      <c r="G27" s="249">
        <v>3.9249999999999998</v>
      </c>
      <c r="H27" s="249">
        <v>4.375</v>
      </c>
      <c r="I27" s="249">
        <v>4.375</v>
      </c>
      <c r="J27" s="249">
        <v>4.5</v>
      </c>
      <c r="K27" s="249">
        <v>4.5</v>
      </c>
      <c r="L27" s="249">
        <v>4.5</v>
      </c>
      <c r="M27" s="249">
        <v>4.5</v>
      </c>
      <c r="N27" s="249">
        <v>4.5</v>
      </c>
      <c r="O27" s="249">
        <v>30.905000000000001</v>
      </c>
      <c r="P27" s="249">
        <v>53.405000000000001</v>
      </c>
    </row>
    <row r="28" spans="1:17" x14ac:dyDescent="0.35">
      <c r="A28" s="192" t="s">
        <v>609</v>
      </c>
      <c r="B28" s="151"/>
      <c r="C28" s="151"/>
      <c r="D28" s="249">
        <v>47.372999999999998</v>
      </c>
      <c r="E28" s="249">
        <v>-46.081000000000003</v>
      </c>
      <c r="F28" s="249">
        <v>0</v>
      </c>
      <c r="G28" s="249">
        <v>0</v>
      </c>
      <c r="H28" s="249">
        <v>0</v>
      </c>
      <c r="I28" s="249">
        <v>0</v>
      </c>
      <c r="J28" s="249">
        <v>0</v>
      </c>
      <c r="K28" s="249">
        <v>0</v>
      </c>
      <c r="L28" s="249">
        <v>0</v>
      </c>
      <c r="M28" s="249">
        <v>0</v>
      </c>
      <c r="N28" s="249">
        <v>0</v>
      </c>
      <c r="O28" s="249">
        <v>-46.081000000000003</v>
      </c>
      <c r="P28" s="249">
        <v>-46.081000000000003</v>
      </c>
      <c r="Q28" t="s">
        <v>55</v>
      </c>
    </row>
    <row r="29" spans="1:17" x14ac:dyDescent="0.35">
      <c r="A29" s="192" t="s">
        <v>610</v>
      </c>
      <c r="B29" s="151"/>
      <c r="C29" s="151"/>
      <c r="D29" s="249">
        <v>24.475000000000001</v>
      </c>
      <c r="E29" s="249">
        <v>32.784999999999997</v>
      </c>
      <c r="F29" s="249">
        <v>8.4600000000000009</v>
      </c>
      <c r="G29" s="249">
        <v>0</v>
      </c>
      <c r="H29" s="249">
        <v>0</v>
      </c>
      <c r="I29" s="249">
        <v>0</v>
      </c>
      <c r="J29" s="249">
        <v>0</v>
      </c>
      <c r="K29" s="249">
        <v>0</v>
      </c>
      <c r="L29" s="249">
        <v>0</v>
      </c>
      <c r="M29" s="249">
        <v>0</v>
      </c>
      <c r="N29" s="249">
        <v>0</v>
      </c>
      <c r="O29" s="249">
        <v>41.244999999999997</v>
      </c>
      <c r="P29" s="249">
        <v>41.244999999999997</v>
      </c>
      <c r="Q29" t="s">
        <v>611</v>
      </c>
    </row>
    <row r="30" spans="1:17" x14ac:dyDescent="0.35">
      <c r="A30" s="192" t="s">
        <v>612</v>
      </c>
      <c r="B30" s="151"/>
      <c r="C30" s="151"/>
      <c r="D30" s="249">
        <v>27.5</v>
      </c>
      <c r="E30" s="249">
        <v>0.86</v>
      </c>
      <c r="F30" s="249">
        <v>-0.22</v>
      </c>
      <c r="G30" s="249">
        <v>-0.49</v>
      </c>
      <c r="H30" s="249">
        <v>-0.56000000000000005</v>
      </c>
      <c r="I30" s="249">
        <v>-0.98</v>
      </c>
      <c r="J30" s="249">
        <v>-0.76</v>
      </c>
      <c r="K30" s="249">
        <v>-0.74</v>
      </c>
      <c r="L30" s="249">
        <v>-0.72</v>
      </c>
      <c r="M30" s="249">
        <v>-0.7</v>
      </c>
      <c r="N30" s="249">
        <v>-0.69</v>
      </c>
      <c r="O30" s="249">
        <v>-1.39</v>
      </c>
      <c r="P30" s="249">
        <v>-5</v>
      </c>
      <c r="Q30" t="s">
        <v>52</v>
      </c>
    </row>
    <row r="31" spans="1:17" x14ac:dyDescent="0.35">
      <c r="A31" s="192" t="s">
        <v>150</v>
      </c>
      <c r="B31" s="151"/>
      <c r="C31" s="151"/>
      <c r="D31" s="249">
        <v>11.407999999999999</v>
      </c>
      <c r="E31" s="249">
        <v>10.763</v>
      </c>
      <c r="F31" s="249">
        <v>5.7809999999999997</v>
      </c>
      <c r="G31" s="249">
        <v>0.92300000000000004</v>
      </c>
      <c r="H31" s="249">
        <v>0.52300000000000002</v>
      </c>
      <c r="I31" s="249">
        <v>0.43099999999999999</v>
      </c>
      <c r="J31" s="249">
        <v>0.246</v>
      </c>
      <c r="K31" s="249">
        <v>0</v>
      </c>
      <c r="L31" s="249">
        <v>0</v>
      </c>
      <c r="M31" s="249">
        <v>0</v>
      </c>
      <c r="N31" s="249">
        <v>0</v>
      </c>
      <c r="O31" s="249">
        <v>18.420999999999999</v>
      </c>
      <c r="P31" s="249">
        <v>18.667000000000002</v>
      </c>
      <c r="Q31" t="s">
        <v>613</v>
      </c>
    </row>
    <row r="32" spans="1:17" x14ac:dyDescent="0.35">
      <c r="A32" s="192" t="s">
        <v>614</v>
      </c>
      <c r="B32" s="151"/>
      <c r="C32" s="151"/>
      <c r="D32" s="249">
        <v>99.444000000000003</v>
      </c>
      <c r="E32" s="249">
        <v>61.634</v>
      </c>
      <c r="F32" s="249">
        <v>23.815000000000001</v>
      </c>
      <c r="G32" s="249">
        <v>7.35</v>
      </c>
      <c r="H32" s="249">
        <v>4.4029999999999996</v>
      </c>
      <c r="I32" s="249">
        <v>1.663</v>
      </c>
      <c r="J32" s="249">
        <v>0.74399999999999999</v>
      </c>
      <c r="K32" s="249">
        <v>0.65500000000000003</v>
      </c>
      <c r="L32" s="249">
        <v>0.68799999999999994</v>
      </c>
      <c r="M32" s="249">
        <v>10.603</v>
      </c>
      <c r="N32" s="249">
        <v>-35.328000000000003</v>
      </c>
      <c r="O32" s="249">
        <v>98.864999999999995</v>
      </c>
      <c r="P32" s="249">
        <v>76.227000000000004</v>
      </c>
      <c r="Q32" t="s">
        <v>615</v>
      </c>
    </row>
    <row r="33" spans="1:16" x14ac:dyDescent="0.35">
      <c r="A33" s="192"/>
      <c r="B33" s="151"/>
      <c r="C33" s="151"/>
      <c r="D33" s="249"/>
      <c r="E33" s="249"/>
      <c r="F33" s="249"/>
      <c r="G33" s="249"/>
      <c r="H33" s="249"/>
      <c r="I33" s="249"/>
      <c r="J33" s="249"/>
      <c r="K33" s="249"/>
      <c r="L33" s="249"/>
      <c r="M33" s="249"/>
      <c r="N33" s="249"/>
      <c r="O33" s="249"/>
      <c r="P33" s="249"/>
    </row>
    <row r="34" spans="1:16" x14ac:dyDescent="0.35">
      <c r="A34" s="814"/>
      <c r="B34" s="814"/>
      <c r="C34" s="814" t="s">
        <v>360</v>
      </c>
      <c r="D34" s="815">
        <v>1777.13</v>
      </c>
      <c r="E34" s="815">
        <v>307.48399999999998</v>
      </c>
      <c r="F34" s="815">
        <v>99.084999999999994</v>
      </c>
      <c r="G34" s="815">
        <v>20.696999999999999</v>
      </c>
      <c r="H34" s="815">
        <v>10.087999999999999</v>
      </c>
      <c r="I34" s="815">
        <v>6.1630000000000003</v>
      </c>
      <c r="J34" s="815">
        <v>4.7300000000000004</v>
      </c>
      <c r="K34" s="815">
        <v>4.415</v>
      </c>
      <c r="L34" s="815">
        <v>4.468</v>
      </c>
      <c r="M34" s="815">
        <v>14.403</v>
      </c>
      <c r="N34" s="815">
        <v>-31.518000000000001</v>
      </c>
      <c r="O34" s="815">
        <v>443.517</v>
      </c>
      <c r="P34" s="815">
        <v>440.01499999999999</v>
      </c>
    </row>
    <row r="35" spans="1:16" x14ac:dyDescent="0.35">
      <c r="A35" s="151"/>
      <c r="B35" s="151"/>
      <c r="C35" s="151"/>
      <c r="D35" s="811"/>
      <c r="E35" s="409"/>
      <c r="F35" s="192"/>
      <c r="G35" s="192"/>
      <c r="H35" s="192"/>
      <c r="I35" s="192"/>
      <c r="J35" s="192"/>
      <c r="K35" s="192"/>
      <c r="L35" s="192"/>
      <c r="M35" s="192"/>
      <c r="N35" s="192"/>
      <c r="O35" s="192"/>
      <c r="P35" s="192"/>
    </row>
    <row r="36" spans="1:16" x14ac:dyDescent="0.35">
      <c r="A36" s="803" t="s">
        <v>616</v>
      </c>
      <c r="B36" s="803"/>
      <c r="C36" s="803"/>
      <c r="D36" s="806"/>
      <c r="E36" s="803"/>
      <c r="F36" s="803"/>
      <c r="G36" s="803"/>
      <c r="H36" s="803"/>
      <c r="I36" s="803"/>
      <c r="J36" s="803"/>
      <c r="K36" s="803"/>
      <c r="L36" s="803"/>
      <c r="M36" s="803"/>
      <c r="N36" s="803"/>
      <c r="O36" s="803"/>
      <c r="P36" s="803"/>
    </row>
    <row r="37" spans="1:16" x14ac:dyDescent="0.35">
      <c r="A37" s="803"/>
      <c r="B37" s="803"/>
      <c r="C37" s="803"/>
      <c r="D37" s="806"/>
      <c r="E37" s="803"/>
      <c r="F37" s="803"/>
      <c r="G37" s="803"/>
      <c r="H37" s="803"/>
      <c r="I37" s="803"/>
      <c r="J37" s="803"/>
      <c r="K37" s="803"/>
      <c r="L37" s="803"/>
      <c r="M37" s="803"/>
      <c r="N37" s="803"/>
      <c r="O37" s="803"/>
      <c r="P37" s="803"/>
    </row>
    <row r="38" spans="1:16" x14ac:dyDescent="0.35">
      <c r="A38" s="1251" t="s">
        <v>617</v>
      </c>
      <c r="B38" s="1251"/>
      <c r="C38" s="1251"/>
      <c r="D38" s="1251"/>
      <c r="E38" s="1251"/>
      <c r="F38" s="1251"/>
      <c r="G38" s="1251"/>
      <c r="H38" s="1251"/>
      <c r="I38" s="1251"/>
      <c r="J38" s="1251"/>
      <c r="K38" s="1251"/>
      <c r="L38" s="1251"/>
      <c r="M38" s="1251"/>
      <c r="N38" s="1251"/>
      <c r="O38" s="1251"/>
      <c r="P38" s="1251"/>
    </row>
    <row r="39" spans="1:16" x14ac:dyDescent="0.35">
      <c r="A39" s="1251"/>
      <c r="B39" s="1251"/>
      <c r="C39" s="1251"/>
      <c r="D39" s="1251"/>
      <c r="E39" s="1251"/>
      <c r="F39" s="1251"/>
      <c r="G39" s="1251"/>
      <c r="H39" s="1251"/>
      <c r="I39" s="1251"/>
      <c r="J39" s="1251"/>
      <c r="K39" s="1251"/>
      <c r="L39" s="1251"/>
      <c r="M39" s="1251"/>
      <c r="N39" s="1251"/>
      <c r="O39" s="1251"/>
      <c r="P39" s="1251"/>
    </row>
    <row r="40" spans="1:16" x14ac:dyDescent="0.35">
      <c r="A40" s="1251"/>
      <c r="B40" s="1251"/>
      <c r="C40" s="1251"/>
      <c r="D40" s="1251"/>
      <c r="E40" s="1251"/>
      <c r="F40" s="1251"/>
      <c r="G40" s="1251"/>
      <c r="H40" s="1251"/>
      <c r="I40" s="1251"/>
      <c r="J40" s="1251"/>
      <c r="K40" s="1251"/>
      <c r="L40" s="1251"/>
      <c r="M40" s="1251"/>
      <c r="N40" s="1251"/>
      <c r="O40" s="1251"/>
      <c r="P40" s="1251"/>
    </row>
    <row r="41" spans="1:16" x14ac:dyDescent="0.35">
      <c r="A41" s="1251"/>
      <c r="B41" s="1251"/>
      <c r="C41" s="1251"/>
      <c r="D41" s="1251"/>
      <c r="E41" s="1251"/>
      <c r="F41" s="1251"/>
      <c r="G41" s="1251"/>
      <c r="H41" s="1251"/>
      <c r="I41" s="1251"/>
      <c r="J41" s="1251"/>
      <c r="K41" s="1251"/>
      <c r="L41" s="1251"/>
      <c r="M41" s="1251"/>
      <c r="N41" s="1251"/>
      <c r="O41" s="1251"/>
      <c r="P41" s="1251"/>
    </row>
    <row r="42" spans="1:16" x14ac:dyDescent="0.35">
      <c r="A42" s="1251"/>
      <c r="B42" s="1251"/>
      <c r="C42" s="1251"/>
      <c r="D42" s="1251"/>
      <c r="E42" s="1251"/>
      <c r="F42" s="1251"/>
      <c r="G42" s="1251"/>
      <c r="H42" s="1251"/>
      <c r="I42" s="1251"/>
      <c r="J42" s="1251"/>
      <c r="K42" s="1251"/>
      <c r="L42" s="1251"/>
      <c r="M42" s="1251"/>
      <c r="N42" s="1251"/>
      <c r="O42" s="1251"/>
      <c r="P42" s="1251"/>
    </row>
    <row r="43" spans="1:16" x14ac:dyDescent="0.35">
      <c r="A43" s="138"/>
      <c r="B43" s="138"/>
      <c r="C43" s="138"/>
      <c r="D43" s="138"/>
      <c r="E43" s="138"/>
      <c r="F43" s="138"/>
      <c r="G43" s="138"/>
      <c r="H43" s="138"/>
      <c r="I43" s="138"/>
      <c r="J43" s="138"/>
      <c r="K43" s="138"/>
      <c r="L43" s="138"/>
      <c r="M43" s="138"/>
      <c r="N43" s="138"/>
      <c r="O43" s="138"/>
      <c r="P43" s="138"/>
    </row>
    <row r="44" spans="1:16" x14ac:dyDescent="0.35">
      <c r="A44" s="1112" t="s">
        <v>618</v>
      </c>
      <c r="B44" s="1112"/>
      <c r="C44" s="1112"/>
      <c r="D44" s="1112"/>
      <c r="E44" s="1112"/>
      <c r="F44" s="1112"/>
      <c r="G44" s="1112"/>
      <c r="H44" s="1112"/>
      <c r="I44" s="1112"/>
      <c r="J44" s="1112"/>
      <c r="K44" s="1112"/>
      <c r="L44" s="1112"/>
      <c r="M44" s="1112"/>
      <c r="N44" s="1112"/>
      <c r="O44" s="1112"/>
      <c r="P44" s="1112"/>
    </row>
    <row r="45" spans="1:16" x14ac:dyDescent="0.35">
      <c r="A45" s="1112"/>
      <c r="B45" s="1112"/>
      <c r="C45" s="1112"/>
      <c r="D45" s="1112"/>
      <c r="E45" s="1112"/>
      <c r="F45" s="1112"/>
      <c r="G45" s="1112"/>
      <c r="H45" s="1112"/>
      <c r="I45" s="1112"/>
      <c r="J45" s="1112"/>
      <c r="K45" s="1112"/>
      <c r="L45" s="1112"/>
      <c r="M45" s="1112"/>
      <c r="N45" s="1112"/>
      <c r="O45" s="1112"/>
      <c r="P45" s="1112"/>
    </row>
    <row r="46" spans="1:16" x14ac:dyDescent="0.35">
      <c r="A46" s="1112"/>
      <c r="B46" s="1112"/>
      <c r="C46" s="1112"/>
      <c r="D46" s="1112"/>
      <c r="E46" s="1112"/>
      <c r="F46" s="1112"/>
      <c r="G46" s="1112"/>
      <c r="H46" s="1112"/>
      <c r="I46" s="1112"/>
      <c r="J46" s="1112"/>
      <c r="K46" s="1112"/>
      <c r="L46" s="1112"/>
      <c r="M46" s="1112"/>
      <c r="N46" s="1112"/>
      <c r="O46" s="1112"/>
      <c r="P46" s="1112"/>
    </row>
    <row r="47" spans="1:16" x14ac:dyDescent="0.35">
      <c r="A47" s="803"/>
      <c r="B47" s="803"/>
      <c r="C47" s="803"/>
      <c r="D47" s="806"/>
      <c r="E47" s="803"/>
      <c r="F47" s="803"/>
      <c r="G47" s="803"/>
      <c r="H47" s="803"/>
      <c r="I47" s="803"/>
      <c r="J47" s="803"/>
      <c r="K47" s="803"/>
      <c r="L47" s="803"/>
      <c r="M47" s="803"/>
      <c r="N47" s="803"/>
      <c r="O47" s="803"/>
      <c r="P47" s="803"/>
    </row>
    <row r="48" spans="1:16" x14ac:dyDescent="0.35">
      <c r="A48" s="1249" t="s">
        <v>619</v>
      </c>
      <c r="B48" s="1250"/>
      <c r="C48" s="1250"/>
      <c r="D48" s="1250"/>
      <c r="E48" s="1250"/>
      <c r="F48" s="1250"/>
      <c r="G48" s="1250"/>
      <c r="H48" s="1250"/>
      <c r="I48" s="1250"/>
      <c r="J48" s="1250"/>
      <c r="K48" s="1250"/>
      <c r="L48" s="1250"/>
      <c r="M48" s="1250"/>
      <c r="N48" s="1250"/>
      <c r="O48" s="1250"/>
      <c r="P48" s="1250"/>
    </row>
    <row r="49" spans="1:16" x14ac:dyDescent="0.35">
      <c r="A49" s="1250"/>
      <c r="B49" s="1250"/>
      <c r="C49" s="1250"/>
      <c r="D49" s="1250"/>
      <c r="E49" s="1250"/>
      <c r="F49" s="1250"/>
      <c r="G49" s="1250"/>
      <c r="H49" s="1250"/>
      <c r="I49" s="1250"/>
      <c r="J49" s="1250"/>
      <c r="K49" s="1250"/>
      <c r="L49" s="1250"/>
      <c r="M49" s="1250"/>
      <c r="N49" s="1250"/>
      <c r="O49" s="1250"/>
      <c r="P49" s="1250"/>
    </row>
    <row r="50" spans="1:16" x14ac:dyDescent="0.35">
      <c r="A50" s="803"/>
      <c r="B50" s="803"/>
      <c r="C50" s="803"/>
      <c r="D50" s="806"/>
      <c r="E50" s="803"/>
      <c r="F50" s="803"/>
      <c r="G50" s="803"/>
      <c r="H50" s="803"/>
      <c r="I50" s="803"/>
      <c r="J50" s="803"/>
      <c r="K50" s="803"/>
      <c r="L50" s="803"/>
      <c r="M50" s="803"/>
      <c r="N50" s="803"/>
      <c r="O50" s="803"/>
      <c r="P50" s="803"/>
    </row>
    <row r="51" spans="1:16" x14ac:dyDescent="0.35">
      <c r="A51" s="1245" t="s">
        <v>620</v>
      </c>
      <c r="B51" s="1245"/>
      <c r="C51" s="1245"/>
      <c r="D51" s="1245"/>
      <c r="E51" s="1245"/>
      <c r="F51" s="1245"/>
      <c r="G51" s="1245"/>
      <c r="H51" s="1245"/>
      <c r="I51" s="1245"/>
      <c r="J51" s="1245"/>
      <c r="K51" s="1245"/>
      <c r="L51" s="1245"/>
      <c r="M51" s="1245"/>
      <c r="N51" s="1245"/>
      <c r="O51" s="1245"/>
      <c r="P51" s="1245"/>
    </row>
    <row r="52" spans="1:16" x14ac:dyDescent="0.35">
      <c r="A52" s="1245"/>
      <c r="B52" s="1245"/>
      <c r="C52" s="1245"/>
      <c r="D52" s="1245"/>
      <c r="E52" s="1245"/>
      <c r="F52" s="1245"/>
      <c r="G52" s="1245"/>
      <c r="H52" s="1245"/>
      <c r="I52" s="1245"/>
      <c r="J52" s="1245"/>
      <c r="K52" s="1245"/>
      <c r="L52" s="1245"/>
      <c r="M52" s="1245"/>
      <c r="N52" s="1245"/>
      <c r="O52" s="1245"/>
      <c r="P52" s="1245"/>
    </row>
    <row r="53" spans="1:16" x14ac:dyDescent="0.35">
      <c r="A53" s="1245"/>
      <c r="B53" s="1245"/>
      <c r="C53" s="1245"/>
      <c r="D53" s="1245"/>
      <c r="E53" s="1245"/>
      <c r="F53" s="1245"/>
      <c r="G53" s="1245"/>
      <c r="H53" s="1245"/>
      <c r="I53" s="1245"/>
      <c r="J53" s="1245"/>
      <c r="K53" s="1245"/>
      <c r="L53" s="1245"/>
      <c r="M53" s="1245"/>
      <c r="N53" s="1245"/>
      <c r="O53" s="1245"/>
      <c r="P53" s="1245"/>
    </row>
    <row r="54" spans="1:16" x14ac:dyDescent="0.35">
      <c r="A54" s="807"/>
      <c r="B54" s="807"/>
      <c r="C54" s="807"/>
      <c r="D54" s="808"/>
      <c r="E54" s="807"/>
      <c r="F54" s="807"/>
      <c r="G54" s="807"/>
      <c r="H54" s="807"/>
      <c r="I54" s="807"/>
      <c r="J54" s="807"/>
      <c r="K54" s="807"/>
      <c r="L54" s="807"/>
      <c r="M54" s="807"/>
      <c r="N54" s="807"/>
      <c r="O54" s="807"/>
      <c r="P54" s="807"/>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workbookViewId="0">
      <selection activeCell="E179" sqref="E179"/>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09" t="s">
        <v>1489</v>
      </c>
      <c r="D1" s="837">
        <v>2022</v>
      </c>
      <c r="E1" s="837">
        <v>2023</v>
      </c>
      <c r="F1" s="837">
        <v>2024</v>
      </c>
      <c r="G1" s="837">
        <v>2025</v>
      </c>
      <c r="H1" s="837">
        <v>2026</v>
      </c>
      <c r="I1" s="837">
        <v>2027</v>
      </c>
      <c r="J1" s="837">
        <v>2028</v>
      </c>
      <c r="K1" s="837">
        <v>2029</v>
      </c>
      <c r="L1" s="837">
        <v>2030</v>
      </c>
      <c r="M1" s="838">
        <v>2031</v>
      </c>
      <c r="N1" s="839" t="s">
        <v>1286</v>
      </c>
      <c r="O1" s="839" t="s">
        <v>1287</v>
      </c>
    </row>
    <row r="2" spans="1:15" x14ac:dyDescent="0.35">
      <c r="C2" s="1252" t="s">
        <v>1490</v>
      </c>
      <c r="D2" s="1252"/>
      <c r="E2" s="1252"/>
      <c r="F2" s="1252"/>
      <c r="G2" s="1252"/>
      <c r="H2" s="1252"/>
      <c r="I2" s="1252"/>
      <c r="J2" s="1252"/>
      <c r="K2" s="1252"/>
      <c r="L2" s="1252"/>
      <c r="M2" s="1252"/>
      <c r="N2" s="1252"/>
      <c r="O2" s="1252"/>
    </row>
    <row r="3" spans="1:15" x14ac:dyDescent="0.3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5">
      <c r="C42" s="1253" t="s">
        <v>1500</v>
      </c>
      <c r="D42" s="1253"/>
      <c r="E42" s="1253"/>
      <c r="F42" s="1253"/>
      <c r="G42" s="1253"/>
      <c r="H42" s="1253"/>
      <c r="I42" s="1253"/>
      <c r="J42" s="1253"/>
      <c r="K42" s="1253"/>
      <c r="L42" s="1253"/>
      <c r="M42" s="1253"/>
      <c r="N42" s="1253"/>
      <c r="O42" s="1253"/>
    </row>
    <row r="43" spans="1:15" x14ac:dyDescent="0.3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1519</v>
      </c>
      <c r="B56" s="36">
        <v>60113</v>
      </c>
      <c r="C56" s="36" t="s">
        <v>1502</v>
      </c>
      <c r="D56" s="36">
        <v>0</v>
      </c>
      <c r="E56" s="36">
        <v>0</v>
      </c>
      <c r="F56" s="36">
        <v>0</v>
      </c>
      <c r="G56" s="36">
        <v>0</v>
      </c>
      <c r="H56" s="36">
        <v>850</v>
      </c>
      <c r="I56" s="136">
        <v>1350</v>
      </c>
      <c r="J56" s="136">
        <v>1400</v>
      </c>
      <c r="K56" s="136">
        <v>1200</v>
      </c>
      <c r="L56" s="136">
        <v>1050</v>
      </c>
      <c r="M56" s="36">
        <v>500</v>
      </c>
      <c r="N56" s="36">
        <v>850</v>
      </c>
      <c r="O56" s="136">
        <v>6350</v>
      </c>
    </row>
    <row r="57" spans="1:15" x14ac:dyDescent="0.3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840" t="s">
        <v>1521</v>
      </c>
      <c r="B60" s="841">
        <v>10301</v>
      </c>
      <c r="C60" s="841" t="s">
        <v>239</v>
      </c>
      <c r="D60" s="841">
        <v>0</v>
      </c>
      <c r="E60" s="842">
        <v>2012</v>
      </c>
      <c r="F60" s="842">
        <v>5106</v>
      </c>
      <c r="G60" s="842">
        <v>11125</v>
      </c>
      <c r="H60" s="842">
        <v>16116</v>
      </c>
      <c r="I60" s="842">
        <v>21716</v>
      </c>
      <c r="J60" s="842">
        <v>26314</v>
      </c>
      <c r="K60" s="842">
        <v>31218</v>
      </c>
      <c r="L60" s="842">
        <v>34877</v>
      </c>
      <c r="M60" s="842">
        <v>31904</v>
      </c>
      <c r="N60" s="842">
        <v>34359</v>
      </c>
      <c r="O60" s="843">
        <v>180388</v>
      </c>
    </row>
    <row r="61" spans="1:15" x14ac:dyDescent="0.3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844">
        <v>2022</v>
      </c>
      <c r="E67" s="844">
        <v>2023</v>
      </c>
      <c r="F67" s="844">
        <v>2024</v>
      </c>
      <c r="G67" s="844">
        <v>2025</v>
      </c>
      <c r="H67" s="844">
        <v>2026</v>
      </c>
      <c r="I67" s="844">
        <v>2027</v>
      </c>
      <c r="J67" s="844">
        <v>2028</v>
      </c>
      <c r="K67" s="844">
        <v>2029</v>
      </c>
      <c r="L67" s="844">
        <v>2030</v>
      </c>
      <c r="M67" s="845">
        <v>2031</v>
      </c>
      <c r="N67" s="846" t="s">
        <v>1466</v>
      </c>
      <c r="O67" s="847" t="s">
        <v>1467</v>
      </c>
    </row>
    <row r="68" spans="3:15" x14ac:dyDescent="0.35">
      <c r="C68" s="1254" t="s">
        <v>1530</v>
      </c>
      <c r="D68" s="1255"/>
      <c r="E68" s="1255"/>
      <c r="F68" s="1255"/>
      <c r="G68" s="1255"/>
      <c r="H68" s="1255"/>
      <c r="I68" s="1255"/>
      <c r="J68" s="1255"/>
      <c r="K68" s="1255"/>
      <c r="L68" s="1255"/>
      <c r="M68" s="1255"/>
      <c r="N68" s="1255"/>
      <c r="O68" s="1256"/>
    </row>
    <row r="69" spans="3:15" x14ac:dyDescent="0.3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72">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72">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72">
        <f t="shared" si="3"/>
        <v>-248219</v>
      </c>
    </row>
    <row r="73" spans="3:15" x14ac:dyDescent="0.3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72">
        <f t="shared" si="4"/>
        <v>46384</v>
      </c>
    </row>
    <row r="74" spans="3:15" x14ac:dyDescent="0.3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381">
        <f t="shared" si="5"/>
        <v>16463</v>
      </c>
      <c r="O74" s="274">
        <f t="shared" si="5"/>
        <v>55153</v>
      </c>
    </row>
    <row r="75" spans="3:15" x14ac:dyDescent="0.35">
      <c r="C75" s="1254" t="s">
        <v>1531</v>
      </c>
      <c r="D75" s="1255"/>
      <c r="E75" s="1255"/>
      <c r="F75" s="1255"/>
      <c r="G75" s="1255"/>
      <c r="H75" s="1255"/>
      <c r="I75" s="1255"/>
      <c r="J75" s="1255"/>
      <c r="K75" s="1255"/>
      <c r="L75" s="1255"/>
      <c r="M75" s="1255"/>
      <c r="N75" s="1255"/>
      <c r="O75" s="1256"/>
    </row>
    <row r="76" spans="3:15" x14ac:dyDescent="0.35">
      <c r="C76" s="48" t="s">
        <v>434</v>
      </c>
      <c r="D76" s="36">
        <v>0</v>
      </c>
      <c r="E76" s="36">
        <v>596</v>
      </c>
      <c r="F76" s="36">
        <v>1406</v>
      </c>
      <c r="G76" s="36">
        <v>1885</v>
      </c>
      <c r="H76" s="36">
        <v>2113</v>
      </c>
      <c r="I76" s="36">
        <v>2058</v>
      </c>
      <c r="J76" s="36">
        <v>1745</v>
      </c>
      <c r="K76" s="36">
        <v>1369</v>
      </c>
      <c r="L76" s="36">
        <v>970</v>
      </c>
      <c r="M76" s="36">
        <v>369</v>
      </c>
      <c r="N76" s="593">
        <v>6000</v>
      </c>
      <c r="O76" s="83">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272">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272">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272">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272">
        <v>24916</v>
      </c>
    </row>
    <row r="81" spans="1:16" x14ac:dyDescent="0.35">
      <c r="C81" s="48"/>
      <c r="N81" s="381"/>
      <c r="O81" s="274"/>
    </row>
    <row r="82" spans="1:16" x14ac:dyDescent="0.35">
      <c r="C82" s="1254" t="s">
        <v>1500</v>
      </c>
      <c r="D82" s="1255"/>
      <c r="E82" s="1255"/>
      <c r="F82" s="1255"/>
      <c r="G82" s="1255"/>
      <c r="H82" s="1255"/>
      <c r="I82" s="1255"/>
      <c r="J82" s="1255"/>
      <c r="K82" s="1255"/>
      <c r="L82" s="1255"/>
      <c r="M82" s="1255"/>
      <c r="N82" s="1255"/>
      <c r="O82" s="1256"/>
    </row>
    <row r="83" spans="1:16" x14ac:dyDescent="0.3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1477</v>
      </c>
    </row>
    <row r="88" spans="1:16" x14ac:dyDescent="0.35">
      <c r="A88" s="864" t="s">
        <v>1284</v>
      </c>
      <c r="B88" s="865" t="s">
        <v>1285</v>
      </c>
      <c r="C88" s="866">
        <v>2022</v>
      </c>
      <c r="D88" s="866">
        <v>2023</v>
      </c>
      <c r="E88" s="866">
        <v>2024</v>
      </c>
      <c r="F88" s="866">
        <v>2025</v>
      </c>
      <c r="G88" s="866">
        <v>2026</v>
      </c>
      <c r="H88" s="866">
        <v>2027</v>
      </c>
      <c r="I88" s="866">
        <v>2028</v>
      </c>
      <c r="J88" s="866">
        <v>2029</v>
      </c>
      <c r="K88" s="866">
        <v>2030</v>
      </c>
      <c r="L88" s="866">
        <v>2031</v>
      </c>
      <c r="M88" s="867" t="s">
        <v>1286</v>
      </c>
      <c r="N88" s="867" t="s">
        <v>1287</v>
      </c>
      <c r="O88" s="868" t="s">
        <v>1288</v>
      </c>
      <c r="P88" s="869" t="s">
        <v>1289</v>
      </c>
    </row>
    <row r="89" spans="1:16" x14ac:dyDescent="0.35">
      <c r="A89" s="870" t="s">
        <v>1290</v>
      </c>
      <c r="B89" s="871" t="s">
        <v>1291</v>
      </c>
      <c r="C89" s="872">
        <v>0</v>
      </c>
      <c r="D89" s="872">
        <v>3</v>
      </c>
      <c r="E89" s="872">
        <v>3</v>
      </c>
      <c r="F89" s="872">
        <v>3</v>
      </c>
      <c r="G89" s="872">
        <v>3</v>
      </c>
      <c r="H89" s="872">
        <v>1</v>
      </c>
      <c r="I89" s="872">
        <v>0</v>
      </c>
      <c r="J89" s="872">
        <v>0</v>
      </c>
      <c r="K89" s="872">
        <v>0</v>
      </c>
      <c r="L89" s="872">
        <v>0</v>
      </c>
      <c r="M89" s="872">
        <v>12</v>
      </c>
      <c r="N89" s="872">
        <v>13</v>
      </c>
      <c r="O89" s="873" t="s">
        <v>1292</v>
      </c>
      <c r="P89" s="874"/>
    </row>
    <row r="90" spans="1:16" ht="24" customHeight="1" x14ac:dyDescent="0.35">
      <c r="A90" s="870" t="s">
        <v>1293</v>
      </c>
      <c r="B90" s="871" t="s">
        <v>1294</v>
      </c>
      <c r="C90" s="872">
        <v>0</v>
      </c>
      <c r="D90" s="872">
        <v>65</v>
      </c>
      <c r="E90" s="872">
        <v>1360</v>
      </c>
      <c r="F90" s="872">
        <v>2430</v>
      </c>
      <c r="G90" s="872">
        <v>2800</v>
      </c>
      <c r="H90" s="872">
        <v>1740</v>
      </c>
      <c r="I90" s="872">
        <v>570</v>
      </c>
      <c r="J90" s="872">
        <v>35</v>
      </c>
      <c r="K90" s="872">
        <v>0</v>
      </c>
      <c r="L90" s="872">
        <v>0</v>
      </c>
      <c r="M90" s="872">
        <v>6655</v>
      </c>
      <c r="N90" s="872">
        <v>9000</v>
      </c>
      <c r="O90" s="873" t="s">
        <v>1292</v>
      </c>
      <c r="P90" s="875"/>
    </row>
    <row r="91" spans="1:16" x14ac:dyDescent="0.35">
      <c r="A91" s="876" t="s">
        <v>1295</v>
      </c>
      <c r="B91" s="877" t="s">
        <v>1296</v>
      </c>
      <c r="C91" s="878">
        <v>0</v>
      </c>
      <c r="D91" s="878">
        <v>0</v>
      </c>
      <c r="E91" s="878">
        <v>601</v>
      </c>
      <c r="F91" s="879">
        <v>1038</v>
      </c>
      <c r="G91" s="879">
        <v>1251</v>
      </c>
      <c r="H91" s="879">
        <v>1431</v>
      </c>
      <c r="I91" s="879">
        <v>1492</v>
      </c>
      <c r="J91" s="879">
        <v>1530</v>
      </c>
      <c r="K91" s="879">
        <v>1567</v>
      </c>
      <c r="L91" s="879">
        <v>1606</v>
      </c>
      <c r="M91" s="879">
        <v>2890</v>
      </c>
      <c r="N91" s="879">
        <v>10516</v>
      </c>
      <c r="O91" s="880" t="s">
        <v>1297</v>
      </c>
      <c r="P91" s="881"/>
    </row>
    <row r="92" spans="1:16" x14ac:dyDescent="0.35">
      <c r="A92" s="882" t="s">
        <v>1298</v>
      </c>
      <c r="B92" s="883" t="s">
        <v>1299</v>
      </c>
      <c r="C92" s="844">
        <v>0</v>
      </c>
      <c r="D92" s="844">
        <v>30</v>
      </c>
      <c r="E92" s="844">
        <v>120</v>
      </c>
      <c r="F92" s="844">
        <v>165</v>
      </c>
      <c r="G92" s="844">
        <v>370</v>
      </c>
      <c r="H92" s="844">
        <v>470</v>
      </c>
      <c r="I92" s="844">
        <v>420</v>
      </c>
      <c r="J92" s="844">
        <v>285</v>
      </c>
      <c r="K92" s="844">
        <v>220</v>
      </c>
      <c r="L92" s="845">
        <v>65</v>
      </c>
      <c r="M92" s="844">
        <v>685</v>
      </c>
      <c r="N92" s="884">
        <v>2145</v>
      </c>
      <c r="O92" s="885" t="s">
        <v>1300</v>
      </c>
      <c r="P92" s="886" t="s">
        <v>1301</v>
      </c>
    </row>
    <row r="93" spans="1:16" x14ac:dyDescent="0.35">
      <c r="A93" s="870" t="s">
        <v>1302</v>
      </c>
      <c r="B93" s="871" t="s">
        <v>1303</v>
      </c>
      <c r="C93" s="872">
        <v>0</v>
      </c>
      <c r="D93" s="872">
        <v>2</v>
      </c>
      <c r="E93" s="872">
        <v>10</v>
      </c>
      <c r="F93" s="872">
        <v>25</v>
      </c>
      <c r="G93" s="872">
        <v>28</v>
      </c>
      <c r="H93" s="872">
        <v>17</v>
      </c>
      <c r="I93" s="872">
        <v>11</v>
      </c>
      <c r="J93" s="872">
        <v>4</v>
      </c>
      <c r="K93" s="872">
        <v>2</v>
      </c>
      <c r="L93" s="872">
        <v>1</v>
      </c>
      <c r="M93" s="872">
        <v>65</v>
      </c>
      <c r="N93" s="872">
        <v>100</v>
      </c>
      <c r="O93" s="873" t="s">
        <v>1300</v>
      </c>
      <c r="P93" s="874" t="s">
        <v>1304</v>
      </c>
    </row>
    <row r="94" spans="1:16" ht="24" customHeight="1" x14ac:dyDescent="0.35">
      <c r="A94" s="887" t="s">
        <v>1305</v>
      </c>
      <c r="B94" s="888" t="s">
        <v>1306</v>
      </c>
      <c r="C94" s="872">
        <v>0</v>
      </c>
      <c r="D94" s="872">
        <v>36</v>
      </c>
      <c r="E94" s="872">
        <v>30</v>
      </c>
      <c r="F94" s="872">
        <v>14</v>
      </c>
      <c r="G94" s="872">
        <v>7</v>
      </c>
      <c r="H94" s="872">
        <v>0</v>
      </c>
      <c r="I94" s="872">
        <v>0</v>
      </c>
      <c r="J94" s="872">
        <v>0</v>
      </c>
      <c r="K94" s="872">
        <v>0</v>
      </c>
      <c r="L94" s="872">
        <v>0</v>
      </c>
      <c r="M94" s="872">
        <v>87</v>
      </c>
      <c r="N94" s="872">
        <v>87</v>
      </c>
      <c r="O94" s="873" t="s">
        <v>1300</v>
      </c>
      <c r="P94" s="874" t="s">
        <v>1307</v>
      </c>
    </row>
    <row r="95" spans="1:16" x14ac:dyDescent="0.35">
      <c r="A95" s="870" t="s">
        <v>1308</v>
      </c>
      <c r="B95" s="871" t="s">
        <v>1309</v>
      </c>
      <c r="C95" s="872">
        <v>0</v>
      </c>
      <c r="D95" s="889">
        <v>5240</v>
      </c>
      <c r="E95" s="889">
        <v>4175</v>
      </c>
      <c r="F95" s="889">
        <v>5215</v>
      </c>
      <c r="G95" s="889">
        <v>6493</v>
      </c>
      <c r="H95" s="889">
        <v>7982</v>
      </c>
      <c r="I95" s="889">
        <v>9820</v>
      </c>
      <c r="J95" s="889">
        <v>11813</v>
      </c>
      <c r="K95" s="889">
        <v>14269</v>
      </c>
      <c r="L95" s="889">
        <v>14605</v>
      </c>
      <c r="M95" s="889">
        <v>21123</v>
      </c>
      <c r="N95" s="889">
        <v>79612</v>
      </c>
      <c r="O95" s="890" t="s">
        <v>1300</v>
      </c>
      <c r="P95" s="874"/>
    </row>
    <row r="96" spans="1:16" x14ac:dyDescent="0.35">
      <c r="A96" s="870" t="s">
        <v>1310</v>
      </c>
      <c r="B96" s="871" t="s">
        <v>1311</v>
      </c>
      <c r="C96" s="891">
        <v>0</v>
      </c>
      <c r="D96" s="891">
        <v>55</v>
      </c>
      <c r="E96" s="891">
        <v>55</v>
      </c>
      <c r="F96" s="891">
        <v>55</v>
      </c>
      <c r="G96" s="891">
        <v>55</v>
      </c>
      <c r="H96" s="891">
        <v>55</v>
      </c>
      <c r="I96" s="891">
        <v>55</v>
      </c>
      <c r="J96" s="891">
        <v>55</v>
      </c>
      <c r="K96" s="891">
        <v>55</v>
      </c>
      <c r="L96" s="891">
        <v>55</v>
      </c>
      <c r="M96" s="891">
        <v>220</v>
      </c>
      <c r="N96" s="891">
        <v>495</v>
      </c>
      <c r="O96" s="892" t="s">
        <v>1300</v>
      </c>
      <c r="P96" s="875"/>
    </row>
    <row r="97" spans="1:16" x14ac:dyDescent="0.35">
      <c r="A97" s="870" t="s">
        <v>1312</v>
      </c>
      <c r="B97" s="871" t="s">
        <v>1313</v>
      </c>
      <c r="C97" s="872">
        <v>0</v>
      </c>
      <c r="D97" s="872">
        <v>19</v>
      </c>
      <c r="E97" s="872">
        <v>26</v>
      </c>
      <c r="F97" s="872">
        <v>27</v>
      </c>
      <c r="G97" s="872">
        <v>17</v>
      </c>
      <c r="H97" s="872">
        <v>7</v>
      </c>
      <c r="I97" s="872">
        <v>3</v>
      </c>
      <c r="J97" s="872">
        <v>1</v>
      </c>
      <c r="K97" s="872">
        <v>0</v>
      </c>
      <c r="L97" s="872">
        <v>0</v>
      </c>
      <c r="M97" s="872">
        <v>89</v>
      </c>
      <c r="N97" s="872">
        <v>100</v>
      </c>
      <c r="O97" s="890" t="s">
        <v>1300</v>
      </c>
      <c r="P97" s="875"/>
    </row>
    <row r="98" spans="1:16" x14ac:dyDescent="0.35">
      <c r="A98" s="870" t="s">
        <v>1314</v>
      </c>
      <c r="B98" s="871" t="s">
        <v>1315</v>
      </c>
      <c r="C98" s="872">
        <v>0</v>
      </c>
      <c r="D98" s="872">
        <v>15</v>
      </c>
      <c r="E98" s="872">
        <v>15</v>
      </c>
      <c r="F98" s="872">
        <v>15</v>
      </c>
      <c r="G98" s="872">
        <v>10</v>
      </c>
      <c r="H98" s="872">
        <v>10</v>
      </c>
      <c r="I98" s="872">
        <v>10</v>
      </c>
      <c r="J98" s="872">
        <v>10</v>
      </c>
      <c r="K98" s="872">
        <v>10</v>
      </c>
      <c r="L98" s="872">
        <v>5</v>
      </c>
      <c r="M98" s="872">
        <v>55</v>
      </c>
      <c r="N98" s="872">
        <v>100</v>
      </c>
      <c r="O98" s="873" t="s">
        <v>1300</v>
      </c>
      <c r="P98" s="875"/>
    </row>
    <row r="99" spans="1:16" ht="36" customHeight="1" x14ac:dyDescent="0.35">
      <c r="A99" s="870" t="s">
        <v>1316</v>
      </c>
      <c r="B99" s="871" t="s">
        <v>1317</v>
      </c>
      <c r="C99" s="893">
        <v>0</v>
      </c>
      <c r="D99" s="893">
        <v>22</v>
      </c>
      <c r="E99" s="893">
        <v>96</v>
      </c>
      <c r="F99" s="893">
        <v>170</v>
      </c>
      <c r="G99" s="893">
        <v>213</v>
      </c>
      <c r="H99" s="893">
        <v>160</v>
      </c>
      <c r="I99" s="893">
        <v>47</v>
      </c>
      <c r="J99" s="893">
        <v>2</v>
      </c>
      <c r="K99" s="893">
        <v>0</v>
      </c>
      <c r="L99" s="893">
        <v>0</v>
      </c>
      <c r="M99" s="893">
        <v>501</v>
      </c>
      <c r="N99" s="893">
        <v>710</v>
      </c>
      <c r="O99" s="872" t="s">
        <v>1300</v>
      </c>
      <c r="P99" s="875"/>
    </row>
    <row r="100" spans="1:16" ht="36" customHeight="1" x14ac:dyDescent="0.35">
      <c r="A100" s="870" t="s">
        <v>1318</v>
      </c>
      <c r="B100" s="871" t="s">
        <v>1319</v>
      </c>
      <c r="C100" s="894"/>
      <c r="D100" s="894">
        <v>90</v>
      </c>
      <c r="E100" s="894">
        <v>260</v>
      </c>
      <c r="F100" s="894">
        <v>427</v>
      </c>
      <c r="G100" s="894">
        <v>560</v>
      </c>
      <c r="H100" s="894">
        <v>572</v>
      </c>
      <c r="I100" s="894">
        <v>534</v>
      </c>
      <c r="J100" s="894">
        <v>275</v>
      </c>
      <c r="K100" s="894">
        <v>162</v>
      </c>
      <c r="L100" s="894">
        <v>70</v>
      </c>
      <c r="M100" s="894">
        <v>1347</v>
      </c>
      <c r="N100" s="894">
        <v>2960</v>
      </c>
      <c r="O100" s="895" t="s">
        <v>1300</v>
      </c>
      <c r="P100" s="875"/>
    </row>
    <row r="101" spans="1:16" x14ac:dyDescent="0.35">
      <c r="A101" s="870" t="s">
        <v>1320</v>
      </c>
      <c r="B101" s="871" t="s">
        <v>1321</v>
      </c>
      <c r="C101" s="872">
        <v>0</v>
      </c>
      <c r="D101" s="872">
        <v>40</v>
      </c>
      <c r="E101" s="872">
        <v>60</v>
      </c>
      <c r="F101" s="872">
        <v>52</v>
      </c>
      <c r="G101" s="872">
        <v>40</v>
      </c>
      <c r="H101" s="872">
        <v>27</v>
      </c>
      <c r="I101" s="872">
        <v>19</v>
      </c>
      <c r="J101" s="872">
        <v>10</v>
      </c>
      <c r="K101" s="872">
        <v>2</v>
      </c>
      <c r="L101" s="872">
        <v>0</v>
      </c>
      <c r="M101" s="872">
        <v>192</v>
      </c>
      <c r="N101" s="872">
        <v>250</v>
      </c>
      <c r="O101" s="873" t="s">
        <v>1300</v>
      </c>
      <c r="P101" s="875"/>
    </row>
    <row r="102" spans="1:16" x14ac:dyDescent="0.35">
      <c r="A102" s="887" t="s">
        <v>1322</v>
      </c>
      <c r="B102" s="888" t="s">
        <v>1323</v>
      </c>
      <c r="C102" s="872">
        <v>0</v>
      </c>
      <c r="D102" s="872">
        <v>49</v>
      </c>
      <c r="E102" s="872">
        <v>62</v>
      </c>
      <c r="F102" s="872">
        <v>62</v>
      </c>
      <c r="G102" s="872">
        <v>62</v>
      </c>
      <c r="H102" s="872">
        <v>63</v>
      </c>
      <c r="I102" s="872">
        <v>63</v>
      </c>
      <c r="J102" s="872">
        <v>63</v>
      </c>
      <c r="K102" s="872">
        <v>64</v>
      </c>
      <c r="L102" s="872">
        <v>12</v>
      </c>
      <c r="M102" s="872">
        <v>235</v>
      </c>
      <c r="N102" s="872">
        <v>500</v>
      </c>
      <c r="O102" s="873" t="s">
        <v>1300</v>
      </c>
      <c r="P102" s="875"/>
    </row>
    <row r="103" spans="1:16" x14ac:dyDescent="0.35">
      <c r="A103" s="870" t="s">
        <v>1324</v>
      </c>
      <c r="B103" s="871" t="s">
        <v>1325</v>
      </c>
      <c r="C103" s="872">
        <v>0</v>
      </c>
      <c r="D103" s="872">
        <v>0</v>
      </c>
      <c r="E103" s="872">
        <v>0</v>
      </c>
      <c r="F103" s="872">
        <v>0</v>
      </c>
      <c r="G103" s="872">
        <v>-20</v>
      </c>
      <c r="H103" s="872">
        <v>-28</v>
      </c>
      <c r="I103" s="872">
        <v>-28</v>
      </c>
      <c r="J103" s="872">
        <v>-28</v>
      </c>
      <c r="K103" s="872">
        <v>-28</v>
      </c>
      <c r="L103" s="872">
        <v>-28</v>
      </c>
      <c r="M103" s="872">
        <v>-20</v>
      </c>
      <c r="N103" s="872">
        <v>-160</v>
      </c>
      <c r="O103" s="873" t="s">
        <v>1300</v>
      </c>
      <c r="P103" s="875"/>
    </row>
    <row r="104" spans="1:16" ht="24" customHeight="1" x14ac:dyDescent="0.35">
      <c r="A104" s="870" t="s">
        <v>1326</v>
      </c>
      <c r="B104" s="871" t="s">
        <v>1327</v>
      </c>
      <c r="C104" s="872">
        <v>0</v>
      </c>
      <c r="D104" s="872">
        <v>-235</v>
      </c>
      <c r="E104" s="872">
        <v>-44</v>
      </c>
      <c r="F104" s="872">
        <v>-22</v>
      </c>
      <c r="G104" s="872">
        <v>-26</v>
      </c>
      <c r="H104" s="872">
        <v>-23</v>
      </c>
      <c r="I104" s="872">
        <v>-19</v>
      </c>
      <c r="J104" s="872">
        <v>-41</v>
      </c>
      <c r="K104" s="872">
        <v>-35</v>
      </c>
      <c r="L104" s="872">
        <v>-39</v>
      </c>
      <c r="M104" s="872">
        <v>-327</v>
      </c>
      <c r="N104" s="872">
        <v>-484</v>
      </c>
      <c r="O104" s="873" t="s">
        <v>1300</v>
      </c>
      <c r="P104" s="875"/>
    </row>
    <row r="105" spans="1:16" x14ac:dyDescent="0.35">
      <c r="A105" s="870" t="s">
        <v>1328</v>
      </c>
      <c r="B105" s="871" t="s">
        <v>1329</v>
      </c>
      <c r="C105" s="872">
        <v>0</v>
      </c>
      <c r="D105" s="872">
        <v>7</v>
      </c>
      <c r="E105" s="872">
        <v>8</v>
      </c>
      <c r="F105" s="872">
        <v>6</v>
      </c>
      <c r="G105" s="872">
        <v>2</v>
      </c>
      <c r="H105" s="872">
        <v>1</v>
      </c>
      <c r="I105" s="872">
        <v>0</v>
      </c>
      <c r="J105" s="872">
        <v>0</v>
      </c>
      <c r="K105" s="872">
        <v>0</v>
      </c>
      <c r="L105" s="872">
        <v>0</v>
      </c>
      <c r="M105" s="872">
        <v>23</v>
      </c>
      <c r="N105" s="872">
        <v>24</v>
      </c>
      <c r="O105" s="873" t="s">
        <v>1300</v>
      </c>
      <c r="P105" s="875"/>
    </row>
    <row r="106" spans="1:16" ht="36" customHeight="1" x14ac:dyDescent="0.35">
      <c r="A106" s="870" t="s">
        <v>1330</v>
      </c>
      <c r="B106" s="871" t="s">
        <v>1331</v>
      </c>
      <c r="C106" s="872">
        <v>0</v>
      </c>
      <c r="D106" s="872">
        <v>50</v>
      </c>
      <c r="E106" s="872">
        <v>77</v>
      </c>
      <c r="F106" s="872">
        <v>87</v>
      </c>
      <c r="G106" s="872">
        <v>81</v>
      </c>
      <c r="H106" s="872">
        <v>50</v>
      </c>
      <c r="I106" s="872">
        <v>30</v>
      </c>
      <c r="J106" s="872">
        <v>10</v>
      </c>
      <c r="K106" s="872">
        <v>0</v>
      </c>
      <c r="L106" s="872">
        <v>0</v>
      </c>
      <c r="M106" s="872">
        <v>295</v>
      </c>
      <c r="N106" s="872">
        <v>385</v>
      </c>
      <c r="O106" s="873" t="s">
        <v>1300</v>
      </c>
      <c r="P106" s="875"/>
    </row>
    <row r="107" spans="1:16" x14ac:dyDescent="0.35">
      <c r="A107" s="887" t="s">
        <v>1332</v>
      </c>
      <c r="B107" s="888" t="s">
        <v>1333</v>
      </c>
      <c r="C107" s="872">
        <v>0</v>
      </c>
      <c r="D107" s="872">
        <v>3</v>
      </c>
      <c r="E107" s="872">
        <v>2</v>
      </c>
      <c r="F107" s="872">
        <v>0</v>
      </c>
      <c r="G107" s="872">
        <v>0</v>
      </c>
      <c r="H107" s="872">
        <v>0</v>
      </c>
      <c r="I107" s="872">
        <v>0</v>
      </c>
      <c r="J107" s="872">
        <v>0</v>
      </c>
      <c r="K107" s="872">
        <v>0</v>
      </c>
      <c r="L107" s="872">
        <v>0</v>
      </c>
      <c r="M107" s="872">
        <v>5</v>
      </c>
      <c r="N107" s="872">
        <v>5</v>
      </c>
      <c r="O107" s="873" t="s">
        <v>1334</v>
      </c>
      <c r="P107" s="875"/>
    </row>
    <row r="108" spans="1:16" x14ac:dyDescent="0.35">
      <c r="A108" s="887" t="s">
        <v>1335</v>
      </c>
      <c r="B108" s="888" t="s">
        <v>1336</v>
      </c>
      <c r="C108" s="872">
        <v>0</v>
      </c>
      <c r="D108" s="872">
        <v>70</v>
      </c>
      <c r="E108" s="872">
        <v>80</v>
      </c>
      <c r="F108" s="872">
        <v>62</v>
      </c>
      <c r="G108" s="872">
        <v>25</v>
      </c>
      <c r="H108" s="872">
        <v>13</v>
      </c>
      <c r="I108" s="872">
        <v>0</v>
      </c>
      <c r="J108" s="872">
        <v>0</v>
      </c>
      <c r="K108" s="872">
        <v>0</v>
      </c>
      <c r="L108" s="872">
        <v>0</v>
      </c>
      <c r="M108" s="872">
        <v>237</v>
      </c>
      <c r="N108" s="872">
        <v>250</v>
      </c>
      <c r="O108" s="873" t="s">
        <v>1334</v>
      </c>
      <c r="P108" s="875"/>
    </row>
    <row r="109" spans="1:16" ht="24" customHeight="1" x14ac:dyDescent="0.35">
      <c r="A109" s="887" t="s">
        <v>1337</v>
      </c>
      <c r="B109" s="888" t="s">
        <v>1338</v>
      </c>
      <c r="C109" s="891">
        <v>0</v>
      </c>
      <c r="D109" s="891">
        <v>33</v>
      </c>
      <c r="E109" s="891">
        <v>54</v>
      </c>
      <c r="F109" s="891">
        <v>37</v>
      </c>
      <c r="G109" s="891">
        <v>16</v>
      </c>
      <c r="H109" s="891">
        <v>0</v>
      </c>
      <c r="I109" s="891">
        <v>0</v>
      </c>
      <c r="J109" s="891">
        <v>0</v>
      </c>
      <c r="K109" s="891">
        <v>0</v>
      </c>
      <c r="L109" s="891">
        <v>0</v>
      </c>
      <c r="M109" s="891">
        <v>140</v>
      </c>
      <c r="N109" s="891">
        <v>140</v>
      </c>
      <c r="O109" s="873" t="s">
        <v>1300</v>
      </c>
      <c r="P109" s="875"/>
    </row>
    <row r="110" spans="1:16" x14ac:dyDescent="0.35">
      <c r="A110" s="870" t="s">
        <v>1339</v>
      </c>
      <c r="B110" s="871" t="s">
        <v>1340</v>
      </c>
      <c r="C110" s="872">
        <v>0</v>
      </c>
      <c r="D110" s="872">
        <v>40</v>
      </c>
      <c r="E110" s="872">
        <v>40</v>
      </c>
      <c r="F110" s="872">
        <v>30</v>
      </c>
      <c r="G110" s="872">
        <v>10</v>
      </c>
      <c r="H110" s="872">
        <v>5</v>
      </c>
      <c r="I110" s="872">
        <v>0</v>
      </c>
      <c r="J110" s="872">
        <v>0</v>
      </c>
      <c r="K110" s="872">
        <v>0</v>
      </c>
      <c r="L110" s="872">
        <v>0</v>
      </c>
      <c r="M110" s="872">
        <v>120</v>
      </c>
      <c r="N110" s="872">
        <v>125</v>
      </c>
      <c r="O110" s="873" t="s">
        <v>1300</v>
      </c>
      <c r="P110" s="875"/>
    </row>
    <row r="111" spans="1:16" x14ac:dyDescent="0.35">
      <c r="A111" s="887" t="s">
        <v>1341</v>
      </c>
      <c r="B111" s="871" t="s">
        <v>1342</v>
      </c>
      <c r="C111" s="872">
        <v>0</v>
      </c>
      <c r="D111" s="872">
        <v>5</v>
      </c>
      <c r="E111" s="872">
        <v>8</v>
      </c>
      <c r="F111" s="872">
        <v>8</v>
      </c>
      <c r="G111" s="872">
        <v>8</v>
      </c>
      <c r="H111" s="872">
        <v>4</v>
      </c>
      <c r="I111" s="872">
        <v>0</v>
      </c>
      <c r="J111" s="872">
        <v>0</v>
      </c>
      <c r="K111" s="872">
        <v>0</v>
      </c>
      <c r="L111" s="872">
        <v>0</v>
      </c>
      <c r="M111" s="872">
        <v>29</v>
      </c>
      <c r="N111" s="872">
        <v>33</v>
      </c>
      <c r="O111" s="873" t="s">
        <v>1300</v>
      </c>
      <c r="P111" s="875"/>
    </row>
    <row r="112" spans="1:16" x14ac:dyDescent="0.35">
      <c r="A112" s="870" t="s">
        <v>1343</v>
      </c>
      <c r="B112" s="888" t="s">
        <v>1344</v>
      </c>
      <c r="C112" s="872">
        <v>0</v>
      </c>
      <c r="D112" s="872">
        <v>3</v>
      </c>
      <c r="E112" s="872">
        <v>8</v>
      </c>
      <c r="F112" s="872">
        <v>8</v>
      </c>
      <c r="G112" s="872">
        <v>8</v>
      </c>
      <c r="H112" s="872">
        <v>3</v>
      </c>
      <c r="I112" s="872">
        <v>0</v>
      </c>
      <c r="J112" s="872">
        <v>0</v>
      </c>
      <c r="K112" s="872">
        <v>0</v>
      </c>
      <c r="L112" s="872">
        <v>0</v>
      </c>
      <c r="M112" s="872">
        <v>27</v>
      </c>
      <c r="N112" s="872">
        <v>30</v>
      </c>
      <c r="O112" s="873" t="s">
        <v>1300</v>
      </c>
      <c r="P112" s="875"/>
    </row>
    <row r="113" spans="1:16" ht="24" customHeight="1" x14ac:dyDescent="0.35">
      <c r="A113" s="870" t="s">
        <v>1345</v>
      </c>
      <c r="B113" s="871" t="s">
        <v>1346</v>
      </c>
      <c r="C113" s="891">
        <v>0</v>
      </c>
      <c r="D113" s="891">
        <v>165</v>
      </c>
      <c r="E113" s="891">
        <v>165</v>
      </c>
      <c r="F113" s="891">
        <v>230</v>
      </c>
      <c r="G113" s="891">
        <v>340</v>
      </c>
      <c r="H113" s="891">
        <v>490</v>
      </c>
      <c r="I113" s="891">
        <v>540</v>
      </c>
      <c r="J113" s="891">
        <v>640</v>
      </c>
      <c r="K113" s="891">
        <v>475</v>
      </c>
      <c r="L113" s="891">
        <v>330</v>
      </c>
      <c r="M113" s="891">
        <v>900</v>
      </c>
      <c r="N113" s="891">
        <v>3375</v>
      </c>
      <c r="O113" s="890" t="s">
        <v>1300</v>
      </c>
      <c r="P113" s="875"/>
    </row>
    <row r="114" spans="1:16" ht="24" customHeight="1" x14ac:dyDescent="0.35">
      <c r="A114" s="896" t="s">
        <v>1316</v>
      </c>
      <c r="B114" s="897" t="s">
        <v>1347</v>
      </c>
      <c r="C114" s="872">
        <v>0</v>
      </c>
      <c r="D114" s="872">
        <v>195</v>
      </c>
      <c r="E114" s="872">
        <v>448</v>
      </c>
      <c r="F114" s="872">
        <v>641</v>
      </c>
      <c r="G114" s="872">
        <v>716</v>
      </c>
      <c r="H114" s="872">
        <v>681</v>
      </c>
      <c r="I114" s="872">
        <v>528</v>
      </c>
      <c r="J114" s="872">
        <v>421</v>
      </c>
      <c r="K114" s="872">
        <v>323</v>
      </c>
      <c r="L114" s="872">
        <v>23</v>
      </c>
      <c r="M114" s="889">
        <v>2000</v>
      </c>
      <c r="N114" s="889">
        <v>3976</v>
      </c>
      <c r="O114" s="890" t="s">
        <v>1300</v>
      </c>
      <c r="P114" s="898"/>
    </row>
    <row r="115" spans="1:16" ht="30" customHeight="1" x14ac:dyDescent="0.35">
      <c r="A115" s="882" t="s">
        <v>1348</v>
      </c>
      <c r="B115" s="883" t="s">
        <v>1349</v>
      </c>
      <c r="C115" s="899">
        <v>0</v>
      </c>
      <c r="D115" s="899">
        <v>20</v>
      </c>
      <c r="E115" s="899">
        <v>57</v>
      </c>
      <c r="F115" s="899">
        <v>96</v>
      </c>
      <c r="G115" s="899">
        <v>150</v>
      </c>
      <c r="H115" s="899">
        <v>200</v>
      </c>
      <c r="I115" s="899">
        <v>185</v>
      </c>
      <c r="J115" s="899">
        <v>147</v>
      </c>
      <c r="K115" s="899">
        <v>106</v>
      </c>
      <c r="L115" s="899">
        <v>39</v>
      </c>
      <c r="M115" s="899">
        <v>323</v>
      </c>
      <c r="N115" s="900">
        <v>1000</v>
      </c>
      <c r="O115" s="901" t="s">
        <v>1350</v>
      </c>
      <c r="P115" s="902" t="s">
        <v>1351</v>
      </c>
    </row>
    <row r="116" spans="1:16" x14ac:dyDescent="0.35">
      <c r="A116" s="887" t="s">
        <v>1352</v>
      </c>
      <c r="B116" s="871" t="s">
        <v>1353</v>
      </c>
      <c r="C116" s="872">
        <v>0</v>
      </c>
      <c r="D116" s="872">
        <v>15</v>
      </c>
      <c r="E116" s="872">
        <v>53</v>
      </c>
      <c r="F116" s="872">
        <v>57</v>
      </c>
      <c r="G116" s="872">
        <v>48</v>
      </c>
      <c r="H116" s="872">
        <v>43</v>
      </c>
      <c r="I116" s="872">
        <v>17</v>
      </c>
      <c r="J116" s="872">
        <v>2</v>
      </c>
      <c r="K116" s="872">
        <v>0</v>
      </c>
      <c r="L116" s="872">
        <v>0</v>
      </c>
      <c r="M116" s="872">
        <v>173</v>
      </c>
      <c r="N116" s="872">
        <v>235</v>
      </c>
      <c r="O116" s="873" t="s">
        <v>1354</v>
      </c>
      <c r="P116" s="874" t="s">
        <v>1355</v>
      </c>
    </row>
    <row r="117" spans="1:16" x14ac:dyDescent="0.35">
      <c r="A117" s="870" t="s">
        <v>1356</v>
      </c>
      <c r="B117" s="871" t="s">
        <v>1357</v>
      </c>
      <c r="C117" s="872">
        <v>0</v>
      </c>
      <c r="D117" s="872">
        <v>15</v>
      </c>
      <c r="E117" s="872">
        <v>53</v>
      </c>
      <c r="F117" s="872">
        <v>57</v>
      </c>
      <c r="G117" s="872">
        <v>48</v>
      </c>
      <c r="H117" s="872">
        <v>43</v>
      </c>
      <c r="I117" s="872">
        <v>17</v>
      </c>
      <c r="J117" s="872">
        <v>2</v>
      </c>
      <c r="K117" s="872">
        <v>0</v>
      </c>
      <c r="L117" s="872">
        <v>0</v>
      </c>
      <c r="M117" s="872">
        <v>173</v>
      </c>
      <c r="N117" s="872">
        <v>235</v>
      </c>
      <c r="O117" s="873" t="s">
        <v>1354</v>
      </c>
      <c r="P117" s="874" t="s">
        <v>1355</v>
      </c>
    </row>
    <row r="118" spans="1:16" x14ac:dyDescent="0.35">
      <c r="A118" s="887" t="s">
        <v>1358</v>
      </c>
      <c r="B118" s="888" t="s">
        <v>1359</v>
      </c>
      <c r="C118" s="872">
        <v>0</v>
      </c>
      <c r="D118" s="872">
        <v>42</v>
      </c>
      <c r="E118" s="872">
        <v>18</v>
      </c>
      <c r="F118" s="872">
        <v>0</v>
      </c>
      <c r="G118" s="872">
        <v>0</v>
      </c>
      <c r="H118" s="872">
        <v>0</v>
      </c>
      <c r="I118" s="872">
        <v>0</v>
      </c>
      <c r="J118" s="872">
        <v>0</v>
      </c>
      <c r="K118" s="872">
        <v>0</v>
      </c>
      <c r="L118" s="872">
        <v>0</v>
      </c>
      <c r="M118" s="872">
        <v>60</v>
      </c>
      <c r="N118" s="872">
        <v>60</v>
      </c>
      <c r="O118" s="873" t="s">
        <v>1350</v>
      </c>
      <c r="P118" s="875" t="s">
        <v>1360</v>
      </c>
    </row>
    <row r="119" spans="1:16" x14ac:dyDescent="0.35">
      <c r="A119" s="870" t="s">
        <v>1361</v>
      </c>
      <c r="B119" s="871" t="s">
        <v>1362</v>
      </c>
      <c r="C119" s="872">
        <v>0</v>
      </c>
      <c r="D119" s="872">
        <v>2</v>
      </c>
      <c r="E119" s="872">
        <v>13</v>
      </c>
      <c r="F119" s="872">
        <v>26</v>
      </c>
      <c r="G119" s="872">
        <v>30</v>
      </c>
      <c r="H119" s="872">
        <v>24</v>
      </c>
      <c r="I119" s="872">
        <v>0</v>
      </c>
      <c r="J119" s="872">
        <v>0</v>
      </c>
      <c r="K119" s="872">
        <v>0</v>
      </c>
      <c r="L119" s="872">
        <v>0</v>
      </c>
      <c r="M119" s="872">
        <v>71</v>
      </c>
      <c r="N119" s="872">
        <v>95</v>
      </c>
      <c r="O119" s="873" t="s">
        <v>1350</v>
      </c>
      <c r="P119" s="874" t="s">
        <v>1363</v>
      </c>
    </row>
    <row r="120" spans="1:16" ht="36" customHeight="1" x14ac:dyDescent="0.35">
      <c r="A120" s="870" t="s">
        <v>1364</v>
      </c>
      <c r="B120" s="871" t="s">
        <v>1365</v>
      </c>
      <c r="C120" s="872">
        <v>0</v>
      </c>
      <c r="D120" s="872">
        <v>3</v>
      </c>
      <c r="E120" s="872">
        <v>19</v>
      </c>
      <c r="F120" s="872">
        <v>67</v>
      </c>
      <c r="G120" s="872">
        <v>86</v>
      </c>
      <c r="H120" s="872">
        <v>59</v>
      </c>
      <c r="I120" s="872">
        <v>35</v>
      </c>
      <c r="J120" s="872">
        <v>19</v>
      </c>
      <c r="K120" s="872">
        <v>6</v>
      </c>
      <c r="L120" s="872">
        <v>0</v>
      </c>
      <c r="M120" s="872">
        <v>175</v>
      </c>
      <c r="N120" s="872">
        <v>294</v>
      </c>
      <c r="O120" s="873" t="s">
        <v>1350</v>
      </c>
      <c r="P120" s="898" t="s">
        <v>1366</v>
      </c>
    </row>
    <row r="121" spans="1:16" x14ac:dyDescent="0.35">
      <c r="A121" s="870" t="s">
        <v>1367</v>
      </c>
      <c r="B121" s="871" t="s">
        <v>1368</v>
      </c>
      <c r="C121" s="872">
        <v>0</v>
      </c>
      <c r="D121" s="872">
        <v>65</v>
      </c>
      <c r="E121" s="872">
        <v>150</v>
      </c>
      <c r="F121" s="872">
        <v>290</v>
      </c>
      <c r="G121" s="872">
        <v>290</v>
      </c>
      <c r="H121" s="872">
        <v>290</v>
      </c>
      <c r="I121" s="872">
        <v>285</v>
      </c>
      <c r="J121" s="872">
        <v>250</v>
      </c>
      <c r="K121" s="872">
        <v>220</v>
      </c>
      <c r="L121" s="872">
        <v>160</v>
      </c>
      <c r="M121" s="872">
        <v>795</v>
      </c>
      <c r="N121" s="889">
        <v>2000</v>
      </c>
      <c r="O121" s="873" t="s">
        <v>1350</v>
      </c>
      <c r="P121" s="875"/>
    </row>
    <row r="122" spans="1:16" x14ac:dyDescent="0.35">
      <c r="A122" s="870" t="s">
        <v>1369</v>
      </c>
      <c r="B122" s="871" t="s">
        <v>1370</v>
      </c>
      <c r="C122" s="872">
        <v>0</v>
      </c>
      <c r="D122" s="872">
        <v>5</v>
      </c>
      <c r="E122" s="872">
        <v>20</v>
      </c>
      <c r="F122" s="872">
        <v>65</v>
      </c>
      <c r="G122" s="872">
        <v>105</v>
      </c>
      <c r="H122" s="872">
        <v>140</v>
      </c>
      <c r="I122" s="872">
        <v>175</v>
      </c>
      <c r="J122" s="872">
        <v>210</v>
      </c>
      <c r="K122" s="872">
        <v>150</v>
      </c>
      <c r="L122" s="872">
        <v>35</v>
      </c>
      <c r="M122" s="872">
        <v>195</v>
      </c>
      <c r="N122" s="872">
        <v>905</v>
      </c>
      <c r="O122" s="903" t="s">
        <v>1350</v>
      </c>
      <c r="P122" s="904"/>
    </row>
    <row r="123" spans="1:16" x14ac:dyDescent="0.35">
      <c r="A123" s="870" t="s">
        <v>1371</v>
      </c>
      <c r="B123" s="871" t="s">
        <v>1372</v>
      </c>
      <c r="C123" s="872">
        <v>0</v>
      </c>
      <c r="D123" s="872">
        <v>10</v>
      </c>
      <c r="E123" s="872">
        <v>150</v>
      </c>
      <c r="F123" s="872">
        <v>300</v>
      </c>
      <c r="G123" s="872">
        <v>590</v>
      </c>
      <c r="H123" s="872">
        <v>460</v>
      </c>
      <c r="I123" s="872">
        <v>295</v>
      </c>
      <c r="J123" s="872">
        <v>195</v>
      </c>
      <c r="K123" s="872">
        <v>0</v>
      </c>
      <c r="L123" s="872">
        <v>0</v>
      </c>
      <c r="M123" s="889">
        <v>1050</v>
      </c>
      <c r="N123" s="889">
        <v>2000</v>
      </c>
      <c r="O123" s="873" t="s">
        <v>1350</v>
      </c>
      <c r="P123" s="875"/>
    </row>
    <row r="124" spans="1:16" x14ac:dyDescent="0.35">
      <c r="A124" s="870" t="s">
        <v>1373</v>
      </c>
      <c r="B124" s="871" t="s">
        <v>1374</v>
      </c>
      <c r="C124" s="872"/>
      <c r="D124" s="872"/>
      <c r="E124" s="872"/>
      <c r="F124" s="872"/>
      <c r="G124" s="872"/>
      <c r="H124" s="872"/>
      <c r="I124" s="872"/>
      <c r="J124" s="872"/>
      <c r="K124" s="872"/>
      <c r="L124" s="872"/>
      <c r="M124" s="872"/>
      <c r="N124" s="872"/>
      <c r="O124" s="873"/>
      <c r="P124" s="875"/>
    </row>
    <row r="125" spans="1:16" ht="24" customHeight="1" x14ac:dyDescent="0.35">
      <c r="A125" s="887" t="s">
        <v>1375</v>
      </c>
      <c r="B125" s="888" t="s">
        <v>1376</v>
      </c>
      <c r="C125" s="891">
        <v>0</v>
      </c>
      <c r="D125" s="891">
        <v>72</v>
      </c>
      <c r="E125" s="891">
        <v>123</v>
      </c>
      <c r="F125" s="891">
        <v>122</v>
      </c>
      <c r="G125" s="891">
        <v>115</v>
      </c>
      <c r="H125" s="891">
        <v>55</v>
      </c>
      <c r="I125" s="891">
        <v>55</v>
      </c>
      <c r="J125" s="891">
        <v>33</v>
      </c>
      <c r="K125" s="891">
        <v>0</v>
      </c>
      <c r="L125" s="891">
        <v>0</v>
      </c>
      <c r="M125" s="891">
        <v>432</v>
      </c>
      <c r="N125" s="891">
        <v>575</v>
      </c>
      <c r="O125" s="872" t="s">
        <v>1350</v>
      </c>
      <c r="P125" s="875"/>
    </row>
    <row r="126" spans="1:16" x14ac:dyDescent="0.35">
      <c r="A126" s="870" t="s">
        <v>1377</v>
      </c>
      <c r="B126" s="871" t="s">
        <v>1378</v>
      </c>
      <c r="C126" s="872">
        <v>0</v>
      </c>
      <c r="D126" s="872">
        <v>1</v>
      </c>
      <c r="E126" s="872">
        <v>2</v>
      </c>
      <c r="F126" s="872">
        <v>2</v>
      </c>
      <c r="G126" s="872">
        <v>2</v>
      </c>
      <c r="H126" s="872">
        <v>2</v>
      </c>
      <c r="I126" s="872">
        <v>2</v>
      </c>
      <c r="J126" s="872">
        <v>2</v>
      </c>
      <c r="K126" s="872">
        <v>2</v>
      </c>
      <c r="L126" s="872">
        <v>1</v>
      </c>
      <c r="M126" s="872">
        <v>7</v>
      </c>
      <c r="N126" s="872">
        <v>16</v>
      </c>
      <c r="O126" s="873" t="s">
        <v>1350</v>
      </c>
      <c r="P126" s="875"/>
    </row>
    <row r="127" spans="1:16" x14ac:dyDescent="0.35">
      <c r="A127" s="870" t="s">
        <v>1379</v>
      </c>
      <c r="B127" s="871" t="s">
        <v>1380</v>
      </c>
      <c r="C127" s="872">
        <v>0</v>
      </c>
      <c r="D127" s="872">
        <v>49</v>
      </c>
      <c r="E127" s="872">
        <v>190</v>
      </c>
      <c r="F127" s="872">
        <v>379</v>
      </c>
      <c r="G127" s="872">
        <v>531</v>
      </c>
      <c r="H127" s="872">
        <v>619</v>
      </c>
      <c r="I127" s="872">
        <v>580</v>
      </c>
      <c r="J127" s="872">
        <v>387</v>
      </c>
      <c r="K127" s="872">
        <v>196</v>
      </c>
      <c r="L127" s="872">
        <v>69</v>
      </c>
      <c r="M127" s="889">
        <v>1149</v>
      </c>
      <c r="N127" s="889">
        <v>3000</v>
      </c>
      <c r="O127" s="873" t="s">
        <v>1350</v>
      </c>
      <c r="P127" s="875"/>
    </row>
    <row r="128" spans="1:16" x14ac:dyDescent="0.35">
      <c r="A128" s="887" t="s">
        <v>1381</v>
      </c>
      <c r="B128" s="888" t="s">
        <v>1382</v>
      </c>
      <c r="C128" s="872">
        <v>0</v>
      </c>
      <c r="D128" s="872">
        <v>22</v>
      </c>
      <c r="E128" s="872">
        <v>22</v>
      </c>
      <c r="F128" s="872">
        <v>6</v>
      </c>
      <c r="G128" s="872">
        <v>0</v>
      </c>
      <c r="H128" s="872">
        <v>0</v>
      </c>
      <c r="I128" s="872">
        <v>0</v>
      </c>
      <c r="J128" s="872">
        <v>0</v>
      </c>
      <c r="K128" s="872">
        <v>0</v>
      </c>
      <c r="L128" s="872">
        <v>0</v>
      </c>
      <c r="M128" s="872">
        <v>50</v>
      </c>
      <c r="N128" s="872">
        <v>50</v>
      </c>
      <c r="O128" s="873" t="s">
        <v>1350</v>
      </c>
      <c r="P128" s="874"/>
    </row>
    <row r="129" spans="1:16" x14ac:dyDescent="0.35">
      <c r="A129" s="870" t="s">
        <v>1383</v>
      </c>
      <c r="B129" s="871" t="s">
        <v>1384</v>
      </c>
      <c r="C129" s="872">
        <v>0</v>
      </c>
      <c r="D129" s="872">
        <v>30</v>
      </c>
      <c r="E129" s="872">
        <v>30</v>
      </c>
      <c r="F129" s="872">
        <v>40</v>
      </c>
      <c r="G129" s="872">
        <v>15</v>
      </c>
      <c r="H129" s="872">
        <v>5</v>
      </c>
      <c r="I129" s="872">
        <v>5</v>
      </c>
      <c r="J129" s="872">
        <v>0</v>
      </c>
      <c r="K129" s="872">
        <v>0</v>
      </c>
      <c r="L129" s="872">
        <v>0</v>
      </c>
      <c r="M129" s="872">
        <v>115</v>
      </c>
      <c r="N129" s="872">
        <v>125</v>
      </c>
      <c r="O129" s="873" t="s">
        <v>1350</v>
      </c>
      <c r="P129" s="875"/>
    </row>
    <row r="130" spans="1:16" x14ac:dyDescent="0.35">
      <c r="A130" s="870" t="s">
        <v>1385</v>
      </c>
      <c r="B130" s="871" t="s">
        <v>1386</v>
      </c>
      <c r="C130" s="872">
        <v>0</v>
      </c>
      <c r="D130" s="872">
        <v>10</v>
      </c>
      <c r="E130" s="872">
        <v>230</v>
      </c>
      <c r="F130" s="872">
        <v>660</v>
      </c>
      <c r="G130" s="872">
        <v>945</v>
      </c>
      <c r="H130" s="872">
        <v>605</v>
      </c>
      <c r="I130" s="872">
        <v>100</v>
      </c>
      <c r="J130" s="872">
        <v>0</v>
      </c>
      <c r="K130" s="872">
        <v>0</v>
      </c>
      <c r="L130" s="872">
        <v>0</v>
      </c>
      <c r="M130" s="889">
        <v>1845</v>
      </c>
      <c r="N130" s="889">
        <v>2550</v>
      </c>
      <c r="O130" s="873" t="s">
        <v>1350</v>
      </c>
      <c r="P130" s="875"/>
    </row>
    <row r="131" spans="1:16" x14ac:dyDescent="0.35">
      <c r="A131" s="870" t="s">
        <v>1387</v>
      </c>
      <c r="B131" s="871" t="s">
        <v>1388</v>
      </c>
      <c r="C131" s="872">
        <v>0</v>
      </c>
      <c r="D131" s="872">
        <v>10</v>
      </c>
      <c r="E131" s="872">
        <v>45</v>
      </c>
      <c r="F131" s="872">
        <v>70</v>
      </c>
      <c r="G131" s="872">
        <v>100</v>
      </c>
      <c r="H131" s="872">
        <v>100</v>
      </c>
      <c r="I131" s="872">
        <v>100</v>
      </c>
      <c r="J131" s="872">
        <v>100</v>
      </c>
      <c r="K131" s="872">
        <v>100</v>
      </c>
      <c r="L131" s="872">
        <v>100</v>
      </c>
      <c r="M131" s="872">
        <v>225</v>
      </c>
      <c r="N131" s="872">
        <v>725</v>
      </c>
      <c r="O131" s="873" t="s">
        <v>1350</v>
      </c>
      <c r="P131" s="875"/>
    </row>
    <row r="132" spans="1:16" x14ac:dyDescent="0.35">
      <c r="A132" s="887" t="s">
        <v>1389</v>
      </c>
      <c r="B132" s="888" t="s">
        <v>1390</v>
      </c>
      <c r="C132" s="872">
        <v>0</v>
      </c>
      <c r="D132" s="872">
        <v>14</v>
      </c>
      <c r="E132" s="872">
        <v>11</v>
      </c>
      <c r="F132" s="872">
        <v>0</v>
      </c>
      <c r="G132" s="872">
        <v>0</v>
      </c>
      <c r="H132" s="872">
        <v>0</v>
      </c>
      <c r="I132" s="872">
        <v>0</v>
      </c>
      <c r="J132" s="872">
        <v>0</v>
      </c>
      <c r="K132" s="872">
        <v>0</v>
      </c>
      <c r="L132" s="872">
        <v>0</v>
      </c>
      <c r="M132" s="872">
        <v>25</v>
      </c>
      <c r="N132" s="872">
        <v>25</v>
      </c>
      <c r="O132" s="873" t="s">
        <v>1354</v>
      </c>
      <c r="P132" s="874"/>
    </row>
    <row r="133" spans="1:16" x14ac:dyDescent="0.35">
      <c r="A133" s="887" t="s">
        <v>1391</v>
      </c>
      <c r="B133" s="888" t="s">
        <v>1392</v>
      </c>
      <c r="C133" s="872">
        <v>0</v>
      </c>
      <c r="D133" s="872">
        <v>84</v>
      </c>
      <c r="E133" s="872">
        <v>320</v>
      </c>
      <c r="F133" s="872">
        <v>638</v>
      </c>
      <c r="G133" s="872">
        <v>928</v>
      </c>
      <c r="H133" s="872">
        <v>940</v>
      </c>
      <c r="I133" s="872">
        <v>720</v>
      </c>
      <c r="J133" s="872">
        <v>300</v>
      </c>
      <c r="K133" s="872">
        <v>120</v>
      </c>
      <c r="L133" s="872">
        <v>0</v>
      </c>
      <c r="M133" s="889">
        <v>1970</v>
      </c>
      <c r="N133" s="889">
        <v>4050</v>
      </c>
      <c r="O133" s="873" t="s">
        <v>1354</v>
      </c>
      <c r="P133" s="875"/>
    </row>
    <row r="134" spans="1:16" x14ac:dyDescent="0.35">
      <c r="A134" s="870" t="s">
        <v>1393</v>
      </c>
      <c r="B134" s="871" t="s">
        <v>1394</v>
      </c>
      <c r="C134" s="872">
        <v>0</v>
      </c>
      <c r="D134" s="872">
        <v>40</v>
      </c>
      <c r="E134" s="872">
        <v>200</v>
      </c>
      <c r="F134" s="872">
        <v>400</v>
      </c>
      <c r="G134" s="872">
        <v>660</v>
      </c>
      <c r="H134" s="872">
        <v>640</v>
      </c>
      <c r="I134" s="872">
        <v>515</v>
      </c>
      <c r="J134" s="872">
        <v>240</v>
      </c>
      <c r="K134" s="872">
        <v>105</v>
      </c>
      <c r="L134" s="872">
        <v>0</v>
      </c>
      <c r="M134" s="889">
        <v>1300</v>
      </c>
      <c r="N134" s="889">
        <v>2800</v>
      </c>
      <c r="O134" s="873" t="s">
        <v>1354</v>
      </c>
      <c r="P134" s="875"/>
    </row>
    <row r="135" spans="1:16" x14ac:dyDescent="0.35">
      <c r="A135" s="870" t="s">
        <v>1395</v>
      </c>
      <c r="B135" s="871" t="s">
        <v>1396</v>
      </c>
      <c r="C135" s="905">
        <v>0</v>
      </c>
      <c r="D135" s="905">
        <v>138</v>
      </c>
      <c r="E135" s="905">
        <v>566</v>
      </c>
      <c r="F135" s="905">
        <v>994</v>
      </c>
      <c r="G135" s="906">
        <v>1328</v>
      </c>
      <c r="H135" s="906">
        <v>1791</v>
      </c>
      <c r="I135" s="906">
        <v>2350</v>
      </c>
      <c r="J135" s="906">
        <v>2928</v>
      </c>
      <c r="K135" s="906">
        <v>3548</v>
      </c>
      <c r="L135" s="906">
        <v>4162</v>
      </c>
      <c r="M135" s="906">
        <v>3026</v>
      </c>
      <c r="N135" s="906">
        <v>17805</v>
      </c>
      <c r="O135" s="907" t="s">
        <v>54</v>
      </c>
      <c r="P135" s="908"/>
    </row>
    <row r="136" spans="1:16" x14ac:dyDescent="0.35">
      <c r="A136" s="870" t="s">
        <v>1397</v>
      </c>
      <c r="B136" s="871" t="s">
        <v>1398</v>
      </c>
      <c r="C136" s="905">
        <v>0</v>
      </c>
      <c r="D136" s="905">
        <v>0</v>
      </c>
      <c r="E136" s="905">
        <v>235</v>
      </c>
      <c r="F136" s="905">
        <v>317</v>
      </c>
      <c r="G136" s="905">
        <v>304</v>
      </c>
      <c r="H136" s="905">
        <v>314</v>
      </c>
      <c r="I136" s="905">
        <v>324</v>
      </c>
      <c r="J136" s="905">
        <v>335</v>
      </c>
      <c r="K136" s="905">
        <v>346</v>
      </c>
      <c r="L136" s="905">
        <v>359</v>
      </c>
      <c r="M136" s="905">
        <v>856</v>
      </c>
      <c r="N136" s="906">
        <v>2534</v>
      </c>
      <c r="O136" s="907" t="s">
        <v>54</v>
      </c>
      <c r="P136" s="875"/>
    </row>
    <row r="137" spans="1:16" ht="24" customHeight="1" x14ac:dyDescent="0.35">
      <c r="A137" s="870" t="s">
        <v>1399</v>
      </c>
      <c r="B137" s="871" t="s">
        <v>1400</v>
      </c>
      <c r="C137" s="909"/>
      <c r="D137" s="909">
        <v>333</v>
      </c>
      <c r="E137" s="909">
        <v>314</v>
      </c>
      <c r="F137" s="909">
        <v>314</v>
      </c>
      <c r="G137" s="909">
        <v>-4530</v>
      </c>
      <c r="H137" s="909">
        <v>-9118</v>
      </c>
      <c r="I137" s="909">
        <v>-18184</v>
      </c>
      <c r="J137" s="909">
        <v>-20493</v>
      </c>
      <c r="K137" s="909">
        <v>-23289</v>
      </c>
      <c r="L137" s="909">
        <v>-24298</v>
      </c>
      <c r="M137" s="909">
        <v>-569</v>
      </c>
      <c r="N137" s="909">
        <v>-95951</v>
      </c>
      <c r="O137" s="910" t="s">
        <v>55</v>
      </c>
      <c r="P137" s="911"/>
    </row>
    <row r="138" spans="1:16" ht="36" customHeight="1" x14ac:dyDescent="0.35">
      <c r="A138" s="870" t="s">
        <v>1395</v>
      </c>
      <c r="B138" s="871" t="s">
        <v>1401</v>
      </c>
      <c r="C138" s="912">
        <v>0</v>
      </c>
      <c r="D138" s="912">
        <v>-2447</v>
      </c>
      <c r="E138" s="912">
        <v>-3716</v>
      </c>
      <c r="F138" s="912">
        <v>-19171</v>
      </c>
      <c r="G138" s="912">
        <v>-7014</v>
      </c>
      <c r="H138" s="912">
        <v>-7706</v>
      </c>
      <c r="I138" s="912">
        <v>-8497</v>
      </c>
      <c r="J138" s="912">
        <v>-9360</v>
      </c>
      <c r="K138" s="912">
        <v>-10602</v>
      </c>
      <c r="L138" s="912">
        <v>-11603</v>
      </c>
      <c r="M138" s="912">
        <v>-32348</v>
      </c>
      <c r="N138" s="912">
        <v>-80116</v>
      </c>
      <c r="O138" s="910" t="s">
        <v>55</v>
      </c>
      <c r="P138" s="875"/>
    </row>
    <row r="139" spans="1:16" x14ac:dyDescent="0.35">
      <c r="A139" s="870" t="s">
        <v>1402</v>
      </c>
      <c r="B139" s="871" t="s">
        <v>1403</v>
      </c>
      <c r="C139" s="909">
        <v>0</v>
      </c>
      <c r="D139" s="909">
        <v>53</v>
      </c>
      <c r="E139" s="909">
        <v>1991</v>
      </c>
      <c r="F139" s="909">
        <v>3308</v>
      </c>
      <c r="G139" s="909">
        <v>3545</v>
      </c>
      <c r="H139" s="909">
        <v>4537</v>
      </c>
      <c r="I139" s="909">
        <v>4476</v>
      </c>
      <c r="J139" s="909">
        <v>3947</v>
      </c>
      <c r="K139" s="909">
        <v>1781</v>
      </c>
      <c r="L139" s="909">
        <v>1462</v>
      </c>
      <c r="M139" s="909">
        <v>8897</v>
      </c>
      <c r="N139" s="909">
        <v>25100</v>
      </c>
      <c r="O139" s="910" t="s">
        <v>55</v>
      </c>
      <c r="P139" s="875"/>
    </row>
    <row r="140" spans="1:16" x14ac:dyDescent="0.35">
      <c r="A140" s="870" t="s">
        <v>1404</v>
      </c>
      <c r="B140" s="871" t="s">
        <v>1405</v>
      </c>
      <c r="C140" s="913">
        <v>0</v>
      </c>
      <c r="D140" s="913">
        <v>0</v>
      </c>
      <c r="E140" s="913">
        <v>0</v>
      </c>
      <c r="F140" s="913">
        <v>0</v>
      </c>
      <c r="G140" s="913">
        <v>0</v>
      </c>
      <c r="H140" s="914">
        <v>-16290</v>
      </c>
      <c r="I140" s="914">
        <v>-25656</v>
      </c>
      <c r="J140" s="914">
        <v>-23394</v>
      </c>
      <c r="K140" s="914">
        <v>-27561</v>
      </c>
      <c r="L140" s="914">
        <v>-29250</v>
      </c>
      <c r="M140" s="913">
        <v>0</v>
      </c>
      <c r="N140" s="914">
        <v>-122151</v>
      </c>
      <c r="O140" s="910" t="s">
        <v>55</v>
      </c>
      <c r="P140" s="875"/>
    </row>
    <row r="141" spans="1:16" ht="36" customHeight="1" x14ac:dyDescent="0.35">
      <c r="A141" s="870" t="s">
        <v>1406</v>
      </c>
      <c r="B141" s="871" t="s">
        <v>1407</v>
      </c>
      <c r="C141" s="909">
        <v>0</v>
      </c>
      <c r="D141" s="909">
        <v>-70</v>
      </c>
      <c r="E141" s="909">
        <v>300</v>
      </c>
      <c r="F141" s="909">
        <v>862</v>
      </c>
      <c r="G141" s="909">
        <v>577</v>
      </c>
      <c r="H141" s="909">
        <v>464</v>
      </c>
      <c r="I141" s="909">
        <v>549</v>
      </c>
      <c r="J141" s="909">
        <v>501</v>
      </c>
      <c r="K141" s="909">
        <v>591</v>
      </c>
      <c r="L141" s="909">
        <v>630</v>
      </c>
      <c r="M141" s="909">
        <v>1669</v>
      </c>
      <c r="N141" s="909">
        <v>4404</v>
      </c>
      <c r="O141" s="910" t="s">
        <v>55</v>
      </c>
      <c r="P141" s="875"/>
    </row>
    <row r="142" spans="1:16" x14ac:dyDescent="0.35">
      <c r="A142" s="870" t="s">
        <v>1408</v>
      </c>
      <c r="B142" s="871" t="s">
        <v>1409</v>
      </c>
      <c r="C142" s="913">
        <v>0</v>
      </c>
      <c r="D142" s="913">
        <v>0</v>
      </c>
      <c r="E142" s="913">
        <v>195</v>
      </c>
      <c r="F142" s="913">
        <v>230</v>
      </c>
      <c r="G142" s="913">
        <v>248</v>
      </c>
      <c r="H142" s="913">
        <v>266</v>
      </c>
      <c r="I142" s="913">
        <v>311</v>
      </c>
      <c r="J142" s="913">
        <v>281</v>
      </c>
      <c r="K142" s="913">
        <v>327</v>
      </c>
      <c r="L142" s="913">
        <v>347</v>
      </c>
      <c r="M142" s="913">
        <v>673</v>
      </c>
      <c r="N142" s="914">
        <v>2205</v>
      </c>
      <c r="O142" s="910" t="s">
        <v>55</v>
      </c>
      <c r="P142" s="875"/>
    </row>
    <row r="143" spans="1:16" x14ac:dyDescent="0.35">
      <c r="A143" s="887" t="s">
        <v>1410</v>
      </c>
      <c r="B143" s="888" t="s">
        <v>1411</v>
      </c>
      <c r="C143" s="915">
        <v>0</v>
      </c>
      <c r="D143" s="915">
        <v>70</v>
      </c>
      <c r="E143" s="915">
        <v>132</v>
      </c>
      <c r="F143" s="915">
        <v>51</v>
      </c>
      <c r="G143" s="915">
        <v>20</v>
      </c>
      <c r="H143" s="915">
        <v>8</v>
      </c>
      <c r="I143" s="915">
        <v>0</v>
      </c>
      <c r="J143" s="915">
        <v>0</v>
      </c>
      <c r="K143" s="915">
        <v>0</v>
      </c>
      <c r="L143" s="915">
        <v>0</v>
      </c>
      <c r="M143" s="915">
        <v>273</v>
      </c>
      <c r="N143" s="915">
        <v>281</v>
      </c>
      <c r="O143" s="816" t="s">
        <v>1412</v>
      </c>
      <c r="P143" s="875" t="s">
        <v>1413</v>
      </c>
    </row>
    <row r="144" spans="1:16" x14ac:dyDescent="0.35">
      <c r="A144" s="887" t="s">
        <v>1414</v>
      </c>
      <c r="B144" s="888" t="s">
        <v>1415</v>
      </c>
      <c r="C144" s="915">
        <v>0</v>
      </c>
      <c r="D144" s="915">
        <v>465</v>
      </c>
      <c r="E144" s="817">
        <v>2420</v>
      </c>
      <c r="F144" s="817">
        <v>4755</v>
      </c>
      <c r="G144" s="817">
        <v>5980</v>
      </c>
      <c r="H144" s="817">
        <v>4694</v>
      </c>
      <c r="I144" s="817">
        <v>1573</v>
      </c>
      <c r="J144" s="915">
        <v>93</v>
      </c>
      <c r="K144" s="915">
        <v>0</v>
      </c>
      <c r="L144" s="915">
        <v>0</v>
      </c>
      <c r="M144" s="817">
        <v>13620</v>
      </c>
      <c r="N144" s="817">
        <v>19980</v>
      </c>
      <c r="O144" s="816" t="s">
        <v>1412</v>
      </c>
      <c r="P144" s="875" t="s">
        <v>1416</v>
      </c>
    </row>
    <row r="145" spans="1:16" x14ac:dyDescent="0.35">
      <c r="A145" s="870" t="s">
        <v>1417</v>
      </c>
      <c r="B145" s="871" t="s">
        <v>1418</v>
      </c>
      <c r="C145" s="915">
        <v>0</v>
      </c>
      <c r="D145" s="915">
        <v>20</v>
      </c>
      <c r="E145" s="915">
        <v>65</v>
      </c>
      <c r="F145" s="915">
        <v>110</v>
      </c>
      <c r="G145" s="915">
        <v>135</v>
      </c>
      <c r="H145" s="915">
        <v>180</v>
      </c>
      <c r="I145" s="915">
        <v>230</v>
      </c>
      <c r="J145" s="915">
        <v>180</v>
      </c>
      <c r="K145" s="915">
        <v>60</v>
      </c>
      <c r="L145" s="915">
        <v>10</v>
      </c>
      <c r="M145" s="915">
        <v>330</v>
      </c>
      <c r="N145" s="915">
        <v>990</v>
      </c>
      <c r="O145" s="816" t="s">
        <v>1412</v>
      </c>
      <c r="P145" s="898" t="s">
        <v>1419</v>
      </c>
    </row>
    <row r="146" spans="1:16" x14ac:dyDescent="0.35">
      <c r="A146" s="870" t="s">
        <v>1420</v>
      </c>
      <c r="B146" s="871" t="s">
        <v>1421</v>
      </c>
      <c r="C146" s="915">
        <v>0</v>
      </c>
      <c r="D146" s="817">
        <v>20892</v>
      </c>
      <c r="E146" s="817">
        <v>11288</v>
      </c>
      <c r="F146" s="817">
        <v>9651</v>
      </c>
      <c r="G146" s="817">
        <v>-8548</v>
      </c>
      <c r="H146" s="915">
        <v>-463</v>
      </c>
      <c r="I146" s="915">
        <v>0</v>
      </c>
      <c r="J146" s="915">
        <v>0</v>
      </c>
      <c r="K146" s="915">
        <v>0</v>
      </c>
      <c r="L146" s="915">
        <v>0</v>
      </c>
      <c r="M146" s="817">
        <v>33283</v>
      </c>
      <c r="N146" s="817">
        <v>32820</v>
      </c>
      <c r="O146" s="818" t="s">
        <v>1412</v>
      </c>
      <c r="P146" s="875"/>
    </row>
    <row r="147" spans="1:16" x14ac:dyDescent="0.35">
      <c r="A147" s="870" t="s">
        <v>1422</v>
      </c>
      <c r="B147" s="871" t="s">
        <v>1423</v>
      </c>
      <c r="C147" s="915">
        <v>0</v>
      </c>
      <c r="D147" s="915">
        <v>24</v>
      </c>
      <c r="E147" s="915">
        <v>65</v>
      </c>
      <c r="F147" s="915">
        <v>112</v>
      </c>
      <c r="G147" s="915">
        <v>130</v>
      </c>
      <c r="H147" s="915">
        <v>98</v>
      </c>
      <c r="I147" s="915">
        <v>56</v>
      </c>
      <c r="J147" s="915">
        <v>15</v>
      </c>
      <c r="K147" s="915">
        <v>0</v>
      </c>
      <c r="L147" s="915">
        <v>0</v>
      </c>
      <c r="M147" s="915">
        <v>331</v>
      </c>
      <c r="N147" s="915">
        <v>500</v>
      </c>
      <c r="O147" s="818" t="s">
        <v>1412</v>
      </c>
      <c r="P147" s="875"/>
    </row>
    <row r="148" spans="1:16" x14ac:dyDescent="0.35">
      <c r="A148" s="819" t="s">
        <v>1424</v>
      </c>
      <c r="B148" s="820" t="s">
        <v>1425</v>
      </c>
      <c r="C148" s="915">
        <v>0</v>
      </c>
      <c r="D148" s="915">
        <v>50</v>
      </c>
      <c r="E148" s="915">
        <v>500</v>
      </c>
      <c r="F148" s="915">
        <v>920</v>
      </c>
      <c r="G148" s="817">
        <v>1310</v>
      </c>
      <c r="H148" s="817">
        <v>1680</v>
      </c>
      <c r="I148" s="817">
        <v>1780</v>
      </c>
      <c r="J148" s="817">
        <v>1640</v>
      </c>
      <c r="K148" s="817">
        <v>1090</v>
      </c>
      <c r="L148" s="915">
        <v>630</v>
      </c>
      <c r="M148" s="817">
        <v>2780</v>
      </c>
      <c r="N148" s="817">
        <v>9600</v>
      </c>
      <c r="O148" s="818" t="s">
        <v>1412</v>
      </c>
      <c r="P148" s="821"/>
    </row>
    <row r="149" spans="1:16" x14ac:dyDescent="0.35">
      <c r="A149" s="870" t="s">
        <v>1426</v>
      </c>
      <c r="B149" s="871" t="s">
        <v>1427</v>
      </c>
      <c r="C149" s="915">
        <v>0</v>
      </c>
      <c r="D149" s="915">
        <v>30</v>
      </c>
      <c r="E149" s="915">
        <v>90</v>
      </c>
      <c r="F149" s="915">
        <v>90</v>
      </c>
      <c r="G149" s="915">
        <v>85</v>
      </c>
      <c r="H149" s="915">
        <v>70</v>
      </c>
      <c r="I149" s="915">
        <v>65</v>
      </c>
      <c r="J149" s="915">
        <v>65</v>
      </c>
      <c r="K149" s="915">
        <v>35</v>
      </c>
      <c r="L149" s="915">
        <v>15</v>
      </c>
      <c r="M149" s="915">
        <v>295</v>
      </c>
      <c r="N149" s="915">
        <v>545</v>
      </c>
      <c r="O149" s="818" t="s">
        <v>1412</v>
      </c>
      <c r="P149" s="875"/>
    </row>
    <row r="150" spans="1:16" x14ac:dyDescent="0.35">
      <c r="A150" s="870" t="s">
        <v>1428</v>
      </c>
      <c r="B150" s="871" t="s">
        <v>1429</v>
      </c>
      <c r="C150" s="915">
        <v>0</v>
      </c>
      <c r="D150" s="915">
        <v>185</v>
      </c>
      <c r="E150" s="915">
        <v>394</v>
      </c>
      <c r="F150" s="915">
        <v>639</v>
      </c>
      <c r="G150" s="915">
        <v>722</v>
      </c>
      <c r="H150" s="915">
        <v>595</v>
      </c>
      <c r="I150" s="915">
        <v>346</v>
      </c>
      <c r="J150" s="915">
        <v>101</v>
      </c>
      <c r="K150" s="915">
        <v>18</v>
      </c>
      <c r="L150" s="915">
        <v>0</v>
      </c>
      <c r="M150" s="817">
        <v>1940</v>
      </c>
      <c r="N150" s="817">
        <v>3000</v>
      </c>
      <c r="O150" s="816" t="s">
        <v>1412</v>
      </c>
      <c r="P150" s="875"/>
    </row>
    <row r="151" spans="1:16" x14ac:dyDescent="0.35">
      <c r="A151" s="870" t="s">
        <v>1430</v>
      </c>
      <c r="B151" s="871" t="s">
        <v>1431</v>
      </c>
      <c r="C151" s="915">
        <v>0</v>
      </c>
      <c r="D151" s="915">
        <v>8</v>
      </c>
      <c r="E151" s="915">
        <v>26</v>
      </c>
      <c r="F151" s="915">
        <v>41</v>
      </c>
      <c r="G151" s="915">
        <v>38</v>
      </c>
      <c r="H151" s="915">
        <v>22</v>
      </c>
      <c r="I151" s="915">
        <v>11</v>
      </c>
      <c r="J151" s="915">
        <v>4</v>
      </c>
      <c r="K151" s="915">
        <v>0</v>
      </c>
      <c r="L151" s="915">
        <v>0</v>
      </c>
      <c r="M151" s="915">
        <v>113</v>
      </c>
      <c r="N151" s="915">
        <v>150</v>
      </c>
      <c r="O151" s="816" t="s">
        <v>1412</v>
      </c>
      <c r="P151" s="875"/>
    </row>
    <row r="152" spans="1:16" ht="24" customHeight="1" x14ac:dyDescent="0.35">
      <c r="A152" s="887" t="s">
        <v>1432</v>
      </c>
      <c r="B152" s="888" t="s">
        <v>1433</v>
      </c>
      <c r="C152" s="822">
        <v>0</v>
      </c>
      <c r="D152" s="823">
        <v>77</v>
      </c>
      <c r="E152" s="823">
        <v>232</v>
      </c>
      <c r="F152" s="823">
        <v>341</v>
      </c>
      <c r="G152" s="823">
        <v>496</v>
      </c>
      <c r="H152" s="823">
        <v>310</v>
      </c>
      <c r="I152" s="823">
        <v>47</v>
      </c>
      <c r="J152" s="823">
        <v>31</v>
      </c>
      <c r="K152" s="823">
        <v>15</v>
      </c>
      <c r="L152" s="823">
        <v>1</v>
      </c>
      <c r="M152" s="824">
        <v>1146</v>
      </c>
      <c r="N152" s="824">
        <v>1550</v>
      </c>
      <c r="O152" s="825" t="s">
        <v>1434</v>
      </c>
      <c r="P152" s="875" t="s">
        <v>1435</v>
      </c>
    </row>
    <row r="153" spans="1:16" ht="30" customHeight="1" x14ac:dyDescent="0.35">
      <c r="A153" s="870" t="s">
        <v>1436</v>
      </c>
      <c r="B153" s="871" t="s">
        <v>1437</v>
      </c>
      <c r="C153" s="826">
        <v>0</v>
      </c>
      <c r="D153" s="826">
        <v>264</v>
      </c>
      <c r="E153" s="826">
        <v>715</v>
      </c>
      <c r="F153" s="826">
        <v>1393</v>
      </c>
      <c r="G153" s="826">
        <v>2492</v>
      </c>
      <c r="H153" s="826">
        <v>3364</v>
      </c>
      <c r="I153" s="826">
        <v>3209</v>
      </c>
      <c r="J153" s="826">
        <v>2750</v>
      </c>
      <c r="K153" s="826">
        <v>1783</v>
      </c>
      <c r="L153" s="826">
        <v>744</v>
      </c>
      <c r="M153" s="827">
        <v>4864</v>
      </c>
      <c r="N153" s="827">
        <v>16714</v>
      </c>
      <c r="O153" s="828" t="s">
        <v>52</v>
      </c>
      <c r="P153" s="829" t="s">
        <v>1438</v>
      </c>
    </row>
    <row r="154" spans="1:16" x14ac:dyDescent="0.35">
      <c r="A154" s="870" t="s">
        <v>1439</v>
      </c>
      <c r="B154" s="871" t="s">
        <v>1440</v>
      </c>
      <c r="C154" s="830">
        <v>0</v>
      </c>
      <c r="D154" s="830">
        <v>0</v>
      </c>
      <c r="E154" s="830">
        <v>50</v>
      </c>
      <c r="F154" s="830">
        <v>270</v>
      </c>
      <c r="G154" s="830">
        <v>680</v>
      </c>
      <c r="H154" s="830">
        <v>850</v>
      </c>
      <c r="I154" s="830">
        <v>730</v>
      </c>
      <c r="J154" s="830">
        <v>485</v>
      </c>
      <c r="K154" s="830">
        <v>285</v>
      </c>
      <c r="L154" s="830">
        <v>145</v>
      </c>
      <c r="M154" s="831">
        <v>1000</v>
      </c>
      <c r="N154" s="831">
        <v>3495</v>
      </c>
      <c r="O154" s="832" t="s">
        <v>52</v>
      </c>
      <c r="P154" s="833" t="s">
        <v>1441</v>
      </c>
    </row>
    <row r="155" spans="1:16" x14ac:dyDescent="0.35">
      <c r="A155" s="870" t="s">
        <v>1442</v>
      </c>
      <c r="B155" s="871" t="s">
        <v>1443</v>
      </c>
      <c r="C155" s="830">
        <v>0</v>
      </c>
      <c r="D155" s="830">
        <v>5</v>
      </c>
      <c r="E155" s="830">
        <v>5</v>
      </c>
      <c r="F155" s="830">
        <v>10</v>
      </c>
      <c r="G155" s="830">
        <v>25</v>
      </c>
      <c r="H155" s="830">
        <v>70</v>
      </c>
      <c r="I155" s="830">
        <v>175</v>
      </c>
      <c r="J155" s="830">
        <v>385</v>
      </c>
      <c r="K155" s="830">
        <v>460</v>
      </c>
      <c r="L155" s="830">
        <v>325</v>
      </c>
      <c r="M155" s="830">
        <v>45</v>
      </c>
      <c r="N155" s="831">
        <v>1460</v>
      </c>
      <c r="O155" s="834" t="s">
        <v>52</v>
      </c>
      <c r="P155" s="833" t="s">
        <v>1444</v>
      </c>
    </row>
    <row r="156" spans="1:16" x14ac:dyDescent="0.35">
      <c r="A156" s="887" t="s">
        <v>1445</v>
      </c>
      <c r="B156" s="888" t="s">
        <v>1446</v>
      </c>
      <c r="C156" s="830">
        <v>0</v>
      </c>
      <c r="D156" s="830">
        <v>6</v>
      </c>
      <c r="E156" s="830">
        <v>8</v>
      </c>
      <c r="F156" s="830">
        <v>1</v>
      </c>
      <c r="G156" s="830">
        <v>0</v>
      </c>
      <c r="H156" s="830">
        <v>0</v>
      </c>
      <c r="I156" s="830">
        <v>0</v>
      </c>
      <c r="J156" s="830">
        <v>0</v>
      </c>
      <c r="K156" s="830">
        <v>0</v>
      </c>
      <c r="L156" s="830">
        <v>0</v>
      </c>
      <c r="M156" s="830">
        <v>15</v>
      </c>
      <c r="N156" s="830">
        <v>15</v>
      </c>
      <c r="O156" s="834" t="s">
        <v>52</v>
      </c>
      <c r="P156" s="833" t="s">
        <v>1447</v>
      </c>
    </row>
    <row r="157" spans="1:16" ht="24" customHeight="1" x14ac:dyDescent="0.35">
      <c r="A157" s="870" t="s">
        <v>1448</v>
      </c>
      <c r="B157" s="871" t="s">
        <v>1449</v>
      </c>
      <c r="C157" s="830">
        <v>0</v>
      </c>
      <c r="D157" s="830">
        <v>5</v>
      </c>
      <c r="E157" s="830">
        <v>41</v>
      </c>
      <c r="F157" s="830">
        <v>116</v>
      </c>
      <c r="G157" s="830">
        <v>284</v>
      </c>
      <c r="H157" s="830">
        <v>417</v>
      </c>
      <c r="I157" s="830">
        <v>459</v>
      </c>
      <c r="J157" s="830">
        <v>355</v>
      </c>
      <c r="K157" s="830">
        <v>210</v>
      </c>
      <c r="L157" s="830">
        <v>90</v>
      </c>
      <c r="M157" s="830">
        <v>446</v>
      </c>
      <c r="N157" s="831">
        <v>1977</v>
      </c>
      <c r="O157" s="835" t="s">
        <v>52</v>
      </c>
      <c r="P157" s="836" t="s">
        <v>1450</v>
      </c>
    </row>
    <row r="158" spans="1:16" ht="24" customHeight="1" x14ac:dyDescent="0.35">
      <c r="A158" s="870" t="s">
        <v>1451</v>
      </c>
      <c r="B158" s="871" t="s">
        <v>1452</v>
      </c>
      <c r="C158" s="830">
        <v>0</v>
      </c>
      <c r="D158" s="830">
        <v>20</v>
      </c>
      <c r="E158" s="830">
        <v>100</v>
      </c>
      <c r="F158" s="830">
        <v>460</v>
      </c>
      <c r="G158" s="831">
        <v>1070</v>
      </c>
      <c r="H158" s="831">
        <v>1430</v>
      </c>
      <c r="I158" s="831">
        <v>1110</v>
      </c>
      <c r="J158" s="830">
        <v>660</v>
      </c>
      <c r="K158" s="830">
        <v>300</v>
      </c>
      <c r="L158" s="830">
        <v>100</v>
      </c>
      <c r="M158" s="831">
        <v>1650</v>
      </c>
      <c r="N158" s="831">
        <v>5250</v>
      </c>
      <c r="O158" s="834" t="s">
        <v>52</v>
      </c>
      <c r="P158" s="833" t="s">
        <v>1453</v>
      </c>
    </row>
    <row r="159" spans="1:16" x14ac:dyDescent="0.35">
      <c r="A159" s="870" t="s">
        <v>1454</v>
      </c>
      <c r="B159" s="871" t="s">
        <v>1455</v>
      </c>
      <c r="C159" s="849">
        <v>0</v>
      </c>
      <c r="D159" s="849">
        <v>56</v>
      </c>
      <c r="E159" s="849">
        <v>141</v>
      </c>
      <c r="F159" s="849">
        <v>230</v>
      </c>
      <c r="G159" s="849">
        <v>343</v>
      </c>
      <c r="H159" s="849">
        <v>470</v>
      </c>
      <c r="I159" s="849">
        <v>620</v>
      </c>
      <c r="J159" s="849">
        <v>802</v>
      </c>
      <c r="K159" s="849">
        <v>1024</v>
      </c>
      <c r="L159" s="849">
        <v>1330</v>
      </c>
      <c r="M159" s="849">
        <v>769</v>
      </c>
      <c r="N159" s="849">
        <v>5015</v>
      </c>
      <c r="O159" s="832" t="s">
        <v>52</v>
      </c>
      <c r="P159" s="875"/>
    </row>
    <row r="160" spans="1:16" x14ac:dyDescent="0.35">
      <c r="A160" s="870" t="s">
        <v>1456</v>
      </c>
      <c r="B160" s="871" t="s">
        <v>1457</v>
      </c>
      <c r="C160" s="830"/>
      <c r="D160" s="830"/>
      <c r="E160" s="830"/>
      <c r="F160" s="830"/>
      <c r="G160" s="830"/>
      <c r="H160" s="830"/>
      <c r="I160" s="830"/>
      <c r="J160" s="830"/>
      <c r="K160" s="830"/>
      <c r="L160" s="830"/>
      <c r="M160" s="830"/>
      <c r="N160" s="831"/>
      <c r="O160" s="835"/>
      <c r="P160" s="875"/>
    </row>
    <row r="161" spans="1:17" x14ac:dyDescent="0.35">
      <c r="A161" s="870" t="s">
        <v>1458</v>
      </c>
      <c r="B161" s="871" t="s">
        <v>1459</v>
      </c>
      <c r="C161" s="830"/>
      <c r="D161" s="830"/>
      <c r="E161" s="830"/>
      <c r="F161" s="830"/>
      <c r="G161" s="830"/>
      <c r="H161" s="830"/>
      <c r="I161" s="830"/>
      <c r="J161" s="830"/>
      <c r="K161" s="830"/>
      <c r="L161" s="830"/>
      <c r="M161" s="830"/>
      <c r="N161" s="831"/>
      <c r="O161" s="850"/>
      <c r="P161" s="851"/>
    </row>
    <row r="162" spans="1:17" x14ac:dyDescent="0.35">
      <c r="A162" s="870" t="s">
        <v>1460</v>
      </c>
      <c r="B162" s="871" t="s">
        <v>1461</v>
      </c>
      <c r="C162" s="830">
        <v>0</v>
      </c>
      <c r="D162" s="830">
        <v>20</v>
      </c>
      <c r="E162" s="830">
        <v>70</v>
      </c>
      <c r="F162" s="830">
        <v>130</v>
      </c>
      <c r="G162" s="830">
        <v>155</v>
      </c>
      <c r="H162" s="830">
        <v>155</v>
      </c>
      <c r="I162" s="830">
        <v>155</v>
      </c>
      <c r="J162" s="830">
        <v>135</v>
      </c>
      <c r="K162" s="830">
        <v>80</v>
      </c>
      <c r="L162" s="830">
        <v>20</v>
      </c>
      <c r="M162" s="830">
        <v>375</v>
      </c>
      <c r="N162" s="830">
        <v>920</v>
      </c>
      <c r="O162" s="834" t="s">
        <v>52</v>
      </c>
      <c r="P162" s="875"/>
    </row>
    <row r="163" spans="1:17" x14ac:dyDescent="0.35">
      <c r="A163" s="887" t="s">
        <v>1462</v>
      </c>
      <c r="B163" s="888" t="s">
        <v>1463</v>
      </c>
      <c r="C163" s="830">
        <v>0</v>
      </c>
      <c r="D163" s="830">
        <v>15</v>
      </c>
      <c r="E163" s="830">
        <v>12</v>
      </c>
      <c r="F163" s="830">
        <v>8</v>
      </c>
      <c r="G163" s="830">
        <v>4</v>
      </c>
      <c r="H163" s="830">
        <v>0</v>
      </c>
      <c r="I163" s="830">
        <v>0</v>
      </c>
      <c r="J163" s="830">
        <v>0</v>
      </c>
      <c r="K163" s="830">
        <v>0</v>
      </c>
      <c r="L163" s="830">
        <v>0</v>
      </c>
      <c r="M163" s="830">
        <v>39</v>
      </c>
      <c r="N163" s="830">
        <v>39</v>
      </c>
      <c r="O163" s="834" t="s">
        <v>52</v>
      </c>
      <c r="P163" s="875"/>
    </row>
    <row r="164" spans="1:17" x14ac:dyDescent="0.35">
      <c r="A164" s="870" t="s">
        <v>1464</v>
      </c>
      <c r="B164" s="871" t="s">
        <v>1465</v>
      </c>
      <c r="C164" s="852">
        <v>0</v>
      </c>
      <c r="D164" s="852">
        <v>25</v>
      </c>
      <c r="E164" s="852">
        <v>100</v>
      </c>
      <c r="F164" s="852">
        <v>125</v>
      </c>
      <c r="G164" s="852">
        <v>100</v>
      </c>
      <c r="H164" s="852">
        <v>75</v>
      </c>
      <c r="I164" s="852">
        <v>30</v>
      </c>
      <c r="J164" s="852">
        <v>20</v>
      </c>
      <c r="K164" s="852">
        <v>0</v>
      </c>
      <c r="L164" s="852">
        <v>0</v>
      </c>
      <c r="M164" s="852">
        <v>350</v>
      </c>
      <c r="N164" s="852">
        <v>475</v>
      </c>
      <c r="O164" s="853" t="s">
        <v>52</v>
      </c>
      <c r="P164" s="875"/>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1473</v>
      </c>
    </row>
    <row r="168" spans="1:17" x14ac:dyDescent="0.35">
      <c r="A168" s="854"/>
      <c r="B168" s="854"/>
      <c r="C168" s="837"/>
      <c r="D168" s="837">
        <v>2022</v>
      </c>
      <c r="E168" s="837">
        <v>2023</v>
      </c>
      <c r="F168" s="837">
        <v>2024</v>
      </c>
      <c r="G168" s="837">
        <v>2025</v>
      </c>
      <c r="H168" s="837">
        <v>2026</v>
      </c>
      <c r="I168" s="837">
        <v>2027</v>
      </c>
      <c r="J168" s="837">
        <v>2028</v>
      </c>
      <c r="K168" s="837">
        <v>2029</v>
      </c>
      <c r="L168" s="837">
        <v>2030</v>
      </c>
      <c r="M168" s="838">
        <v>2031</v>
      </c>
      <c r="N168" s="839" t="s">
        <v>1466</v>
      </c>
      <c r="O168" s="839" t="s">
        <v>1467</v>
      </c>
      <c r="Q168" s="63"/>
    </row>
    <row r="169" spans="1:17" x14ac:dyDescent="0.35">
      <c r="A169" s="855" t="s">
        <v>1468</v>
      </c>
      <c r="B169" s="855"/>
      <c r="C169" s="861"/>
      <c r="D169" s="861">
        <f t="shared" ref="D169:O169" si="9">D78/1000</f>
        <v>0</v>
      </c>
      <c r="E169" s="861">
        <f t="shared" si="9"/>
        <v>6.8000000000000005E-2</v>
      </c>
      <c r="F169" s="861">
        <f t="shared" si="9"/>
        <v>1.363</v>
      </c>
      <c r="G169" s="861">
        <f t="shared" si="9"/>
        <v>2.4329999999999998</v>
      </c>
      <c r="H169" s="861">
        <f t="shared" si="9"/>
        <v>2.8029999999999999</v>
      </c>
      <c r="I169" s="861">
        <f t="shared" si="9"/>
        <v>1.7410000000000001</v>
      </c>
      <c r="J169" s="861">
        <f t="shared" si="9"/>
        <v>0.56999999999999995</v>
      </c>
      <c r="K169" s="861">
        <f t="shared" si="9"/>
        <v>3.5000000000000003E-2</v>
      </c>
      <c r="L169" s="861">
        <f t="shared" si="9"/>
        <v>0</v>
      </c>
      <c r="M169" s="861">
        <f t="shared" si="9"/>
        <v>0</v>
      </c>
      <c r="N169" s="861">
        <f t="shared" si="9"/>
        <v>6.6669999999999998</v>
      </c>
      <c r="O169" s="861">
        <f t="shared" si="9"/>
        <v>9.0129999999999999</v>
      </c>
      <c r="Q169" s="63"/>
    </row>
    <row r="170" spans="1:17" x14ac:dyDescent="0.35">
      <c r="A170" s="855" t="s">
        <v>1469</v>
      </c>
      <c r="B170" s="855"/>
      <c r="C170" s="861"/>
      <c r="D170" s="861">
        <f t="shared" ref="D170:O170" si="10">(D77+D70)/1000</f>
        <v>0</v>
      </c>
      <c r="E170" s="861">
        <f t="shared" si="10"/>
        <v>0.81899999999999995</v>
      </c>
      <c r="F170" s="861">
        <f t="shared" si="10"/>
        <v>2.4780000000000002</v>
      </c>
      <c r="G170" s="861">
        <f t="shared" si="10"/>
        <v>4.0720000000000001</v>
      </c>
      <c r="H170" s="861">
        <f t="shared" si="10"/>
        <v>5.4480000000000004</v>
      </c>
      <c r="I170" s="861">
        <f t="shared" si="10"/>
        <v>4.8289999999999997</v>
      </c>
      <c r="J170" s="861">
        <f t="shared" si="10"/>
        <v>3.2949999999999999</v>
      </c>
      <c r="K170" s="861">
        <f t="shared" si="10"/>
        <v>1.98</v>
      </c>
      <c r="L170" s="861">
        <f t="shared" si="10"/>
        <v>1.01</v>
      </c>
      <c r="M170" s="861">
        <f t="shared" si="10"/>
        <v>0.40400000000000003</v>
      </c>
      <c r="N170" s="861">
        <f t="shared" si="10"/>
        <v>12.817</v>
      </c>
      <c r="O170" s="861">
        <f t="shared" si="10"/>
        <v>24.335000000000001</v>
      </c>
      <c r="Q170" s="63"/>
    </row>
    <row r="171" spans="1:17" x14ac:dyDescent="0.35">
      <c r="A171" s="855" t="s">
        <v>1470</v>
      </c>
      <c r="B171" s="855"/>
      <c r="C171" s="861"/>
      <c r="D171" s="861">
        <f t="shared" ref="D171:O171" si="11">(D69+D76)/1000</f>
        <v>0</v>
      </c>
      <c r="E171" s="861">
        <f t="shared" si="11"/>
        <v>4.5430000000000001</v>
      </c>
      <c r="F171" s="861">
        <f t="shared" si="11"/>
        <v>5.6079999999999997</v>
      </c>
      <c r="G171" s="861">
        <f t="shared" si="11"/>
        <v>8.16</v>
      </c>
      <c r="H171" s="861">
        <f t="shared" si="11"/>
        <v>10.069000000000001</v>
      </c>
      <c r="I171" s="861">
        <f t="shared" si="11"/>
        <v>12.026999999999999</v>
      </c>
      <c r="J171" s="861">
        <f t="shared" si="11"/>
        <v>13.826000000000001</v>
      </c>
      <c r="K171" s="861">
        <f t="shared" si="11"/>
        <v>15.862</v>
      </c>
      <c r="L171" s="861">
        <f t="shared" si="11"/>
        <v>17.890999999999998</v>
      </c>
      <c r="M171" s="861">
        <f t="shared" si="11"/>
        <v>17.481000000000002</v>
      </c>
      <c r="N171" s="861">
        <f t="shared" si="11"/>
        <v>28.38</v>
      </c>
      <c r="O171" s="861">
        <f t="shared" si="11"/>
        <v>105.467</v>
      </c>
      <c r="Q171" s="63"/>
    </row>
    <row r="172" spans="1:17" x14ac:dyDescent="0.35">
      <c r="A172" s="856" t="s">
        <v>52</v>
      </c>
      <c r="B172" s="856"/>
      <c r="C172" s="861"/>
      <c r="D172" s="861">
        <f t="shared" ref="D172:O172" si="12">(D79+D74)/1000</f>
        <v>0</v>
      </c>
      <c r="E172" s="861">
        <f t="shared" si="12"/>
        <v>1.2969999999999999</v>
      </c>
      <c r="F172" s="861">
        <f t="shared" si="12"/>
        <v>3.8479999999999999</v>
      </c>
      <c r="G172" s="861">
        <f t="shared" si="12"/>
        <v>6.4420000000000002</v>
      </c>
      <c r="H172" s="861">
        <f t="shared" si="12"/>
        <v>9.532</v>
      </c>
      <c r="I172" s="861">
        <f t="shared" si="12"/>
        <v>11.882</v>
      </c>
      <c r="J172" s="861">
        <f t="shared" si="12"/>
        <v>11.727</v>
      </c>
      <c r="K172" s="861">
        <f t="shared" si="12"/>
        <v>10.569000000000001</v>
      </c>
      <c r="L172" s="861">
        <f t="shared" si="12"/>
        <v>8.8879999999999999</v>
      </c>
      <c r="M172" s="861">
        <f t="shared" si="12"/>
        <v>7.1890000000000001</v>
      </c>
      <c r="N172" s="861">
        <f t="shared" si="12"/>
        <v>21.117000000000001</v>
      </c>
      <c r="O172" s="861">
        <f t="shared" si="12"/>
        <v>71.372</v>
      </c>
      <c r="Q172" s="63"/>
    </row>
    <row r="173" spans="1:17" x14ac:dyDescent="0.35">
      <c r="A173" s="857" t="s">
        <v>595</v>
      </c>
      <c r="B173" s="857"/>
      <c r="C173" s="861"/>
      <c r="D173" s="861"/>
      <c r="E173" s="861"/>
      <c r="F173" s="861"/>
      <c r="G173" s="861"/>
      <c r="H173" s="861"/>
      <c r="I173" s="861"/>
      <c r="J173" s="861"/>
      <c r="K173" s="861"/>
      <c r="L173" s="861"/>
      <c r="M173" s="861"/>
      <c r="N173" s="861"/>
      <c r="O173" s="861"/>
      <c r="Q173" s="63"/>
    </row>
    <row r="174" spans="1:17" x14ac:dyDescent="0.35">
      <c r="A174" s="858" t="s">
        <v>54</v>
      </c>
      <c r="B174" s="858"/>
      <c r="C174" s="861"/>
      <c r="D174" s="861">
        <f t="shared" ref="D174:O174" si="13">D71/1000</f>
        <v>0</v>
      </c>
      <c r="E174" s="861">
        <f t="shared" si="13"/>
        <v>0.11</v>
      </c>
      <c r="F174" s="861">
        <f t="shared" si="13"/>
        <v>0.73899999999999999</v>
      </c>
      <c r="G174" s="861">
        <f t="shared" si="13"/>
        <v>1.1950000000000001</v>
      </c>
      <c r="H174" s="861">
        <f t="shared" si="13"/>
        <v>1.4970000000000001</v>
      </c>
      <c r="I174" s="861">
        <f t="shared" si="13"/>
        <v>1.91</v>
      </c>
      <c r="J174" s="861">
        <f t="shared" si="13"/>
        <v>2.4049999999999998</v>
      </c>
      <c r="K174" s="861">
        <f t="shared" si="13"/>
        <v>2.9220000000000002</v>
      </c>
      <c r="L174" s="861">
        <f t="shared" si="13"/>
        <v>3.4630000000000001</v>
      </c>
      <c r="M174" s="861">
        <f t="shared" si="13"/>
        <v>4.0069999999999997</v>
      </c>
      <c r="N174" s="861">
        <f t="shared" si="13"/>
        <v>3.5409999999999999</v>
      </c>
      <c r="O174" s="861">
        <f t="shared" si="13"/>
        <v>18.248000000000001</v>
      </c>
      <c r="Q174" s="63"/>
    </row>
    <row r="175" spans="1:17" x14ac:dyDescent="0.35">
      <c r="A175" s="858" t="s">
        <v>1471</v>
      </c>
      <c r="B175" s="858"/>
      <c r="C175" s="861"/>
      <c r="D175" s="861">
        <f t="shared" ref="D175:O175" si="14">D72/1000</f>
        <v>0</v>
      </c>
      <c r="E175" s="861">
        <f t="shared" si="14"/>
        <v>-0.41499999999999998</v>
      </c>
      <c r="F175" s="861">
        <f t="shared" si="14"/>
        <v>2.7679999999999998</v>
      </c>
      <c r="G175" s="861">
        <f t="shared" si="14"/>
        <v>-12.473000000000001</v>
      </c>
      <c r="H175" s="861">
        <f t="shared" si="14"/>
        <v>-5.3739999999999997</v>
      </c>
      <c r="I175" s="861">
        <f t="shared" si="14"/>
        <v>-25.515000000000001</v>
      </c>
      <c r="J175" s="861">
        <f t="shared" si="14"/>
        <v>-43.975000000000001</v>
      </c>
      <c r="K175" s="861">
        <f t="shared" si="14"/>
        <v>-46.426000000000002</v>
      </c>
      <c r="L175" s="861">
        <f t="shared" si="14"/>
        <v>-56.228000000000002</v>
      </c>
      <c r="M175" s="861">
        <f t="shared" si="14"/>
        <v>-60.581000000000003</v>
      </c>
      <c r="N175" s="861">
        <f t="shared" si="14"/>
        <v>-15.494</v>
      </c>
      <c r="O175" s="861">
        <f t="shared" si="14"/>
        <v>-248.21899999999999</v>
      </c>
      <c r="Q175" s="63"/>
    </row>
    <row r="176" spans="1:17" x14ac:dyDescent="0.35">
      <c r="A176" s="859" t="s">
        <v>57</v>
      </c>
      <c r="B176" s="859"/>
      <c r="C176" s="861"/>
      <c r="D176" s="861">
        <f t="shared" ref="D176:O176" si="15">(D80+D73)/1000</f>
        <v>-0.622</v>
      </c>
      <c r="E176" s="861">
        <f t="shared" si="15"/>
        <v>21.89</v>
      </c>
      <c r="F176" s="861">
        <f t="shared" si="15"/>
        <v>15.439</v>
      </c>
      <c r="G176" s="861">
        <f t="shared" si="15"/>
        <v>16.966999999999999</v>
      </c>
      <c r="H176" s="861">
        <f t="shared" si="15"/>
        <v>0.72799999999999998</v>
      </c>
      <c r="I176" s="861">
        <f t="shared" si="15"/>
        <v>7.657</v>
      </c>
      <c r="J176" s="861">
        <f t="shared" si="15"/>
        <v>4.5590000000000002</v>
      </c>
      <c r="K176" s="861">
        <f t="shared" si="15"/>
        <v>2.4649999999999999</v>
      </c>
      <c r="L176" s="861">
        <f t="shared" si="15"/>
        <v>1.444</v>
      </c>
      <c r="M176" s="861">
        <f t="shared" si="15"/>
        <v>0.77300000000000002</v>
      </c>
      <c r="N176" s="861">
        <f t="shared" si="15"/>
        <v>54.402000000000001</v>
      </c>
      <c r="O176" s="861">
        <f t="shared" si="15"/>
        <v>71.3</v>
      </c>
      <c r="Q176" s="63"/>
    </row>
    <row r="177" spans="1:17" x14ac:dyDescent="0.35">
      <c r="A177" s="860" t="s">
        <v>1532</v>
      </c>
      <c r="B177" s="860"/>
      <c r="C177" s="861"/>
      <c r="D177" s="848">
        <f t="shared" ref="D177:O177" si="16">D84/1000</f>
        <v>0</v>
      </c>
      <c r="E177" s="848">
        <f t="shared" si="16"/>
        <v>-3.1549999999999998</v>
      </c>
      <c r="F177" s="848">
        <f t="shared" si="16"/>
        <v>-2.2309999999999999</v>
      </c>
      <c r="G177" s="848">
        <f t="shared" si="16"/>
        <v>-1.6080000000000001</v>
      </c>
      <c r="H177" s="848">
        <f t="shared" si="16"/>
        <v>-0.77</v>
      </c>
      <c r="I177" s="848">
        <f t="shared" si="16"/>
        <v>-0.98299999999999998</v>
      </c>
      <c r="J177" s="848">
        <f t="shared" si="16"/>
        <v>-1.2110000000000001</v>
      </c>
      <c r="K177" s="848">
        <f t="shared" si="16"/>
        <v>-1.4710000000000001</v>
      </c>
      <c r="L177" s="848">
        <f t="shared" si="16"/>
        <v>-1.81</v>
      </c>
      <c r="M177" s="848">
        <f t="shared" si="16"/>
        <v>-2.3250000000000002</v>
      </c>
      <c r="N177" s="848">
        <f t="shared" si="16"/>
        <v>-7.7670000000000003</v>
      </c>
      <c r="O177" s="848">
        <f t="shared" si="16"/>
        <v>-15.566000000000001</v>
      </c>
      <c r="Q177" s="63"/>
    </row>
    <row r="178" spans="1:17" x14ac:dyDescent="0.35">
      <c r="A178" s="860" t="s">
        <v>239</v>
      </c>
      <c r="B178" s="860"/>
      <c r="C178" s="861"/>
      <c r="D178" s="848">
        <f t="shared" ref="D178:O178" si="17">D85/1000</f>
        <v>0</v>
      </c>
      <c r="E178" s="848">
        <f t="shared" si="17"/>
        <v>0.45200000000000001</v>
      </c>
      <c r="F178" s="848">
        <f t="shared" si="17"/>
        <v>-8.67</v>
      </c>
      <c r="G178" s="848">
        <f t="shared" si="17"/>
        <v>-4.5270000000000001</v>
      </c>
      <c r="H178" s="848">
        <f t="shared" si="17"/>
        <v>-0.70499999999999996</v>
      </c>
      <c r="I178" s="848">
        <f t="shared" si="17"/>
        <v>15.813000000000001</v>
      </c>
      <c r="J178" s="848">
        <f t="shared" si="17"/>
        <v>20.372</v>
      </c>
      <c r="K178" s="848">
        <f t="shared" si="17"/>
        <v>24.847000000000001</v>
      </c>
      <c r="L178" s="848">
        <f t="shared" si="17"/>
        <v>28.113</v>
      </c>
      <c r="M178" s="848">
        <f t="shared" si="17"/>
        <v>24.777000000000001</v>
      </c>
      <c r="N178" s="848">
        <f t="shared" si="17"/>
        <v>-13.451000000000001</v>
      </c>
      <c r="O178" s="848">
        <f t="shared" si="17"/>
        <v>100.468</v>
      </c>
      <c r="Q178" s="63"/>
    </row>
    <row r="179" spans="1:17" x14ac:dyDescent="0.35">
      <c r="A179" s="860" t="s">
        <v>106</v>
      </c>
      <c r="B179" s="860"/>
      <c r="C179" s="861"/>
      <c r="D179" s="848">
        <f t="shared" ref="D179:O179" si="18">D83/1000</f>
        <v>0</v>
      </c>
      <c r="E179" s="848">
        <f t="shared" si="18"/>
        <v>35.317</v>
      </c>
      <c r="F179" s="848">
        <f t="shared" si="18"/>
        <v>36.033000000000001</v>
      </c>
      <c r="G179" s="848">
        <f t="shared" si="18"/>
        <v>21.076000000000001</v>
      </c>
      <c r="H179" s="848">
        <f t="shared" si="18"/>
        <v>13.346</v>
      </c>
      <c r="I179" s="848">
        <f t="shared" si="18"/>
        <v>27.507999999999999</v>
      </c>
      <c r="J179" s="848">
        <f t="shared" si="18"/>
        <v>35.85</v>
      </c>
      <c r="K179" s="848">
        <f t="shared" si="18"/>
        <v>18.64</v>
      </c>
      <c r="L179" s="848">
        <f t="shared" si="18"/>
        <v>8.3940000000000001</v>
      </c>
      <c r="M179" s="848">
        <f t="shared" si="18"/>
        <v>7.9820000000000002</v>
      </c>
      <c r="N179" s="848">
        <f t="shared" si="18"/>
        <v>105.76900000000001</v>
      </c>
      <c r="O179" s="848">
        <f t="shared" si="18"/>
        <v>204.14400000000001</v>
      </c>
      <c r="Q179" s="63"/>
    </row>
    <row r="182" spans="1:17" x14ac:dyDescent="0.35">
      <c r="A182" s="57" t="s">
        <v>1472</v>
      </c>
    </row>
    <row r="183" spans="1:17" x14ac:dyDescent="0.35">
      <c r="A183" s="854"/>
      <c r="B183" s="854"/>
      <c r="C183" s="854"/>
      <c r="D183" s="854" t="s">
        <v>183</v>
      </c>
      <c r="E183" s="854" t="s">
        <v>184</v>
      </c>
      <c r="F183" s="854" t="s">
        <v>185</v>
      </c>
      <c r="G183" s="854" t="s">
        <v>186</v>
      </c>
      <c r="H183" s="854" t="s">
        <v>187</v>
      </c>
      <c r="I183" s="854" t="s">
        <v>188</v>
      </c>
      <c r="J183" s="854" t="s">
        <v>189</v>
      </c>
      <c r="K183" s="854" t="s">
        <v>190</v>
      </c>
      <c r="L183" s="854" t="s">
        <v>191</v>
      </c>
      <c r="M183" s="854" t="s">
        <v>175</v>
      </c>
      <c r="N183" s="854" t="s">
        <v>176</v>
      </c>
      <c r="O183" s="854" t="s">
        <v>177</v>
      </c>
      <c r="Q183" s="63"/>
    </row>
    <row r="184" spans="1:17" x14ac:dyDescent="0.35">
      <c r="A184" s="855" t="s">
        <v>1468</v>
      </c>
      <c r="B184" s="855"/>
      <c r="C184" s="862"/>
      <c r="D184" s="862">
        <f t="shared" ref="D184:D191" si="19">D169</f>
        <v>0</v>
      </c>
      <c r="E184" s="862">
        <f>D184</f>
        <v>0</v>
      </c>
      <c r="F184" s="862">
        <f t="shared" ref="F184:F191" si="20">E169</f>
        <v>6.8000000000000005E-2</v>
      </c>
      <c r="G184" s="862">
        <f>F184</f>
        <v>6.8000000000000005E-2</v>
      </c>
      <c r="H184" s="862">
        <f>G184</f>
        <v>6.8000000000000005E-2</v>
      </c>
      <c r="I184" s="862">
        <f>H184</f>
        <v>6.8000000000000005E-2</v>
      </c>
      <c r="J184" s="862">
        <f t="shared" ref="J184:J191" si="21">F169</f>
        <v>1.363</v>
      </c>
      <c r="K184" s="862">
        <f t="shared" ref="K184:M191" si="22">J184</f>
        <v>1.363</v>
      </c>
      <c r="L184" s="862">
        <f t="shared" si="22"/>
        <v>1.363</v>
      </c>
      <c r="M184" s="862">
        <f>L184</f>
        <v>1.363</v>
      </c>
      <c r="N184" s="862">
        <f t="shared" ref="N184:N191" si="23">G169</f>
        <v>2.4329999999999998</v>
      </c>
      <c r="O184" s="862">
        <f>N184</f>
        <v>2.4329999999999998</v>
      </c>
      <c r="Q184" s="63"/>
    </row>
    <row r="185" spans="1:17" x14ac:dyDescent="0.35">
      <c r="A185" s="855" t="s">
        <v>1469</v>
      </c>
      <c r="B185" s="855"/>
      <c r="C185" s="862"/>
      <c r="D185" s="862">
        <f t="shared" si="19"/>
        <v>0</v>
      </c>
      <c r="E185" s="862">
        <f t="shared" ref="E185:E191" si="24">D185</f>
        <v>0</v>
      </c>
      <c r="F185" s="862">
        <f t="shared" si="20"/>
        <v>0.81899999999999995</v>
      </c>
      <c r="G185" s="862">
        <f t="shared" ref="G185:I191" si="25">F185</f>
        <v>0.81899999999999995</v>
      </c>
      <c r="H185" s="862">
        <f t="shared" si="25"/>
        <v>0.81899999999999995</v>
      </c>
      <c r="I185" s="862">
        <f t="shared" si="25"/>
        <v>0.81899999999999995</v>
      </c>
      <c r="J185" s="862">
        <f t="shared" si="21"/>
        <v>2.4780000000000002</v>
      </c>
      <c r="K185" s="862">
        <f t="shared" si="22"/>
        <v>2.4780000000000002</v>
      </c>
      <c r="L185" s="862">
        <f t="shared" si="22"/>
        <v>2.4780000000000002</v>
      </c>
      <c r="M185" s="862">
        <f t="shared" si="22"/>
        <v>2.4780000000000002</v>
      </c>
      <c r="N185" s="862">
        <f t="shared" si="23"/>
        <v>4.0720000000000001</v>
      </c>
      <c r="O185" s="862">
        <f t="shared" ref="O185:O191" si="26">N185</f>
        <v>4.0720000000000001</v>
      </c>
      <c r="Q185" s="63"/>
    </row>
    <row r="186" spans="1:17" x14ac:dyDescent="0.35">
      <c r="A186" s="855" t="s">
        <v>1470</v>
      </c>
      <c r="B186" s="855"/>
      <c r="C186" s="862"/>
      <c r="D186" s="862">
        <f t="shared" si="19"/>
        <v>0</v>
      </c>
      <c r="E186" s="862">
        <f t="shared" si="24"/>
        <v>0</v>
      </c>
      <c r="F186" s="862">
        <f t="shared" si="20"/>
        <v>4.5430000000000001</v>
      </c>
      <c r="G186" s="862">
        <f t="shared" si="25"/>
        <v>4.5430000000000001</v>
      </c>
      <c r="H186" s="862">
        <f t="shared" si="25"/>
        <v>4.5430000000000001</v>
      </c>
      <c r="I186" s="862">
        <f t="shared" si="25"/>
        <v>4.5430000000000001</v>
      </c>
      <c r="J186" s="862">
        <f t="shared" si="21"/>
        <v>5.6079999999999997</v>
      </c>
      <c r="K186" s="862">
        <f t="shared" si="22"/>
        <v>5.6079999999999997</v>
      </c>
      <c r="L186" s="862">
        <f t="shared" si="22"/>
        <v>5.6079999999999997</v>
      </c>
      <c r="M186" s="862">
        <f t="shared" si="22"/>
        <v>5.6079999999999997</v>
      </c>
      <c r="N186" s="862">
        <f t="shared" si="23"/>
        <v>8.16</v>
      </c>
      <c r="O186" s="862">
        <f t="shared" si="26"/>
        <v>8.16</v>
      </c>
      <c r="Q186" s="63"/>
    </row>
    <row r="187" spans="1:17" x14ac:dyDescent="0.35">
      <c r="A187" s="856" t="s">
        <v>52</v>
      </c>
      <c r="B187" s="856"/>
      <c r="C187" s="862"/>
      <c r="D187" s="862">
        <f t="shared" si="19"/>
        <v>0</v>
      </c>
      <c r="E187" s="862">
        <f t="shared" si="24"/>
        <v>0</v>
      </c>
      <c r="F187" s="862">
        <f t="shared" si="20"/>
        <v>1.2969999999999999</v>
      </c>
      <c r="G187" s="862">
        <f t="shared" si="25"/>
        <v>1.2969999999999999</v>
      </c>
      <c r="H187" s="862">
        <f t="shared" si="25"/>
        <v>1.2969999999999999</v>
      </c>
      <c r="I187" s="862">
        <f t="shared" si="25"/>
        <v>1.2969999999999999</v>
      </c>
      <c r="J187" s="862">
        <f t="shared" si="21"/>
        <v>3.8479999999999999</v>
      </c>
      <c r="K187" s="862">
        <f t="shared" si="22"/>
        <v>3.8479999999999999</v>
      </c>
      <c r="L187" s="862">
        <f t="shared" si="22"/>
        <v>3.8479999999999999</v>
      </c>
      <c r="M187" s="862">
        <f t="shared" si="22"/>
        <v>3.8479999999999999</v>
      </c>
      <c r="N187" s="862">
        <f t="shared" si="23"/>
        <v>6.4420000000000002</v>
      </c>
      <c r="O187" s="862">
        <f t="shared" si="26"/>
        <v>6.4420000000000002</v>
      </c>
      <c r="Q187" s="63"/>
    </row>
    <row r="188" spans="1:17" x14ac:dyDescent="0.35">
      <c r="A188" s="857" t="s">
        <v>595</v>
      </c>
      <c r="B188" s="857"/>
      <c r="C188" s="862"/>
      <c r="D188" s="862">
        <f t="shared" si="19"/>
        <v>0</v>
      </c>
      <c r="E188" s="862">
        <f t="shared" si="24"/>
        <v>0</v>
      </c>
      <c r="F188" s="862">
        <f t="shared" si="20"/>
        <v>0</v>
      </c>
      <c r="G188" s="862">
        <f t="shared" si="25"/>
        <v>0</v>
      </c>
      <c r="H188" s="862">
        <f t="shared" si="25"/>
        <v>0</v>
      </c>
      <c r="I188" s="862">
        <f t="shared" si="25"/>
        <v>0</v>
      </c>
      <c r="J188" s="862">
        <f t="shared" si="21"/>
        <v>0</v>
      </c>
      <c r="K188" s="862">
        <f t="shared" si="22"/>
        <v>0</v>
      </c>
      <c r="L188" s="862">
        <f t="shared" si="22"/>
        <v>0</v>
      </c>
      <c r="M188" s="862">
        <f t="shared" si="22"/>
        <v>0</v>
      </c>
      <c r="N188" s="862">
        <f t="shared" si="23"/>
        <v>0</v>
      </c>
      <c r="O188" s="862">
        <f t="shared" si="26"/>
        <v>0</v>
      </c>
      <c r="Q188" s="63"/>
    </row>
    <row r="189" spans="1:17" x14ac:dyDescent="0.35">
      <c r="A189" s="858" t="s">
        <v>54</v>
      </c>
      <c r="B189" s="858"/>
      <c r="C189" s="862"/>
      <c r="D189" s="862">
        <f t="shared" si="19"/>
        <v>0</v>
      </c>
      <c r="E189" s="862">
        <f t="shared" si="24"/>
        <v>0</v>
      </c>
      <c r="F189" s="862">
        <f t="shared" si="20"/>
        <v>0.11</v>
      </c>
      <c r="G189" s="862">
        <f t="shared" si="25"/>
        <v>0.11</v>
      </c>
      <c r="H189" s="862">
        <f t="shared" si="25"/>
        <v>0.11</v>
      </c>
      <c r="I189" s="862">
        <f t="shared" si="25"/>
        <v>0.11</v>
      </c>
      <c r="J189" s="862">
        <f t="shared" si="21"/>
        <v>0.73899999999999999</v>
      </c>
      <c r="K189" s="862">
        <f t="shared" si="22"/>
        <v>0.73899999999999999</v>
      </c>
      <c r="L189" s="862">
        <f t="shared" si="22"/>
        <v>0.73899999999999999</v>
      </c>
      <c r="M189" s="862">
        <f t="shared" si="22"/>
        <v>0.73899999999999999</v>
      </c>
      <c r="N189" s="862">
        <f t="shared" si="23"/>
        <v>1.1950000000000001</v>
      </c>
      <c r="O189" s="862">
        <f t="shared" si="26"/>
        <v>1.1950000000000001</v>
      </c>
      <c r="Q189" s="63"/>
    </row>
    <row r="190" spans="1:17" x14ac:dyDescent="0.35">
      <c r="A190" s="858" t="s">
        <v>1471</v>
      </c>
      <c r="B190" s="858"/>
      <c r="C190" s="862"/>
      <c r="D190" s="862">
        <f t="shared" si="19"/>
        <v>0</v>
      </c>
      <c r="E190" s="862">
        <f t="shared" si="24"/>
        <v>0</v>
      </c>
      <c r="F190" s="862">
        <f t="shared" si="20"/>
        <v>-0.41499999999999998</v>
      </c>
      <c r="G190" s="862">
        <f t="shared" si="25"/>
        <v>-0.41499999999999998</v>
      </c>
      <c r="H190" s="862">
        <f t="shared" si="25"/>
        <v>-0.41499999999999998</v>
      </c>
      <c r="I190" s="862">
        <f t="shared" si="25"/>
        <v>-0.41499999999999998</v>
      </c>
      <c r="J190" s="862">
        <f t="shared" si="21"/>
        <v>2.7679999999999998</v>
      </c>
      <c r="K190" s="862">
        <f t="shared" si="22"/>
        <v>2.7679999999999998</v>
      </c>
      <c r="L190" s="862">
        <f t="shared" si="22"/>
        <v>2.7679999999999998</v>
      </c>
      <c r="M190" s="862">
        <f t="shared" si="22"/>
        <v>2.7679999999999998</v>
      </c>
      <c r="N190" s="862">
        <f t="shared" si="23"/>
        <v>-12.473000000000001</v>
      </c>
      <c r="O190" s="862">
        <f t="shared" si="26"/>
        <v>-12.473000000000001</v>
      </c>
      <c r="Q190" s="63"/>
    </row>
    <row r="191" spans="1:17" x14ac:dyDescent="0.35">
      <c r="A191" s="859" t="s">
        <v>57</v>
      </c>
      <c r="B191" s="859"/>
      <c r="C191" s="862"/>
      <c r="D191" s="862">
        <f t="shared" si="19"/>
        <v>-0.622</v>
      </c>
      <c r="E191" s="862">
        <f t="shared" si="24"/>
        <v>-0.622</v>
      </c>
      <c r="F191" s="862">
        <f t="shared" si="20"/>
        <v>21.89</v>
      </c>
      <c r="G191" s="862">
        <f t="shared" si="25"/>
        <v>21.89</v>
      </c>
      <c r="H191" s="862">
        <f t="shared" si="25"/>
        <v>21.89</v>
      </c>
      <c r="I191" s="862">
        <f t="shared" si="25"/>
        <v>21.89</v>
      </c>
      <c r="J191" s="862">
        <f t="shared" si="21"/>
        <v>15.439</v>
      </c>
      <c r="K191" s="862">
        <f t="shared" si="22"/>
        <v>15.439</v>
      </c>
      <c r="L191" s="862">
        <f t="shared" si="22"/>
        <v>15.439</v>
      </c>
      <c r="M191" s="862">
        <f t="shared" si="22"/>
        <v>15.439</v>
      </c>
      <c r="N191" s="862">
        <f t="shared" si="23"/>
        <v>16.966999999999999</v>
      </c>
      <c r="O191" s="862">
        <f t="shared" si="26"/>
        <v>16.966999999999999</v>
      </c>
      <c r="Q191" s="63"/>
    </row>
    <row r="192" spans="1:17" x14ac:dyDescent="0.35">
      <c r="A192" s="860" t="s">
        <v>548</v>
      </c>
      <c r="B192" s="860"/>
      <c r="C192" s="862"/>
      <c r="D192" s="848">
        <f t="shared" ref="D192:D194" si="27">D177</f>
        <v>0</v>
      </c>
      <c r="E192" s="848">
        <f t="shared" ref="E192:E194" si="28">D192</f>
        <v>0</v>
      </c>
      <c r="F192" s="848">
        <f t="shared" ref="F192:F194" si="29">E177</f>
        <v>-3.1549999999999998</v>
      </c>
      <c r="G192" s="848">
        <f t="shared" ref="G192:G194" si="30">F192</f>
        <v>-3.1549999999999998</v>
      </c>
      <c r="H192" s="848">
        <f t="shared" ref="H192:H194" si="31">G192</f>
        <v>-3.1549999999999998</v>
      </c>
      <c r="I192" s="848">
        <f t="shared" ref="I192:I194" si="32">H192</f>
        <v>-3.1549999999999998</v>
      </c>
      <c r="J192" s="848">
        <f t="shared" ref="J192:J194" si="33">F177</f>
        <v>-2.2309999999999999</v>
      </c>
      <c r="K192" s="848">
        <f t="shared" ref="K192:K194" si="34">J192</f>
        <v>-2.2309999999999999</v>
      </c>
      <c r="L192" s="848">
        <f t="shared" ref="L192:L194" si="35">K192</f>
        <v>-2.2309999999999999</v>
      </c>
      <c r="M192" s="848">
        <f t="shared" ref="M192:M194" si="36">L192</f>
        <v>-2.2309999999999999</v>
      </c>
      <c r="N192" s="848">
        <f t="shared" ref="N192:N194" si="37">G177</f>
        <v>-1.6080000000000001</v>
      </c>
      <c r="O192" s="848">
        <f t="shared" ref="O192:O194" si="38">N192</f>
        <v>-1.6080000000000001</v>
      </c>
      <c r="Q192" s="63"/>
    </row>
    <row r="193" spans="1:17" x14ac:dyDescent="0.35">
      <c r="A193" s="860" t="s">
        <v>546</v>
      </c>
      <c r="B193" s="860"/>
      <c r="C193" s="862"/>
      <c r="D193" s="848">
        <f t="shared" si="27"/>
        <v>0</v>
      </c>
      <c r="E193" s="848">
        <f t="shared" si="28"/>
        <v>0</v>
      </c>
      <c r="F193" s="848">
        <f t="shared" si="29"/>
        <v>0.45200000000000001</v>
      </c>
      <c r="G193" s="848">
        <f t="shared" si="30"/>
        <v>0.45200000000000001</v>
      </c>
      <c r="H193" s="848">
        <f t="shared" si="31"/>
        <v>0.45200000000000001</v>
      </c>
      <c r="I193" s="848">
        <f t="shared" si="32"/>
        <v>0.45200000000000001</v>
      </c>
      <c r="J193" s="848">
        <f t="shared" si="33"/>
        <v>-8.67</v>
      </c>
      <c r="K193" s="848">
        <f t="shared" si="34"/>
        <v>-8.67</v>
      </c>
      <c r="L193" s="848">
        <f t="shared" si="35"/>
        <v>-8.67</v>
      </c>
      <c r="M193" s="848">
        <f t="shared" si="36"/>
        <v>-8.67</v>
      </c>
      <c r="N193" s="848">
        <f t="shared" si="37"/>
        <v>-4.5270000000000001</v>
      </c>
      <c r="O193" s="848">
        <f t="shared" si="38"/>
        <v>-4.5270000000000001</v>
      </c>
      <c r="Q193" s="63"/>
    </row>
    <row r="194" spans="1:17" x14ac:dyDescent="0.35">
      <c r="A194" s="860" t="s">
        <v>106</v>
      </c>
      <c r="B194" s="860"/>
      <c r="C194" s="862"/>
      <c r="D194" s="848">
        <f t="shared" si="27"/>
        <v>0</v>
      </c>
      <c r="E194" s="848">
        <f t="shared" si="28"/>
        <v>0</v>
      </c>
      <c r="F194" s="848">
        <f t="shared" si="29"/>
        <v>35.317</v>
      </c>
      <c r="G194" s="848">
        <f t="shared" si="30"/>
        <v>35.317</v>
      </c>
      <c r="H194" s="848">
        <f t="shared" si="31"/>
        <v>35.317</v>
      </c>
      <c r="I194" s="848">
        <f t="shared" si="32"/>
        <v>35.317</v>
      </c>
      <c r="J194" s="848">
        <f t="shared" si="33"/>
        <v>36.033000000000001</v>
      </c>
      <c r="K194" s="848">
        <f t="shared" si="34"/>
        <v>36.033000000000001</v>
      </c>
      <c r="L194" s="848">
        <f t="shared" si="35"/>
        <v>36.033000000000001</v>
      </c>
      <c r="M194" s="848">
        <f t="shared" si="36"/>
        <v>36.033000000000001</v>
      </c>
      <c r="N194" s="848">
        <f t="shared" si="37"/>
        <v>21.076000000000001</v>
      </c>
      <c r="O194" s="848">
        <f t="shared" si="38"/>
        <v>21.076000000000001</v>
      </c>
      <c r="Q194" s="63"/>
    </row>
    <row r="197" spans="1:17" x14ac:dyDescent="0.35">
      <c r="A197" s="57" t="s">
        <v>1474</v>
      </c>
    </row>
    <row r="198" spans="1:17" x14ac:dyDescent="0.35">
      <c r="A198" s="856" t="s">
        <v>52</v>
      </c>
      <c r="D198" s="863">
        <v>0</v>
      </c>
      <c r="E198" s="863">
        <v>0</v>
      </c>
      <c r="F198" s="863">
        <v>2.3250000000000002</v>
      </c>
      <c r="G198" s="863">
        <v>2.3250000000000002</v>
      </c>
      <c r="H198" s="863">
        <v>2.3250000000000002</v>
      </c>
      <c r="I198" s="863">
        <v>2.3250000000000002</v>
      </c>
      <c r="J198" s="863">
        <v>5.5830000000000002</v>
      </c>
      <c r="K198" s="863">
        <v>5.5830000000000002</v>
      </c>
      <c r="L198" s="863">
        <v>5.5830000000000002</v>
      </c>
      <c r="M198" s="863">
        <v>5.5830000000000002</v>
      </c>
      <c r="N198" s="863">
        <v>8.0220000000000002</v>
      </c>
      <c r="O198" s="863">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51" t="s">
        <v>621</v>
      </c>
    </row>
    <row r="2" spans="1:6" ht="20.75" customHeight="1" x14ac:dyDescent="0.4">
      <c r="A2" s="920" t="s">
        <v>622</v>
      </c>
      <c r="B2" s="920" t="s">
        <v>623</v>
      </c>
      <c r="C2" s="920" t="s">
        <v>624</v>
      </c>
      <c r="D2" s="920" t="s">
        <v>625</v>
      </c>
    </row>
    <row r="3" spans="1:6" x14ac:dyDescent="0.35">
      <c r="A3" s="921" t="s">
        <v>626</v>
      </c>
      <c r="B3" s="805">
        <f>SUM(B4:B7)</f>
        <v>325</v>
      </c>
      <c r="E3" s="1257" t="s">
        <v>627</v>
      </c>
      <c r="F3" s="1257"/>
    </row>
    <row r="4" spans="1:6" x14ac:dyDescent="0.35">
      <c r="A4" s="739" t="s">
        <v>628</v>
      </c>
      <c r="B4" s="805">
        <v>284</v>
      </c>
      <c r="E4" s="176" t="s">
        <v>51</v>
      </c>
      <c r="F4" s="176" t="s">
        <v>629</v>
      </c>
    </row>
    <row r="5" spans="1:6" x14ac:dyDescent="0.35">
      <c r="A5" s="739" t="s">
        <v>475</v>
      </c>
      <c r="B5" s="805">
        <v>20</v>
      </c>
      <c r="E5" s="151" t="s">
        <v>150</v>
      </c>
      <c r="F5" s="151">
        <f>SUM(B11:B16)</f>
        <v>82</v>
      </c>
    </row>
    <row r="6" spans="1:6" x14ac:dyDescent="0.35">
      <c r="A6" s="739" t="s">
        <v>482</v>
      </c>
      <c r="B6" s="805">
        <v>15</v>
      </c>
      <c r="E6" s="151" t="s">
        <v>49</v>
      </c>
      <c r="F6" s="151">
        <f>B23</f>
        <v>3</v>
      </c>
    </row>
    <row r="7" spans="1:6" x14ac:dyDescent="0.35">
      <c r="A7" s="739" t="s">
        <v>483</v>
      </c>
      <c r="B7" s="805">
        <v>6</v>
      </c>
      <c r="E7" s="151" t="s">
        <v>391</v>
      </c>
      <c r="F7" s="151">
        <f>B27-B28</f>
        <v>29</v>
      </c>
    </row>
    <row r="8" spans="1:6" x14ac:dyDescent="0.35">
      <c r="A8" s="176" t="s">
        <v>630</v>
      </c>
      <c r="B8" s="805">
        <v>121</v>
      </c>
      <c r="E8" s="151" t="s">
        <v>408</v>
      </c>
      <c r="F8" s="151">
        <f>B42</f>
        <v>2</v>
      </c>
    </row>
    <row r="9" spans="1:6" x14ac:dyDescent="0.35">
      <c r="A9" s="922" t="s">
        <v>631</v>
      </c>
      <c r="B9" s="805">
        <v>166</v>
      </c>
      <c r="E9" s="151" t="s">
        <v>632</v>
      </c>
      <c r="F9" s="151">
        <f>B18+B20+B21</f>
        <v>34</v>
      </c>
    </row>
    <row r="10" spans="1:6" x14ac:dyDescent="0.35">
      <c r="A10" s="919" t="s">
        <v>633</v>
      </c>
      <c r="B10" s="805">
        <v>82</v>
      </c>
      <c r="E10" s="176" t="s">
        <v>634</v>
      </c>
      <c r="F10" s="176" t="s">
        <v>635</v>
      </c>
    </row>
    <row r="11" spans="1:6" x14ac:dyDescent="0.35">
      <c r="A11" s="739" t="s">
        <v>636</v>
      </c>
      <c r="B11" s="805">
        <v>54</v>
      </c>
      <c r="E11" s="151" t="s">
        <v>364</v>
      </c>
      <c r="F11" s="151">
        <f>B4</f>
        <v>284</v>
      </c>
    </row>
    <row r="12" spans="1:6" x14ac:dyDescent="0.35">
      <c r="A12" s="739" t="s">
        <v>637</v>
      </c>
      <c r="B12" s="805">
        <v>20</v>
      </c>
      <c r="E12" s="151" t="s">
        <v>638</v>
      </c>
      <c r="F12" s="151">
        <f>B5</f>
        <v>20</v>
      </c>
    </row>
    <row r="13" spans="1:6" x14ac:dyDescent="0.35">
      <c r="A13" s="739" t="s">
        <v>639</v>
      </c>
      <c r="B13" s="805">
        <v>4</v>
      </c>
      <c r="E13" s="151" t="s">
        <v>482</v>
      </c>
      <c r="F13" s="151">
        <f>B6</f>
        <v>15</v>
      </c>
    </row>
    <row r="14" spans="1:6" ht="27.65" customHeight="1" x14ac:dyDescent="0.35">
      <c r="A14" s="739" t="s">
        <v>640</v>
      </c>
      <c r="B14" s="805">
        <v>2</v>
      </c>
      <c r="E14" s="173" t="s">
        <v>483</v>
      </c>
      <c r="F14" s="151">
        <f>B7</f>
        <v>6</v>
      </c>
    </row>
    <row r="15" spans="1:6" ht="27.65" customHeight="1" x14ac:dyDescent="0.35">
      <c r="A15" s="739" t="s">
        <v>641</v>
      </c>
      <c r="B15" s="805">
        <v>1</v>
      </c>
      <c r="E15" s="173" t="s">
        <v>642</v>
      </c>
      <c r="F15" s="151">
        <f>B28</f>
        <v>15</v>
      </c>
    </row>
    <row r="16" spans="1:6" x14ac:dyDescent="0.35">
      <c r="A16" s="739" t="s">
        <v>643</v>
      </c>
      <c r="B16" s="805">
        <v>1</v>
      </c>
      <c r="E16" s="151" t="s">
        <v>644</v>
      </c>
      <c r="F16" s="151">
        <f>B37</f>
        <v>12</v>
      </c>
    </row>
    <row r="17" spans="1:6" x14ac:dyDescent="0.35">
      <c r="A17" s="176" t="s">
        <v>645</v>
      </c>
      <c r="B17" s="805">
        <v>72</v>
      </c>
      <c r="E17" s="151" t="s">
        <v>646</v>
      </c>
      <c r="F17" s="151">
        <f>B38</f>
        <v>10</v>
      </c>
    </row>
    <row r="18" spans="1:6" x14ac:dyDescent="0.35">
      <c r="A18" s="739" t="s">
        <v>647</v>
      </c>
      <c r="B18" s="805">
        <v>22</v>
      </c>
      <c r="C18" s="151" t="s">
        <v>648</v>
      </c>
    </row>
    <row r="19" spans="1:6" x14ac:dyDescent="0.35">
      <c r="A19" s="739" t="s">
        <v>649</v>
      </c>
      <c r="B19" s="805">
        <v>20</v>
      </c>
      <c r="C19" s="151" t="s">
        <v>109</v>
      </c>
    </row>
    <row r="20" spans="1:6" x14ac:dyDescent="0.35">
      <c r="A20" s="739" t="s">
        <v>650</v>
      </c>
      <c r="B20" s="805">
        <v>8</v>
      </c>
      <c r="C20" s="151" t="s">
        <v>648</v>
      </c>
    </row>
    <row r="21" spans="1:6" x14ac:dyDescent="0.35">
      <c r="A21" s="739" t="s">
        <v>651</v>
      </c>
      <c r="B21" s="805">
        <v>4</v>
      </c>
      <c r="C21" s="151" t="s">
        <v>51</v>
      </c>
    </row>
    <row r="22" spans="1:6" x14ac:dyDescent="0.35">
      <c r="A22" s="739" t="s">
        <v>652</v>
      </c>
      <c r="B22" s="805">
        <v>4</v>
      </c>
      <c r="C22" s="151" t="s">
        <v>109</v>
      </c>
    </row>
    <row r="23" spans="1:6" x14ac:dyDescent="0.35">
      <c r="A23" s="739" t="s">
        <v>653</v>
      </c>
      <c r="B23" s="805">
        <v>3</v>
      </c>
      <c r="C23" s="151" t="s">
        <v>654</v>
      </c>
    </row>
    <row r="24" spans="1:6" x14ac:dyDescent="0.35">
      <c r="A24" s="739" t="s">
        <v>655</v>
      </c>
      <c r="B24" s="805">
        <v>3</v>
      </c>
      <c r="C24" s="151" t="s">
        <v>656</v>
      </c>
    </row>
    <row r="25" spans="1:6" x14ac:dyDescent="0.35">
      <c r="A25" s="923" t="s">
        <v>657</v>
      </c>
      <c r="B25" s="805">
        <v>3</v>
      </c>
      <c r="C25" s="151" t="s">
        <v>55</v>
      </c>
    </row>
    <row r="26" spans="1:6" x14ac:dyDescent="0.35">
      <c r="A26" s="739" t="s">
        <v>658</v>
      </c>
      <c r="B26" s="805">
        <v>4</v>
      </c>
      <c r="C26" s="151" t="s">
        <v>659</v>
      </c>
    </row>
    <row r="27" spans="1:6" x14ac:dyDescent="0.35">
      <c r="A27" s="176" t="s">
        <v>391</v>
      </c>
      <c r="B27" s="805">
        <v>44</v>
      </c>
    </row>
    <row r="28" spans="1:6" x14ac:dyDescent="0.35">
      <c r="A28" s="916" t="s">
        <v>642</v>
      </c>
      <c r="B28" s="917">
        <v>15</v>
      </c>
    </row>
    <row r="29" spans="1:6" x14ac:dyDescent="0.35">
      <c r="A29" s="739" t="s">
        <v>660</v>
      </c>
      <c r="B29" s="805">
        <v>14</v>
      </c>
    </row>
    <row r="30" spans="1:6" x14ac:dyDescent="0.35">
      <c r="A30" s="739" t="s">
        <v>661</v>
      </c>
      <c r="B30" s="805">
        <v>10</v>
      </c>
    </row>
    <row r="31" spans="1:6" x14ac:dyDescent="0.35">
      <c r="A31" s="739" t="s">
        <v>662</v>
      </c>
      <c r="B31" s="805">
        <v>2</v>
      </c>
    </row>
    <row r="32" spans="1:6" x14ac:dyDescent="0.35">
      <c r="A32" s="739" t="s">
        <v>663</v>
      </c>
      <c r="B32" s="805">
        <v>2</v>
      </c>
    </row>
    <row r="33" spans="1:6" x14ac:dyDescent="0.35">
      <c r="A33" s="739" t="s">
        <v>664</v>
      </c>
      <c r="B33" s="805">
        <v>1</v>
      </c>
    </row>
    <row r="34" spans="1:6" x14ac:dyDescent="0.35">
      <c r="A34" s="176" t="s">
        <v>665</v>
      </c>
      <c r="B34" s="805">
        <v>88</v>
      </c>
    </row>
    <row r="35" spans="1:6" x14ac:dyDescent="0.35">
      <c r="A35" s="923" t="s">
        <v>666</v>
      </c>
      <c r="B35" s="805">
        <v>26</v>
      </c>
    </row>
    <row r="36" spans="1:6" x14ac:dyDescent="0.35">
      <c r="A36" s="739" t="s">
        <v>667</v>
      </c>
      <c r="B36" s="805">
        <v>25</v>
      </c>
    </row>
    <row r="37" spans="1:6" x14ac:dyDescent="0.35">
      <c r="A37" s="739" t="s">
        <v>644</v>
      </c>
      <c r="B37" s="805">
        <v>12</v>
      </c>
      <c r="C37" s="151" t="s">
        <v>668</v>
      </c>
      <c r="E37" s="151" t="s">
        <v>669</v>
      </c>
      <c r="F37" s="151" t="s">
        <v>670</v>
      </c>
    </row>
    <row r="38" spans="1:6" x14ac:dyDescent="0.35">
      <c r="A38" s="739" t="s">
        <v>646</v>
      </c>
      <c r="B38" s="805">
        <v>10</v>
      </c>
      <c r="C38" s="151" t="s">
        <v>668</v>
      </c>
      <c r="E38" s="151" t="s">
        <v>671</v>
      </c>
      <c r="F38" s="151" t="s">
        <v>672</v>
      </c>
    </row>
    <row r="39" spans="1:6" x14ac:dyDescent="0.35">
      <c r="A39" s="739" t="s">
        <v>673</v>
      </c>
      <c r="B39" s="805">
        <v>7</v>
      </c>
      <c r="C39" s="151" t="s">
        <v>659</v>
      </c>
      <c r="E39" s="151" t="s">
        <v>674</v>
      </c>
      <c r="F39" s="151" t="s">
        <v>675</v>
      </c>
    </row>
    <row r="40" spans="1:6" x14ac:dyDescent="0.35">
      <c r="A40" s="739" t="s">
        <v>676</v>
      </c>
      <c r="B40" s="805">
        <v>5</v>
      </c>
      <c r="C40" s="151" t="s">
        <v>109</v>
      </c>
      <c r="E40" s="151" t="s">
        <v>677</v>
      </c>
    </row>
    <row r="41" spans="1:6" x14ac:dyDescent="0.35">
      <c r="A41" s="739" t="s">
        <v>678</v>
      </c>
      <c r="B41" s="805">
        <v>2</v>
      </c>
      <c r="C41" s="151" t="s">
        <v>659</v>
      </c>
      <c r="E41" s="151" t="s">
        <v>679</v>
      </c>
    </row>
    <row r="42" spans="1:6" x14ac:dyDescent="0.35">
      <c r="A42" s="739" t="s">
        <v>680</v>
      </c>
      <c r="B42" s="805">
        <v>2</v>
      </c>
      <c r="C42" s="151" t="s">
        <v>648</v>
      </c>
      <c r="E42" s="918" t="s">
        <v>681</v>
      </c>
    </row>
    <row r="43" spans="1:6" x14ac:dyDescent="0.35">
      <c r="A43" s="739" t="s">
        <v>682</v>
      </c>
      <c r="B43" s="805">
        <v>0</v>
      </c>
      <c r="E43" s="151" t="s">
        <v>683</v>
      </c>
    </row>
    <row r="44" spans="1:6" x14ac:dyDescent="0.35">
      <c r="A44" s="176" t="s">
        <v>684</v>
      </c>
      <c r="B44" s="805">
        <v>40</v>
      </c>
    </row>
    <row r="45" spans="1:6" x14ac:dyDescent="0.35">
      <c r="A45" s="923" t="s">
        <v>685</v>
      </c>
      <c r="B45" s="924">
        <v>21</v>
      </c>
    </row>
    <row r="46" spans="1:6" x14ac:dyDescent="0.35">
      <c r="A46" s="739" t="s">
        <v>686</v>
      </c>
      <c r="B46" s="805">
        <v>6</v>
      </c>
    </row>
    <row r="47" spans="1:6" x14ac:dyDescent="0.35">
      <c r="A47" s="923" t="s">
        <v>687</v>
      </c>
      <c r="B47" s="924">
        <v>4</v>
      </c>
    </row>
    <row r="48" spans="1:6" x14ac:dyDescent="0.35">
      <c r="A48" s="739" t="s">
        <v>688</v>
      </c>
      <c r="B48" s="805">
        <v>4</v>
      </c>
    </row>
    <row r="49" spans="1:2" x14ac:dyDescent="0.35">
      <c r="A49" s="923" t="s">
        <v>689</v>
      </c>
      <c r="B49" s="924">
        <v>3</v>
      </c>
    </row>
    <row r="50" spans="1:2" x14ac:dyDescent="0.35">
      <c r="A50" s="739" t="s">
        <v>690</v>
      </c>
      <c r="B50" s="80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75" customHeight="1" x14ac:dyDescent="0.35">
      <c r="A1" s="25" t="s">
        <v>33</v>
      </c>
      <c r="B1" s="26" t="s">
        <v>34</v>
      </c>
      <c r="C1" s="26" t="s">
        <v>35</v>
      </c>
      <c r="D1" s="27" t="s">
        <v>36</v>
      </c>
      <c r="E1" s="31"/>
      <c r="F1" s="31"/>
    </row>
    <row r="2" spans="1:6" ht="16.5" customHeight="1" x14ac:dyDescent="0.35">
      <c r="A2" s="1072" t="s">
        <v>37</v>
      </c>
      <c r="B2" s="1073"/>
      <c r="C2" s="1073"/>
      <c r="D2" s="1074"/>
      <c r="E2" s="31"/>
      <c r="F2" s="31"/>
    </row>
    <row r="3" spans="1:6" ht="148.25" customHeight="1" x14ac:dyDescent="0.35">
      <c r="A3" s="18" t="s">
        <v>925</v>
      </c>
      <c r="B3" s="14" t="s">
        <v>924</v>
      </c>
      <c r="C3" s="14" t="s">
        <v>923</v>
      </c>
      <c r="D3" s="22" t="s">
        <v>1017</v>
      </c>
    </row>
    <row r="4" spans="1:6" ht="148.25" customHeight="1" x14ac:dyDescent="0.35">
      <c r="A4" s="18" t="s">
        <v>79</v>
      </c>
      <c r="B4" s="14" t="s">
        <v>40</v>
      </c>
      <c r="C4" s="14" t="s">
        <v>998</v>
      </c>
      <c r="D4" s="22" t="s">
        <v>1017</v>
      </c>
      <c r="E4" s="14"/>
      <c r="F4" s="14"/>
    </row>
    <row r="5" spans="1:6" ht="61.5" customHeight="1" x14ac:dyDescent="0.35">
      <c r="A5" s="18" t="s">
        <v>73</v>
      </c>
      <c r="B5" s="14" t="s">
        <v>74</v>
      </c>
      <c r="C5" s="33" t="s">
        <v>44</v>
      </c>
      <c r="D5" s="22" t="s">
        <v>1017</v>
      </c>
    </row>
    <row r="6" spans="1:6" ht="78" customHeight="1" x14ac:dyDescent="0.35">
      <c r="A6" s="18" t="s">
        <v>45</v>
      </c>
      <c r="B6" s="14" t="s">
        <v>46</v>
      </c>
      <c r="C6" s="14" t="s">
        <v>942</v>
      </c>
      <c r="D6" s="22" t="s">
        <v>1017</v>
      </c>
      <c r="E6" s="14"/>
      <c r="F6" s="14"/>
    </row>
    <row r="7" spans="1:6" ht="50.75" customHeight="1" x14ac:dyDescent="0.35">
      <c r="A7" s="18" t="s">
        <v>885</v>
      </c>
      <c r="B7" s="14" t="s">
        <v>897</v>
      </c>
      <c r="C7" s="14" t="s">
        <v>1544</v>
      </c>
      <c r="D7" s="22" t="s">
        <v>1017</v>
      </c>
      <c r="E7" s="15"/>
      <c r="F7" s="14"/>
    </row>
    <row r="8" spans="1:6" ht="29.75" customHeight="1" x14ac:dyDescent="0.35">
      <c r="A8" s="18" t="s">
        <v>75</v>
      </c>
      <c r="B8" s="14" t="s">
        <v>76</v>
      </c>
      <c r="C8" s="14" t="s">
        <v>77</v>
      </c>
      <c r="D8" s="22" t="s">
        <v>1017</v>
      </c>
      <c r="E8" s="15"/>
      <c r="F8" s="14"/>
    </row>
    <row r="9" spans="1:6" ht="48.5" customHeight="1" x14ac:dyDescent="0.35">
      <c r="A9" s="18" t="s">
        <v>47</v>
      </c>
      <c r="B9" s="14" t="s">
        <v>48</v>
      </c>
      <c r="C9" s="14" t="s">
        <v>916</v>
      </c>
      <c r="D9" s="22" t="s">
        <v>1017</v>
      </c>
      <c r="E9" s="15"/>
      <c r="F9" s="14"/>
    </row>
    <row r="10" spans="1:6" ht="22.5" customHeight="1" x14ac:dyDescent="0.35">
      <c r="A10" s="1072" t="s">
        <v>917</v>
      </c>
      <c r="B10" s="1073"/>
      <c r="C10" s="1073"/>
      <c r="D10" s="1074"/>
      <c r="E10" s="15"/>
      <c r="F10" s="14"/>
    </row>
    <row r="11" spans="1:6" ht="22.5" customHeight="1" x14ac:dyDescent="0.35">
      <c r="A11" s="19" t="s">
        <v>75</v>
      </c>
      <c r="B11" s="1085" t="s">
        <v>927</v>
      </c>
      <c r="C11" s="1086"/>
      <c r="D11" s="32"/>
      <c r="E11" s="15"/>
      <c r="F11" s="14"/>
    </row>
    <row r="12" spans="1:6" ht="33" customHeight="1" x14ac:dyDescent="0.35">
      <c r="A12" s="19" t="s">
        <v>926</v>
      </c>
      <c r="B12" s="1078" t="s">
        <v>928</v>
      </c>
      <c r="C12" s="1078"/>
      <c r="D12" s="22"/>
      <c r="E12" s="14"/>
      <c r="F12" s="14"/>
    </row>
    <row r="13" spans="1:6" ht="39.5" customHeight="1" x14ac:dyDescent="0.35">
      <c r="A13" s="17" t="s">
        <v>918</v>
      </c>
      <c r="B13" s="1078" t="s">
        <v>929</v>
      </c>
      <c r="C13" s="1078"/>
      <c r="D13" s="22"/>
    </row>
    <row r="14" spans="1:6" ht="38.75" customHeight="1" x14ac:dyDescent="0.35">
      <c r="A14" s="17" t="s">
        <v>920</v>
      </c>
      <c r="B14" s="1078" t="s">
        <v>921</v>
      </c>
      <c r="C14" s="1078"/>
      <c r="D14" s="22"/>
    </row>
    <row r="15" spans="1:6" ht="20" customHeight="1" x14ac:dyDescent="0.35">
      <c r="A15" s="1075" t="s">
        <v>59</v>
      </c>
      <c r="B15" s="1076"/>
      <c r="C15" s="1076"/>
      <c r="D15" s="1077"/>
    </row>
    <row r="16" spans="1:6" ht="24.5" customHeight="1" x14ac:dyDescent="0.35">
      <c r="A16" s="1079" t="s">
        <v>893</v>
      </c>
      <c r="B16" s="1080"/>
      <c r="C16" s="1081"/>
      <c r="D16" s="22"/>
    </row>
    <row r="17" spans="1:7" ht="101.75" customHeight="1" x14ac:dyDescent="0.35">
      <c r="A17" s="17" t="s">
        <v>60</v>
      </c>
      <c r="B17" s="34" t="s">
        <v>943</v>
      </c>
      <c r="C17" s="34" t="s">
        <v>950</v>
      </c>
      <c r="D17" s="35"/>
      <c r="E17" s="34"/>
      <c r="F17" s="34"/>
      <c r="G17" s="34"/>
    </row>
    <row r="18" spans="1:7" ht="101" customHeight="1" x14ac:dyDescent="0.35">
      <c r="A18" s="17" t="s">
        <v>61</v>
      </c>
      <c r="B18" s="34" t="s">
        <v>944</v>
      </c>
      <c r="C18" s="34" t="s">
        <v>945</v>
      </c>
      <c r="D18" s="35"/>
      <c r="E18" s="34"/>
      <c r="F18" s="34"/>
      <c r="G18" s="34"/>
    </row>
    <row r="19" spans="1:7" ht="57.65" customHeight="1" x14ac:dyDescent="0.35">
      <c r="A19" s="17" t="s">
        <v>946</v>
      </c>
      <c r="B19" s="34" t="s">
        <v>947</v>
      </c>
      <c r="C19" s="34" t="s">
        <v>948</v>
      </c>
      <c r="D19" s="35"/>
      <c r="E19" s="34"/>
      <c r="F19" s="34"/>
      <c r="G19" s="34"/>
    </row>
    <row r="20" spans="1:7" ht="37.5" customHeight="1" x14ac:dyDescent="0.35">
      <c r="A20" s="1082" t="s">
        <v>892</v>
      </c>
      <c r="B20" s="1083"/>
      <c r="C20" s="1084"/>
      <c r="D20" s="22"/>
    </row>
    <row r="21" spans="1:7" x14ac:dyDescent="0.35">
      <c r="A21" s="1075" t="s">
        <v>62</v>
      </c>
      <c r="B21" s="1076"/>
      <c r="C21" s="1076"/>
      <c r="D21" s="1077"/>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935</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901</v>
      </c>
      <c r="I1" s="1258"/>
      <c r="J1" s="1258"/>
      <c r="K1" s="1258"/>
    </row>
    <row r="2" spans="1:62" ht="13.25" customHeight="1" x14ac:dyDescent="0.35">
      <c r="A2" s="942"/>
      <c r="O2" s="972" t="s">
        <v>862</v>
      </c>
      <c r="P2" s="1264" t="s">
        <v>691</v>
      </c>
      <c r="Q2" s="1264"/>
      <c r="R2" s="1264"/>
      <c r="S2" s="1264"/>
      <c r="T2" s="949"/>
      <c r="U2" s="949"/>
      <c r="V2" s="949"/>
      <c r="W2" s="949"/>
      <c r="X2" s="949"/>
      <c r="Y2" s="1259" t="s">
        <v>692</v>
      </c>
      <c r="Z2" s="1260"/>
      <c r="AA2" s="1260"/>
      <c r="AB2" s="1260"/>
      <c r="AC2" s="1260"/>
      <c r="AD2" s="1260"/>
      <c r="AE2" s="949"/>
      <c r="AF2" s="949"/>
      <c r="AG2" s="1261" t="s">
        <v>693</v>
      </c>
      <c r="AH2" s="1260"/>
      <c r="AI2" s="1260"/>
      <c r="AJ2" s="1263" t="s">
        <v>694</v>
      </c>
      <c r="AK2" s="1263"/>
      <c r="AL2" s="1263"/>
      <c r="AM2" s="1263"/>
      <c r="AN2" s="1263"/>
      <c r="AO2" s="1263"/>
      <c r="AP2" s="1263"/>
      <c r="AQ2" s="1263"/>
      <c r="AR2" s="1263"/>
      <c r="AS2" s="1263"/>
      <c r="AT2" s="950"/>
      <c r="AU2" s="1262" t="s">
        <v>434</v>
      </c>
      <c r="AV2" s="1262"/>
      <c r="AW2" s="1262"/>
      <c r="AX2" s="1262"/>
      <c r="AY2" s="1262"/>
      <c r="AZ2" s="1262"/>
      <c r="BA2" s="1262"/>
      <c r="BB2" s="956"/>
      <c r="BC2" s="956"/>
      <c r="BD2" s="956"/>
      <c r="BE2" s="956"/>
      <c r="BF2" s="956"/>
      <c r="BG2" s="956"/>
      <c r="BH2" s="956"/>
      <c r="BI2" s="956"/>
      <c r="BJ2" s="962" t="s">
        <v>695</v>
      </c>
    </row>
    <row r="3" spans="1:62" ht="43.25" customHeight="1" x14ac:dyDescent="0.35">
      <c r="A3" s="943"/>
      <c r="B3" s="943"/>
      <c r="C3" s="943"/>
      <c r="D3" s="943"/>
      <c r="E3" s="943"/>
      <c r="F3" s="943"/>
      <c r="G3" s="943"/>
      <c r="H3" s="943"/>
      <c r="I3" s="943"/>
      <c r="J3" s="943"/>
      <c r="K3" s="943"/>
      <c r="L3" s="943"/>
      <c r="M3" s="943"/>
      <c r="N3" s="943"/>
      <c r="O3" s="973" t="s">
        <v>696</v>
      </c>
      <c r="P3" s="955" t="s">
        <v>697</v>
      </c>
      <c r="Q3" s="955" t="s">
        <v>698</v>
      </c>
      <c r="R3" s="955" t="s">
        <v>699</v>
      </c>
      <c r="S3" s="955" t="s">
        <v>700</v>
      </c>
      <c r="T3" s="955" t="s">
        <v>701</v>
      </c>
      <c r="U3" s="955" t="s">
        <v>702</v>
      </c>
      <c r="V3" s="955" t="s">
        <v>703</v>
      </c>
      <c r="W3" s="955" t="s">
        <v>704</v>
      </c>
      <c r="X3" s="955" t="s">
        <v>705</v>
      </c>
      <c r="Y3" s="955" t="s">
        <v>706</v>
      </c>
      <c r="Z3" s="955"/>
      <c r="AA3" s="955"/>
      <c r="AB3" s="955"/>
      <c r="AC3" s="955" t="s">
        <v>707</v>
      </c>
      <c r="AD3" s="955" t="s">
        <v>708</v>
      </c>
      <c r="AE3" s="955" t="s">
        <v>709</v>
      </c>
      <c r="AF3" s="955" t="s">
        <v>710</v>
      </c>
      <c r="AG3" s="955" t="s">
        <v>711</v>
      </c>
      <c r="AH3" s="955" t="s">
        <v>712</v>
      </c>
      <c r="AI3" s="955" t="s">
        <v>713</v>
      </c>
      <c r="AJ3" s="955" t="s">
        <v>714</v>
      </c>
      <c r="AK3" s="955" t="s">
        <v>715</v>
      </c>
      <c r="AL3" s="955" t="s">
        <v>716</v>
      </c>
      <c r="AM3" s="955" t="s">
        <v>717</v>
      </c>
      <c r="AN3" s="955" t="s">
        <v>718</v>
      </c>
      <c r="AO3" s="955" t="s">
        <v>719</v>
      </c>
      <c r="AP3" s="955" t="s">
        <v>720</v>
      </c>
      <c r="AQ3" s="968" t="s">
        <v>721</v>
      </c>
      <c r="AR3" s="955" t="s">
        <v>722</v>
      </c>
      <c r="AS3" s="955" t="s">
        <v>723</v>
      </c>
      <c r="AT3" s="955" t="s">
        <v>724</v>
      </c>
      <c r="AU3" s="955" t="s">
        <v>725</v>
      </c>
      <c r="AV3" s="955" t="s">
        <v>726</v>
      </c>
      <c r="AW3" s="955" t="s">
        <v>727</v>
      </c>
      <c r="AX3" s="955" t="s">
        <v>728</v>
      </c>
      <c r="AY3" s="955" t="s">
        <v>729</v>
      </c>
      <c r="AZ3" s="955" t="s">
        <v>730</v>
      </c>
      <c r="BA3" s="955" t="s">
        <v>707</v>
      </c>
      <c r="BB3" s="963" t="s">
        <v>731</v>
      </c>
      <c r="BC3" s="963" t="s">
        <v>732</v>
      </c>
      <c r="BD3" s="963" t="s">
        <v>733</v>
      </c>
      <c r="BE3" s="963" t="s">
        <v>734</v>
      </c>
      <c r="BF3" s="963" t="s">
        <v>735</v>
      </c>
      <c r="BG3" s="963" t="s">
        <v>736</v>
      </c>
      <c r="BH3" s="963" t="s">
        <v>737</v>
      </c>
      <c r="BI3" s="963" t="s">
        <v>738</v>
      </c>
      <c r="BJ3" s="957" t="s">
        <v>739</v>
      </c>
    </row>
    <row r="4" spans="1:62" ht="63" customHeight="1" x14ac:dyDescent="0.35">
      <c r="A4" s="966" t="s">
        <v>740</v>
      </c>
      <c r="B4" s="942" t="s">
        <v>56</v>
      </c>
      <c r="C4" s="942" t="s">
        <v>741</v>
      </c>
      <c r="D4" s="942" t="s">
        <v>611</v>
      </c>
      <c r="E4" s="942" t="s">
        <v>742</v>
      </c>
      <c r="F4" s="942" t="s">
        <v>743</v>
      </c>
      <c r="G4" s="942" t="s">
        <v>744</v>
      </c>
      <c r="H4" s="942" t="s">
        <v>131</v>
      </c>
      <c r="I4" s="951" t="s">
        <v>396</v>
      </c>
      <c r="J4" s="951" t="s">
        <v>150</v>
      </c>
      <c r="K4" s="951" t="s">
        <v>745</v>
      </c>
      <c r="L4" s="947" t="s">
        <v>159</v>
      </c>
      <c r="M4" s="942" t="s">
        <v>109</v>
      </c>
      <c r="N4" s="942" t="s">
        <v>746</v>
      </c>
      <c r="O4" s="974" t="s">
        <v>747</v>
      </c>
      <c r="P4" s="963" t="s">
        <v>748</v>
      </c>
      <c r="Q4" s="963" t="s">
        <v>749</v>
      </c>
      <c r="R4" s="963" t="s">
        <v>750</v>
      </c>
      <c r="S4" s="963" t="s">
        <v>751</v>
      </c>
      <c r="T4" s="963" t="s">
        <v>752</v>
      </c>
      <c r="U4" s="963" t="s">
        <v>753</v>
      </c>
      <c r="V4" s="963" t="s">
        <v>754</v>
      </c>
      <c r="W4" s="963" t="s">
        <v>755</v>
      </c>
      <c r="X4" s="963" t="s">
        <v>756</v>
      </c>
      <c r="Y4" s="963" t="s">
        <v>757</v>
      </c>
      <c r="Z4" s="963" t="s">
        <v>758</v>
      </c>
      <c r="AA4" s="963" t="s">
        <v>759</v>
      </c>
      <c r="AB4" s="963" t="s">
        <v>760</v>
      </c>
      <c r="AC4" s="963" t="s">
        <v>761</v>
      </c>
      <c r="AD4" s="963" t="s">
        <v>762</v>
      </c>
      <c r="AE4" s="963" t="s">
        <v>763</v>
      </c>
      <c r="AF4" s="963" t="s">
        <v>764</v>
      </c>
      <c r="AG4" s="963" t="s">
        <v>210</v>
      </c>
      <c r="AH4" s="963" t="s">
        <v>211</v>
      </c>
      <c r="AI4" s="963" t="s">
        <v>765</v>
      </c>
      <c r="AJ4" s="963" t="s">
        <v>766</v>
      </c>
      <c r="AK4" s="963" t="s">
        <v>767</v>
      </c>
      <c r="AL4" s="963" t="s">
        <v>768</v>
      </c>
      <c r="AM4" s="963" t="s">
        <v>769</v>
      </c>
      <c r="AN4" s="963" t="s">
        <v>770</v>
      </c>
      <c r="AO4" s="963" t="s">
        <v>771</v>
      </c>
      <c r="AP4" s="963" t="s">
        <v>772</v>
      </c>
      <c r="AQ4" s="964" t="s">
        <v>773</v>
      </c>
      <c r="AR4" s="963" t="s">
        <v>774</v>
      </c>
      <c r="AS4" s="963" t="s">
        <v>775</v>
      </c>
      <c r="AT4" s="963" t="s">
        <v>776</v>
      </c>
      <c r="AU4" s="963" t="s">
        <v>777</v>
      </c>
      <c r="AV4" s="963" t="s">
        <v>778</v>
      </c>
      <c r="AW4" s="963" t="s">
        <v>779</v>
      </c>
      <c r="AX4" s="963" t="s">
        <v>780</v>
      </c>
      <c r="AY4" s="963" t="s">
        <v>781</v>
      </c>
      <c r="AZ4" s="963" t="s">
        <v>782</v>
      </c>
      <c r="BA4" s="963"/>
      <c r="BB4" s="963" t="s">
        <v>487</v>
      </c>
      <c r="BC4" s="963" t="s">
        <v>783</v>
      </c>
      <c r="BD4" s="963" t="s">
        <v>784</v>
      </c>
      <c r="BE4" s="963" t="s">
        <v>785</v>
      </c>
      <c r="BF4" s="963" t="s">
        <v>786</v>
      </c>
      <c r="BG4" s="963" t="s">
        <v>787</v>
      </c>
      <c r="BH4" s="963" t="s">
        <v>788</v>
      </c>
      <c r="BI4" s="963" t="s">
        <v>789</v>
      </c>
      <c r="BJ4" s="965" t="s">
        <v>790</v>
      </c>
    </row>
    <row r="5" spans="1:62" x14ac:dyDescent="0.35">
      <c r="A5" s="944">
        <v>2021</v>
      </c>
      <c r="B5" s="946">
        <f>Q5</f>
        <v>394.202</v>
      </c>
      <c r="C5" s="946">
        <f>SUM(Y5:AB5)</f>
        <v>195.7</v>
      </c>
      <c r="D5" s="946">
        <f>T5</f>
        <v>18.823</v>
      </c>
      <c r="E5" s="946">
        <f>SUM(P5:S5)-B5</f>
        <v>0.77600000000001046</v>
      </c>
      <c r="F5" s="946">
        <f>SUM(T5:AF5)-C5-L5-D5 - 28</f>
        <v>19.722000000000016</v>
      </c>
      <c r="G5" s="946">
        <f>SUM(BB5:BI5)-BC5</f>
        <v>81.642999999999986</v>
      </c>
      <c r="H5" s="946">
        <f>SUM(AG5:AI5)</f>
        <v>7.798</v>
      </c>
      <c r="I5" s="946">
        <f>AJ5</f>
        <v>283.95749999999998</v>
      </c>
      <c r="J5" s="946">
        <f>AL5</f>
        <v>12.347</v>
      </c>
      <c r="K5" s="946">
        <f>SUM(AM5:AT5)</f>
        <v>29.628</v>
      </c>
      <c r="L5" s="952">
        <f>103/4</f>
        <v>25.75</v>
      </c>
      <c r="M5" s="946">
        <f t="shared" ref="M5:M16" si="0">SUM(AU5:BA5)</f>
        <v>31.939</v>
      </c>
      <c r="N5" s="946">
        <f>AK5</f>
        <v>3.4</v>
      </c>
      <c r="O5" s="925">
        <v>50</v>
      </c>
      <c r="P5" s="970">
        <v>0.55000000000000004</v>
      </c>
      <c r="Q5" s="971">
        <v>394.202</v>
      </c>
      <c r="R5" s="927">
        <v>0.14599999999999999</v>
      </c>
      <c r="S5" s="927">
        <v>0.08</v>
      </c>
      <c r="T5" s="927">
        <v>18.823</v>
      </c>
      <c r="U5" s="971">
        <v>19</v>
      </c>
      <c r="V5" s="927">
        <v>11.481999999999999</v>
      </c>
      <c r="W5" s="939">
        <v>1.5580000000000001</v>
      </c>
      <c r="X5" s="939">
        <v>0.74</v>
      </c>
      <c r="Y5" s="971">
        <v>0.2</v>
      </c>
      <c r="Z5" s="971">
        <v>43.1</v>
      </c>
      <c r="AA5" s="971">
        <v>33.9</v>
      </c>
      <c r="AB5" s="971">
        <v>118.5</v>
      </c>
      <c r="AC5" s="971">
        <v>28</v>
      </c>
      <c r="AD5" s="939">
        <v>-2.0379999999999998</v>
      </c>
      <c r="AE5" s="971">
        <v>14.31</v>
      </c>
      <c r="AF5" s="927">
        <v>0.42</v>
      </c>
      <c r="AG5" s="927">
        <v>7.7279999999999998</v>
      </c>
      <c r="AH5" s="971">
        <v>7.0000000000000007E-2</v>
      </c>
      <c r="AI5" s="971">
        <v>0</v>
      </c>
      <c r="AJ5" s="971">
        <v>283.95749999999998</v>
      </c>
      <c r="AK5" s="969">
        <v>3.4</v>
      </c>
      <c r="AL5" s="969">
        <v>12.347</v>
      </c>
      <c r="AM5" s="928">
        <v>0.28599999999999998</v>
      </c>
      <c r="AN5" s="969">
        <v>2</v>
      </c>
      <c r="AO5" s="971">
        <v>0.81</v>
      </c>
      <c r="AP5" s="969">
        <v>0.52100000000000002</v>
      </c>
      <c r="AQ5" s="929">
        <v>10</v>
      </c>
      <c r="AR5" s="969">
        <v>2.7</v>
      </c>
      <c r="AS5" s="969">
        <v>0.751</v>
      </c>
      <c r="AT5" s="971">
        <v>12.56</v>
      </c>
      <c r="AU5" s="971">
        <v>0</v>
      </c>
      <c r="AV5" s="969">
        <v>1.415</v>
      </c>
      <c r="AW5" s="969">
        <v>10.51</v>
      </c>
      <c r="AX5" s="969">
        <v>2.6</v>
      </c>
      <c r="AY5" s="971">
        <v>-0.33</v>
      </c>
      <c r="AZ5" s="969">
        <v>17.744</v>
      </c>
      <c r="BA5" s="971">
        <v>0</v>
      </c>
      <c r="BB5" s="969">
        <v>4.0999999999999996</v>
      </c>
      <c r="BC5" s="969">
        <v>7.25</v>
      </c>
      <c r="BD5" s="969">
        <v>48.4</v>
      </c>
      <c r="BE5" s="927">
        <v>0.83</v>
      </c>
      <c r="BF5" s="939">
        <v>4.5110000000000001</v>
      </c>
      <c r="BG5" s="971">
        <v>3.0739999999999998</v>
      </c>
      <c r="BH5" s="930">
        <v>-0.28399999999999997</v>
      </c>
      <c r="BI5" s="969">
        <v>21.012</v>
      </c>
      <c r="BJ5" s="958">
        <v>1.1599999999999999</v>
      </c>
    </row>
    <row r="6" spans="1:62" x14ac:dyDescent="0.35">
      <c r="A6" s="944">
        <v>2022</v>
      </c>
      <c r="B6" s="946">
        <f t="shared" ref="B6:B15" si="1">Q6</f>
        <v>17.465</v>
      </c>
      <c r="C6" s="946">
        <f t="shared" ref="C6:C15" si="2">SUM(Y6:AB6)</f>
        <v>10.1</v>
      </c>
      <c r="D6" s="946">
        <f t="shared" ref="D6:D15" si="3">T6</f>
        <v>2.5950000000000002</v>
      </c>
      <c r="E6" s="946">
        <f t="shared" ref="E6:E15" si="4">SUM(P6:S6)-B6</f>
        <v>19.719000000000005</v>
      </c>
      <c r="F6" s="946">
        <f>SUM(T6:AF6)-C6-L6-D6</f>
        <v>52.756999999999998</v>
      </c>
      <c r="G6" s="946">
        <f t="shared" ref="G6:G16" si="5">SUM(BB6:BI6)-BC6</f>
        <v>110.24799999999999</v>
      </c>
      <c r="H6" s="946">
        <f t="shared" ref="H6:H15" si="6">SUM(AG6:AI6)</f>
        <v>7.9489999999999998</v>
      </c>
      <c r="I6" s="946">
        <f t="shared" ref="I6:I15" si="7">AJ6</f>
        <v>77.092500000000001</v>
      </c>
      <c r="J6" s="946">
        <f t="shared" ref="J6:J15" si="8">AL6</f>
        <v>46.79</v>
      </c>
      <c r="K6" s="946">
        <f t="shared" ref="K6:K16" si="9">SUM(AM6:AT6)</f>
        <v>35.671000000000006</v>
      </c>
      <c r="L6" s="952">
        <v>0</v>
      </c>
      <c r="M6" s="946">
        <f t="shared" si="0"/>
        <v>56.412999999999997</v>
      </c>
      <c r="N6" s="946">
        <f t="shared" ref="N6:N15" si="10">AK6</f>
        <v>5.0999999999999996</v>
      </c>
      <c r="O6" s="925">
        <v>55</v>
      </c>
      <c r="P6" s="970">
        <v>15.61</v>
      </c>
      <c r="Q6" s="971">
        <v>17.465</v>
      </c>
      <c r="R6" s="927">
        <v>0.317</v>
      </c>
      <c r="S6" s="927">
        <v>3.7919999999999998</v>
      </c>
      <c r="T6" s="971">
        <v>2.5950000000000002</v>
      </c>
      <c r="U6" s="969">
        <v>14.5</v>
      </c>
      <c r="V6" s="971">
        <v>25.070999999999998</v>
      </c>
      <c r="W6" s="939">
        <v>1.952</v>
      </c>
      <c r="X6" s="939">
        <v>0.61399999999999999</v>
      </c>
      <c r="Y6" s="969">
        <v>0</v>
      </c>
      <c r="Z6" s="969">
        <v>2.2999999999999998</v>
      </c>
      <c r="AA6" s="969">
        <v>1.6</v>
      </c>
      <c r="AB6" s="969">
        <v>6.2</v>
      </c>
      <c r="AC6" s="971">
        <v>0</v>
      </c>
      <c r="AD6" s="971">
        <v>1.31</v>
      </c>
      <c r="AE6" s="971">
        <v>8.61</v>
      </c>
      <c r="AF6" s="971">
        <v>0.7</v>
      </c>
      <c r="AG6" s="927">
        <v>7.782</v>
      </c>
      <c r="AH6" s="971">
        <v>0.12</v>
      </c>
      <c r="AI6" s="971">
        <v>4.7E-2</v>
      </c>
      <c r="AJ6" s="971">
        <v>77.092500000000001</v>
      </c>
      <c r="AK6" s="969">
        <v>5.0999999999999996</v>
      </c>
      <c r="AL6" s="969">
        <v>46.79</v>
      </c>
      <c r="AM6" s="930">
        <v>0.30499999999999999</v>
      </c>
      <c r="AN6" s="969">
        <v>4.3</v>
      </c>
      <c r="AO6" s="939">
        <v>1.1000000000000001</v>
      </c>
      <c r="AP6" s="969">
        <v>1.575</v>
      </c>
      <c r="AQ6" s="929">
        <v>10</v>
      </c>
      <c r="AR6" s="969">
        <v>4.5</v>
      </c>
      <c r="AS6" s="969">
        <v>1.9810000000000001</v>
      </c>
      <c r="AT6" s="971">
        <v>11.91</v>
      </c>
      <c r="AU6" s="971">
        <v>0</v>
      </c>
      <c r="AV6" s="969">
        <v>3.927</v>
      </c>
      <c r="AW6" s="969">
        <v>4.2880000000000003</v>
      </c>
      <c r="AX6" s="969">
        <v>3.7</v>
      </c>
      <c r="AY6" s="971">
        <v>-1.34</v>
      </c>
      <c r="AZ6" s="969">
        <v>45.838000000000001</v>
      </c>
      <c r="BA6" s="971">
        <v>0</v>
      </c>
      <c r="BB6" s="969">
        <v>11.3</v>
      </c>
      <c r="BC6" s="969">
        <v>0</v>
      </c>
      <c r="BD6" s="969">
        <v>1.1000000000000001</v>
      </c>
      <c r="BE6" s="927">
        <v>1.75</v>
      </c>
      <c r="BF6" s="939">
        <v>1.7330000000000001</v>
      </c>
      <c r="BG6" s="939">
        <v>7.1440000000000001</v>
      </c>
      <c r="BH6" s="931">
        <v>81.608999999999995</v>
      </c>
      <c r="BI6" s="969">
        <v>5.6120000000000001</v>
      </c>
      <c r="BJ6" s="958">
        <v>4.2</v>
      </c>
    </row>
    <row r="7" spans="1:62" x14ac:dyDescent="0.35">
      <c r="A7" s="944">
        <v>2023</v>
      </c>
      <c r="B7" s="946">
        <f t="shared" si="1"/>
        <v>0.48599999999999999</v>
      </c>
      <c r="C7" s="946">
        <f t="shared" si="2"/>
        <v>0</v>
      </c>
      <c r="D7" s="946">
        <f t="shared" si="3"/>
        <v>0.93700000000000006</v>
      </c>
      <c r="E7" s="946">
        <f t="shared" si="4"/>
        <v>1.4159999999999999</v>
      </c>
      <c r="F7" s="946">
        <f t="shared" ref="F7:F15" si="11">SUM(T7:AF7)-C7-L7-D7</f>
        <v>12</v>
      </c>
      <c r="G7" s="946">
        <f t="shared" si="5"/>
        <v>12.726000000000001</v>
      </c>
      <c r="H7" s="946">
        <f t="shared" si="6"/>
        <v>4.7519999999999998</v>
      </c>
      <c r="I7" s="946">
        <f t="shared" si="7"/>
        <v>1</v>
      </c>
      <c r="J7" s="946">
        <f t="shared" si="8"/>
        <v>38.595999999999997</v>
      </c>
      <c r="K7" s="946">
        <f t="shared" si="9"/>
        <v>24.216000000000001</v>
      </c>
      <c r="L7" s="952">
        <v>0</v>
      </c>
      <c r="M7" s="946">
        <f t="shared" si="0"/>
        <v>15.652999999999999</v>
      </c>
      <c r="N7" s="946">
        <f t="shared" si="10"/>
        <v>0</v>
      </c>
      <c r="O7" s="925">
        <v>0.7</v>
      </c>
      <c r="P7" s="970">
        <v>0.96</v>
      </c>
      <c r="Q7" s="971">
        <v>0.48599999999999999</v>
      </c>
      <c r="R7" s="927">
        <v>0.45600000000000002</v>
      </c>
      <c r="S7" s="971">
        <v>0</v>
      </c>
      <c r="T7" s="932">
        <v>0.93700000000000006</v>
      </c>
      <c r="U7" s="969">
        <v>3</v>
      </c>
      <c r="V7" s="927">
        <v>7.891</v>
      </c>
      <c r="W7" s="939">
        <v>0.61699999999999999</v>
      </c>
      <c r="X7" s="939">
        <v>8.4000000000000005E-2</v>
      </c>
      <c r="Y7" s="969">
        <v>0</v>
      </c>
      <c r="Z7" s="969">
        <v>0</v>
      </c>
      <c r="AA7" s="969">
        <v>0</v>
      </c>
      <c r="AB7" s="969">
        <v>0</v>
      </c>
      <c r="AC7" s="971">
        <v>0</v>
      </c>
      <c r="AD7" s="971">
        <v>0.318</v>
      </c>
      <c r="AE7" s="927">
        <v>-0.11000000000000001</v>
      </c>
      <c r="AF7" s="971">
        <v>0.2</v>
      </c>
      <c r="AG7" s="927">
        <v>4.6749999999999998</v>
      </c>
      <c r="AH7" s="971">
        <v>0.06</v>
      </c>
      <c r="AI7" s="971">
        <v>1.7000000000000001E-2</v>
      </c>
      <c r="AJ7" s="971">
        <v>1</v>
      </c>
      <c r="AK7" s="969">
        <v>0</v>
      </c>
      <c r="AL7" s="969">
        <v>38.595999999999997</v>
      </c>
      <c r="AM7" s="971">
        <v>0.14899999999999999</v>
      </c>
      <c r="AN7" s="969">
        <v>1.2</v>
      </c>
      <c r="AO7" s="939">
        <v>0.53</v>
      </c>
      <c r="AP7" s="969">
        <v>0.38100000000000001</v>
      </c>
      <c r="AQ7" s="929">
        <v>8</v>
      </c>
      <c r="AR7" s="969">
        <v>4.5</v>
      </c>
      <c r="AS7" s="969">
        <v>0.76600000000000001</v>
      </c>
      <c r="AT7" s="971">
        <v>8.69</v>
      </c>
      <c r="AU7" s="971">
        <v>0</v>
      </c>
      <c r="AV7" s="969">
        <v>1.93</v>
      </c>
      <c r="AW7" s="969">
        <v>1.4379999999999999</v>
      </c>
      <c r="AX7" s="969">
        <v>2.6</v>
      </c>
      <c r="AY7" s="939">
        <v>-2.48</v>
      </c>
      <c r="AZ7" s="969">
        <v>12.164999999999999</v>
      </c>
      <c r="BA7" s="939">
        <v>0</v>
      </c>
      <c r="BB7" s="969">
        <v>8.4</v>
      </c>
      <c r="BC7" s="969">
        <v>0</v>
      </c>
      <c r="BD7" s="969">
        <v>0.3</v>
      </c>
      <c r="BE7" s="927">
        <v>1.8</v>
      </c>
      <c r="BF7" s="939">
        <v>0</v>
      </c>
      <c r="BG7" s="939">
        <v>0</v>
      </c>
      <c r="BH7" s="930">
        <v>1.3759999999999999</v>
      </c>
      <c r="BI7" s="969">
        <v>0.85</v>
      </c>
      <c r="BJ7" s="958">
        <v>2.7</v>
      </c>
    </row>
    <row r="8" spans="1:62" x14ac:dyDescent="0.35">
      <c r="A8" s="944">
        <v>2024</v>
      </c>
      <c r="B8" s="946">
        <f t="shared" si="1"/>
        <v>0</v>
      </c>
      <c r="C8" s="946">
        <f t="shared" si="2"/>
        <v>0</v>
      </c>
      <c r="D8" s="946">
        <f t="shared" si="3"/>
        <v>0.16</v>
      </c>
      <c r="E8" s="946">
        <f t="shared" si="4"/>
        <v>1.4790000000000001</v>
      </c>
      <c r="F8" s="946">
        <f t="shared" si="11"/>
        <v>4.2219999999999995</v>
      </c>
      <c r="G8" s="946">
        <f t="shared" si="5"/>
        <v>1.365</v>
      </c>
      <c r="H8" s="946">
        <f t="shared" si="6"/>
        <v>4.637999999999999</v>
      </c>
      <c r="I8" s="946">
        <f t="shared" si="7"/>
        <v>0</v>
      </c>
      <c r="J8" s="946">
        <f t="shared" si="8"/>
        <v>31.911000000000001</v>
      </c>
      <c r="K8" s="946">
        <f t="shared" si="9"/>
        <v>9.6430000000000007</v>
      </c>
      <c r="L8" s="952">
        <v>0</v>
      </c>
      <c r="M8" s="946">
        <f t="shared" si="0"/>
        <v>3.9320000000000004</v>
      </c>
      <c r="N8" s="946">
        <f t="shared" si="10"/>
        <v>0</v>
      </c>
      <c r="O8" s="925">
        <v>0.7</v>
      </c>
      <c r="P8" s="970">
        <v>0.96</v>
      </c>
      <c r="Q8" s="969">
        <v>0</v>
      </c>
      <c r="R8" s="927">
        <v>0.51900000000000002</v>
      </c>
      <c r="S8" s="971">
        <v>0</v>
      </c>
      <c r="T8" s="933">
        <v>0.16</v>
      </c>
      <c r="U8" s="969">
        <v>2.8</v>
      </c>
      <c r="V8" s="971">
        <v>0.504</v>
      </c>
      <c r="W8" s="939">
        <v>0.47199999999999998</v>
      </c>
      <c r="X8" s="939">
        <v>2E-3</v>
      </c>
      <c r="Y8" s="969">
        <v>0</v>
      </c>
      <c r="Z8" s="969">
        <v>0</v>
      </c>
      <c r="AA8" s="969">
        <v>0</v>
      </c>
      <c r="AB8" s="969">
        <v>0</v>
      </c>
      <c r="AC8" s="971">
        <v>0</v>
      </c>
      <c r="AD8" s="971">
        <v>0.34399999999999997</v>
      </c>
      <c r="AE8" s="927">
        <v>0</v>
      </c>
      <c r="AF8" s="927">
        <v>0.1</v>
      </c>
      <c r="AG8" s="927">
        <v>4.5739999999999998</v>
      </c>
      <c r="AH8" s="971">
        <v>0.06</v>
      </c>
      <c r="AI8" s="971">
        <v>4.0000000000000001E-3</v>
      </c>
      <c r="AJ8" s="971">
        <v>0</v>
      </c>
      <c r="AK8" s="969">
        <v>0</v>
      </c>
      <c r="AL8" s="969">
        <v>31.911000000000001</v>
      </c>
      <c r="AM8" s="971">
        <v>4.1000000000000002E-2</v>
      </c>
      <c r="AN8" s="969">
        <v>0.4</v>
      </c>
      <c r="AO8" s="939">
        <v>0.41</v>
      </c>
      <c r="AP8" s="969">
        <v>0.13100000000000001</v>
      </c>
      <c r="AQ8" s="929">
        <v>0</v>
      </c>
      <c r="AR8" s="969">
        <v>3</v>
      </c>
      <c r="AS8" s="969">
        <v>0.30099999999999999</v>
      </c>
      <c r="AT8" s="939">
        <v>5.36</v>
      </c>
      <c r="AU8" s="971">
        <v>0</v>
      </c>
      <c r="AV8" s="969">
        <v>0.79600000000000004</v>
      </c>
      <c r="AW8" s="969">
        <v>0.27500000000000002</v>
      </c>
      <c r="AX8" s="969">
        <v>1</v>
      </c>
      <c r="AY8" s="939">
        <v>-2.6</v>
      </c>
      <c r="AZ8" s="969">
        <v>4.4610000000000003</v>
      </c>
      <c r="BA8" s="939">
        <v>0</v>
      </c>
      <c r="BB8" s="969">
        <v>0.2</v>
      </c>
      <c r="BC8" s="969">
        <v>0</v>
      </c>
      <c r="BD8" s="969">
        <v>0</v>
      </c>
      <c r="BE8" s="927">
        <v>1.95</v>
      </c>
      <c r="BF8" s="939">
        <v>0</v>
      </c>
      <c r="BG8" s="939">
        <v>0</v>
      </c>
      <c r="BH8" s="930">
        <v>-0.875</v>
      </c>
      <c r="BI8" s="969">
        <v>0.09</v>
      </c>
      <c r="BJ8" s="959">
        <v>0.87</v>
      </c>
    </row>
    <row r="9" spans="1:62" x14ac:dyDescent="0.35">
      <c r="A9" s="944">
        <v>2025</v>
      </c>
      <c r="B9" s="946">
        <f t="shared" si="1"/>
        <v>0</v>
      </c>
      <c r="C9" s="946">
        <f t="shared" si="2"/>
        <v>0</v>
      </c>
      <c r="D9" s="946">
        <f t="shared" si="3"/>
        <v>3.3000000000000002E-2</v>
      </c>
      <c r="E9" s="946">
        <f t="shared" si="4"/>
        <v>1.63</v>
      </c>
      <c r="F9" s="946">
        <f t="shared" si="11"/>
        <v>2.3719999999999999</v>
      </c>
      <c r="G9" s="946">
        <f t="shared" si="5"/>
        <v>-0.90100000000000025</v>
      </c>
      <c r="H9" s="946">
        <f t="shared" si="6"/>
        <v>1.8800000000000001</v>
      </c>
      <c r="I9" s="946">
        <f t="shared" si="7"/>
        <v>0</v>
      </c>
      <c r="J9" s="946">
        <f t="shared" si="8"/>
        <v>23.099</v>
      </c>
      <c r="K9" s="946">
        <f t="shared" si="9"/>
        <v>4.5789999999999997</v>
      </c>
      <c r="L9" s="952">
        <v>0</v>
      </c>
      <c r="M9" s="946">
        <f t="shared" si="0"/>
        <v>-0.74299999999999988</v>
      </c>
      <c r="N9" s="946">
        <f t="shared" si="10"/>
        <v>0</v>
      </c>
      <c r="O9" s="925">
        <v>0.7</v>
      </c>
      <c r="P9" s="970">
        <v>1.06</v>
      </c>
      <c r="Q9" s="969">
        <v>0</v>
      </c>
      <c r="R9" s="927">
        <v>0.56999999999999995</v>
      </c>
      <c r="S9" s="971">
        <v>0</v>
      </c>
      <c r="T9" s="934">
        <v>3.3000000000000002E-2</v>
      </c>
      <c r="U9" s="969">
        <v>2</v>
      </c>
      <c r="V9" s="934">
        <v>0</v>
      </c>
      <c r="W9" s="939">
        <v>0.21299999999999999</v>
      </c>
      <c r="X9" s="939">
        <v>2E-3</v>
      </c>
      <c r="Y9" s="969">
        <v>0</v>
      </c>
      <c r="Z9" s="969">
        <v>0</v>
      </c>
      <c r="AA9" s="969">
        <v>0</v>
      </c>
      <c r="AB9" s="969">
        <v>0</v>
      </c>
      <c r="AC9" s="971">
        <v>0</v>
      </c>
      <c r="AD9" s="971">
        <v>0.157</v>
      </c>
      <c r="AE9" s="927">
        <v>0</v>
      </c>
      <c r="AF9" s="927">
        <v>0</v>
      </c>
      <c r="AG9" s="971">
        <v>1.81</v>
      </c>
      <c r="AH9" s="971">
        <v>7.0000000000000007E-2</v>
      </c>
      <c r="AI9" s="971">
        <v>0</v>
      </c>
      <c r="AJ9" s="969">
        <v>0</v>
      </c>
      <c r="AK9" s="969">
        <v>0</v>
      </c>
      <c r="AL9" s="969">
        <v>23.099</v>
      </c>
      <c r="AM9" s="971">
        <v>1.2999999999999999E-2</v>
      </c>
      <c r="AN9" s="969">
        <v>0.3</v>
      </c>
      <c r="AO9" s="967">
        <v>0.15</v>
      </c>
      <c r="AP9" s="969">
        <v>0.112</v>
      </c>
      <c r="AQ9" s="929">
        <v>0</v>
      </c>
      <c r="AR9" s="969">
        <v>0.2</v>
      </c>
      <c r="AS9" s="969">
        <v>7.3999999999999996E-2</v>
      </c>
      <c r="AT9" s="939">
        <v>3.73</v>
      </c>
      <c r="AU9" s="971">
        <v>0</v>
      </c>
      <c r="AV9" s="969">
        <v>5.3999999999999999E-2</v>
      </c>
      <c r="AW9" s="969">
        <v>0.13100000000000001</v>
      </c>
      <c r="AX9" s="969">
        <v>0</v>
      </c>
      <c r="AY9" s="939">
        <v>-2.71</v>
      </c>
      <c r="AZ9" s="969">
        <v>1.782</v>
      </c>
      <c r="BA9" s="939">
        <v>0</v>
      </c>
      <c r="BB9" s="969">
        <v>0</v>
      </c>
      <c r="BC9" s="969">
        <v>0</v>
      </c>
      <c r="BD9" s="969">
        <v>0</v>
      </c>
      <c r="BE9" s="927">
        <v>1.43</v>
      </c>
      <c r="BF9" s="939">
        <v>0</v>
      </c>
      <c r="BG9" s="939">
        <v>0</v>
      </c>
      <c r="BH9" s="930">
        <v>-2.3410000000000002</v>
      </c>
      <c r="BI9" s="969">
        <v>0.01</v>
      </c>
      <c r="BJ9" s="959">
        <v>0.33</v>
      </c>
    </row>
    <row r="10" spans="1:62" x14ac:dyDescent="0.35">
      <c r="A10" s="944">
        <v>2026</v>
      </c>
      <c r="B10" s="946">
        <f t="shared" si="1"/>
        <v>0</v>
      </c>
      <c r="C10" s="946">
        <f t="shared" si="2"/>
        <v>0</v>
      </c>
      <c r="D10" s="946">
        <f t="shared" si="3"/>
        <v>3.2000000000000001E-2</v>
      </c>
      <c r="E10" s="946">
        <f t="shared" si="4"/>
        <v>1.671</v>
      </c>
      <c r="F10" s="946">
        <f t="shared" si="11"/>
        <v>0.49</v>
      </c>
      <c r="G10" s="946">
        <f t="shared" si="5"/>
        <v>-2.1500000000000004</v>
      </c>
      <c r="H10" s="946">
        <f t="shared" si="6"/>
        <v>1.446</v>
      </c>
      <c r="I10" s="946">
        <f t="shared" si="7"/>
        <v>0</v>
      </c>
      <c r="J10" s="946">
        <f t="shared" si="8"/>
        <v>10.766999999999999</v>
      </c>
      <c r="K10" s="946">
        <f t="shared" si="9"/>
        <v>2.9130000000000003</v>
      </c>
      <c r="L10" s="952"/>
      <c r="M10" s="946">
        <f t="shared" si="0"/>
        <v>-21.606000000000002</v>
      </c>
      <c r="N10" s="946">
        <f t="shared" si="10"/>
        <v>0</v>
      </c>
      <c r="O10" s="925">
        <v>0.7</v>
      </c>
      <c r="P10" s="970">
        <v>1.07</v>
      </c>
      <c r="Q10" s="969">
        <v>0</v>
      </c>
      <c r="R10" s="927">
        <v>0.60099999999999998</v>
      </c>
      <c r="S10" s="971">
        <v>0</v>
      </c>
      <c r="T10" s="930">
        <v>3.2000000000000001E-2</v>
      </c>
      <c r="U10" s="969">
        <v>0.3</v>
      </c>
      <c r="V10" s="927">
        <v>0</v>
      </c>
      <c r="W10" s="939">
        <v>0.188</v>
      </c>
      <c r="X10" s="939">
        <v>2E-3</v>
      </c>
      <c r="Y10" s="969">
        <v>0</v>
      </c>
      <c r="Z10" s="969">
        <v>0</v>
      </c>
      <c r="AA10" s="969">
        <v>0</v>
      </c>
      <c r="AB10" s="969">
        <v>0</v>
      </c>
      <c r="AC10" s="971">
        <v>0</v>
      </c>
      <c r="AD10" s="971">
        <v>0</v>
      </c>
      <c r="AE10" s="971">
        <v>0</v>
      </c>
      <c r="AF10" s="927">
        <v>0</v>
      </c>
      <c r="AG10" s="971">
        <v>1.3759999999999999</v>
      </c>
      <c r="AH10" s="971">
        <v>7.0000000000000007E-2</v>
      </c>
      <c r="AI10" s="971">
        <v>0</v>
      </c>
      <c r="AJ10" s="935">
        <v>0</v>
      </c>
      <c r="AK10" s="969">
        <v>0</v>
      </c>
      <c r="AL10" s="969">
        <v>10.766999999999999</v>
      </c>
      <c r="AM10" s="971">
        <v>3.0000000000000001E-3</v>
      </c>
      <c r="AN10" s="969">
        <v>0.2</v>
      </c>
      <c r="AO10" s="967">
        <v>0.1</v>
      </c>
      <c r="AP10" s="969">
        <v>0.05</v>
      </c>
      <c r="AQ10" s="929">
        <v>0</v>
      </c>
      <c r="AR10" s="969">
        <v>0</v>
      </c>
      <c r="AS10" s="969">
        <v>0</v>
      </c>
      <c r="AT10" s="939">
        <v>2.56</v>
      </c>
      <c r="AU10" s="971">
        <v>0</v>
      </c>
      <c r="AV10" s="969">
        <v>3.7999999999999999E-2</v>
      </c>
      <c r="AW10" s="969">
        <v>2.5999999999999999E-2</v>
      </c>
      <c r="AX10" s="969">
        <v>0</v>
      </c>
      <c r="AY10" s="939">
        <v>-2.6700000000000004</v>
      </c>
      <c r="AZ10" s="969">
        <v>0</v>
      </c>
      <c r="BA10" s="939">
        <v>-19</v>
      </c>
      <c r="BB10" s="969">
        <v>0</v>
      </c>
      <c r="BC10" s="969">
        <v>0</v>
      </c>
      <c r="BD10" s="969">
        <v>0</v>
      </c>
      <c r="BE10" s="939">
        <v>0.88</v>
      </c>
      <c r="BF10" s="939">
        <v>0</v>
      </c>
      <c r="BG10" s="939">
        <v>0</v>
      </c>
      <c r="BH10" s="971">
        <v>-2.8200000000000003</v>
      </c>
      <c r="BI10" s="969">
        <v>-0.21</v>
      </c>
      <c r="BJ10" s="959">
        <v>0.17</v>
      </c>
    </row>
    <row r="11" spans="1:62" x14ac:dyDescent="0.35">
      <c r="A11" s="944">
        <v>2027</v>
      </c>
      <c r="B11" s="946">
        <f t="shared" si="1"/>
        <v>0</v>
      </c>
      <c r="C11" s="946">
        <f t="shared" si="2"/>
        <v>0</v>
      </c>
      <c r="D11" s="946">
        <f t="shared" si="3"/>
        <v>3.2000000000000001E-2</v>
      </c>
      <c r="E11" s="946">
        <f t="shared" si="4"/>
        <v>1.7130000000000001</v>
      </c>
      <c r="F11" s="946">
        <f t="shared" si="11"/>
        <v>0</v>
      </c>
      <c r="G11" s="946">
        <f t="shared" si="5"/>
        <v>-4.8169999999999993</v>
      </c>
      <c r="H11" s="946">
        <f t="shared" si="6"/>
        <v>0.65699999999999992</v>
      </c>
      <c r="I11" s="946">
        <f t="shared" si="7"/>
        <v>0</v>
      </c>
      <c r="J11" s="946">
        <f t="shared" si="8"/>
        <v>4.0789999999999997</v>
      </c>
      <c r="K11" s="946">
        <f t="shared" si="9"/>
        <v>2.46</v>
      </c>
      <c r="L11" s="952"/>
      <c r="M11" s="946">
        <f t="shared" si="0"/>
        <v>-14.713000000000001</v>
      </c>
      <c r="N11" s="946">
        <f t="shared" si="10"/>
        <v>0</v>
      </c>
      <c r="O11" s="925">
        <v>0.3</v>
      </c>
      <c r="P11" s="970">
        <v>1.08</v>
      </c>
      <c r="Q11" s="969">
        <v>0</v>
      </c>
      <c r="R11" s="927">
        <v>0.63300000000000001</v>
      </c>
      <c r="S11" s="933">
        <v>0</v>
      </c>
      <c r="T11" s="969">
        <v>3.2000000000000001E-2</v>
      </c>
      <c r="U11" s="969">
        <v>0</v>
      </c>
      <c r="V11" s="971">
        <v>0</v>
      </c>
      <c r="W11" s="939">
        <v>0</v>
      </c>
      <c r="X11" s="939">
        <v>0</v>
      </c>
      <c r="Y11" s="969">
        <v>0</v>
      </c>
      <c r="Z11" s="969">
        <v>0</v>
      </c>
      <c r="AA11" s="969">
        <v>0</v>
      </c>
      <c r="AB11" s="969">
        <v>0</v>
      </c>
      <c r="AC11" s="971">
        <v>0</v>
      </c>
      <c r="AD11" s="927">
        <v>0</v>
      </c>
      <c r="AE11" s="971">
        <v>0</v>
      </c>
      <c r="AF11" s="927">
        <v>0</v>
      </c>
      <c r="AG11" s="971">
        <v>0.57699999999999996</v>
      </c>
      <c r="AH11" s="971">
        <v>0.08</v>
      </c>
      <c r="AI11" s="971">
        <v>0</v>
      </c>
      <c r="AJ11" s="971">
        <v>0</v>
      </c>
      <c r="AK11" s="969">
        <v>0</v>
      </c>
      <c r="AL11" s="969">
        <v>4.0789999999999997</v>
      </c>
      <c r="AM11" s="969">
        <v>0</v>
      </c>
      <c r="AN11" s="969">
        <v>0.1</v>
      </c>
      <c r="AO11" s="967">
        <v>0.1</v>
      </c>
      <c r="AP11" s="969">
        <v>0.03</v>
      </c>
      <c r="AQ11" s="929">
        <v>0</v>
      </c>
      <c r="AR11" s="969">
        <v>0</v>
      </c>
      <c r="AS11" s="969">
        <v>0</v>
      </c>
      <c r="AT11" s="967">
        <v>2.23</v>
      </c>
      <c r="AU11" s="971">
        <v>0</v>
      </c>
      <c r="AV11" s="969">
        <v>1.7000000000000001E-2</v>
      </c>
      <c r="AW11" s="969">
        <v>0</v>
      </c>
      <c r="AX11" s="969">
        <v>0</v>
      </c>
      <c r="AY11" s="939">
        <v>-2.73</v>
      </c>
      <c r="AZ11" s="969">
        <v>0</v>
      </c>
      <c r="BA11" s="939">
        <v>-12</v>
      </c>
      <c r="BB11" s="969">
        <v>0</v>
      </c>
      <c r="BC11" s="969">
        <v>0</v>
      </c>
      <c r="BD11" s="969">
        <v>0</v>
      </c>
      <c r="BE11" s="939">
        <v>0.28000000000000003</v>
      </c>
      <c r="BF11" s="939">
        <v>0</v>
      </c>
      <c r="BG11" s="939">
        <v>0</v>
      </c>
      <c r="BH11" s="934">
        <v>-5.0069999999999997</v>
      </c>
      <c r="BI11" s="969">
        <v>-0.09</v>
      </c>
      <c r="BJ11" s="960">
        <v>0.06</v>
      </c>
    </row>
    <row r="12" spans="1:62" x14ac:dyDescent="0.35">
      <c r="A12" s="944">
        <v>2028</v>
      </c>
      <c r="B12" s="946">
        <f t="shared" si="1"/>
        <v>0</v>
      </c>
      <c r="C12" s="946">
        <f t="shared" si="2"/>
        <v>0</v>
      </c>
      <c r="D12" s="946">
        <f t="shared" si="3"/>
        <v>3.3000000000000002E-2</v>
      </c>
      <c r="E12" s="946">
        <f t="shared" si="4"/>
        <v>1.7130000000000001</v>
      </c>
      <c r="F12" s="946">
        <f t="shared" si="11"/>
        <v>0</v>
      </c>
      <c r="G12" s="946">
        <f t="shared" si="5"/>
        <v>-5.0590000000000002</v>
      </c>
      <c r="H12" s="946">
        <f t="shared" si="6"/>
        <v>-1.071</v>
      </c>
      <c r="I12" s="946">
        <f t="shared" si="7"/>
        <v>0</v>
      </c>
      <c r="J12" s="946">
        <f t="shared" si="8"/>
        <v>1.635</v>
      </c>
      <c r="K12" s="946">
        <f t="shared" si="9"/>
        <v>1.81</v>
      </c>
      <c r="L12" s="952"/>
      <c r="M12" s="946">
        <f t="shared" si="0"/>
        <v>-2.7690000000000001</v>
      </c>
      <c r="N12" s="946">
        <f t="shared" si="10"/>
        <v>0</v>
      </c>
      <c r="O12" s="925">
        <v>0.3</v>
      </c>
      <c r="P12" s="970">
        <v>1.08</v>
      </c>
      <c r="Q12" s="969">
        <v>0</v>
      </c>
      <c r="R12" s="927">
        <v>0.63300000000000001</v>
      </c>
      <c r="S12" s="933">
        <v>0</v>
      </c>
      <c r="T12" s="936">
        <v>3.3000000000000002E-2</v>
      </c>
      <c r="U12" s="969">
        <v>0</v>
      </c>
      <c r="V12" s="971">
        <v>0</v>
      </c>
      <c r="W12" s="939">
        <v>0</v>
      </c>
      <c r="X12" s="939">
        <v>0</v>
      </c>
      <c r="Y12" s="969">
        <v>0</v>
      </c>
      <c r="Z12" s="969">
        <v>0</v>
      </c>
      <c r="AA12" s="969">
        <v>0</v>
      </c>
      <c r="AB12" s="969">
        <v>0</v>
      </c>
      <c r="AC12" s="971">
        <v>0</v>
      </c>
      <c r="AD12" s="971">
        <v>0</v>
      </c>
      <c r="AE12" s="971">
        <v>0</v>
      </c>
      <c r="AF12" s="971">
        <v>0</v>
      </c>
      <c r="AG12" s="971">
        <v>-1.151</v>
      </c>
      <c r="AH12" s="971">
        <v>0.08</v>
      </c>
      <c r="AI12" s="971">
        <v>0</v>
      </c>
      <c r="AJ12" s="971">
        <v>0</v>
      </c>
      <c r="AK12" s="969">
        <v>0</v>
      </c>
      <c r="AL12" s="969">
        <v>1.635</v>
      </c>
      <c r="AM12" s="969">
        <v>0</v>
      </c>
      <c r="AN12" s="969">
        <v>0.1</v>
      </c>
      <c r="AO12" s="939">
        <v>0</v>
      </c>
      <c r="AP12" s="969">
        <v>0</v>
      </c>
      <c r="AQ12" s="929">
        <v>0</v>
      </c>
      <c r="AR12" s="969">
        <v>0</v>
      </c>
      <c r="AS12" s="969">
        <v>0</v>
      </c>
      <c r="AT12" s="967">
        <v>1.71</v>
      </c>
      <c r="AU12" s="971">
        <v>0</v>
      </c>
      <c r="AV12" s="969">
        <v>1E-3</v>
      </c>
      <c r="AW12" s="969">
        <v>0</v>
      </c>
      <c r="AX12" s="969">
        <v>0</v>
      </c>
      <c r="AY12" s="939">
        <v>-2.77</v>
      </c>
      <c r="AZ12" s="969">
        <v>0</v>
      </c>
      <c r="BA12" s="939">
        <v>0</v>
      </c>
      <c r="BB12" s="969">
        <v>0</v>
      </c>
      <c r="BC12" s="969">
        <v>0</v>
      </c>
      <c r="BD12" s="969">
        <v>0</v>
      </c>
      <c r="BE12" s="939">
        <v>0.1</v>
      </c>
      <c r="BF12" s="939">
        <v>0</v>
      </c>
      <c r="BG12" s="939">
        <v>0</v>
      </c>
      <c r="BH12" s="934">
        <v>-5.069</v>
      </c>
      <c r="BI12" s="969">
        <v>-0.09</v>
      </c>
      <c r="BJ12" s="960">
        <v>0.03</v>
      </c>
    </row>
    <row r="13" spans="1:62" x14ac:dyDescent="0.35">
      <c r="A13" s="944">
        <v>2029</v>
      </c>
      <c r="B13" s="946">
        <f t="shared" si="1"/>
        <v>0</v>
      </c>
      <c r="C13" s="946">
        <f t="shared" si="2"/>
        <v>0</v>
      </c>
      <c r="D13" s="946">
        <f t="shared" si="3"/>
        <v>3.3000000000000002E-2</v>
      </c>
      <c r="E13" s="946">
        <f t="shared" si="4"/>
        <v>1.7130000000000001</v>
      </c>
      <c r="F13" s="946">
        <f t="shared" si="11"/>
        <v>0</v>
      </c>
      <c r="G13" s="946">
        <f t="shared" si="5"/>
        <v>-5.218</v>
      </c>
      <c r="H13" s="946">
        <f t="shared" si="6"/>
        <v>-1.964</v>
      </c>
      <c r="I13" s="946">
        <f t="shared" si="7"/>
        <v>0</v>
      </c>
      <c r="J13" s="946">
        <f t="shared" si="8"/>
        <v>-1.7000000000000001E-2</v>
      </c>
      <c r="K13" s="946">
        <f t="shared" si="9"/>
        <v>1</v>
      </c>
      <c r="L13" s="952"/>
      <c r="M13" s="946">
        <f t="shared" si="0"/>
        <v>-2.75</v>
      </c>
      <c r="N13" s="946">
        <f t="shared" si="10"/>
        <v>0</v>
      </c>
      <c r="O13" s="925">
        <v>0.3</v>
      </c>
      <c r="P13" s="970">
        <v>1.08</v>
      </c>
      <c r="Q13" s="969">
        <v>0</v>
      </c>
      <c r="R13" s="927">
        <v>0.63300000000000001</v>
      </c>
      <c r="S13" s="933">
        <v>0</v>
      </c>
      <c r="T13" s="971">
        <v>3.3000000000000002E-2</v>
      </c>
      <c r="U13" s="969">
        <v>0</v>
      </c>
      <c r="V13" s="971">
        <v>0</v>
      </c>
      <c r="W13" s="939">
        <v>0</v>
      </c>
      <c r="X13" s="939">
        <v>0</v>
      </c>
      <c r="Y13" s="969">
        <v>0</v>
      </c>
      <c r="Z13" s="969">
        <v>0</v>
      </c>
      <c r="AA13" s="969">
        <v>0</v>
      </c>
      <c r="AB13" s="969">
        <v>0</v>
      </c>
      <c r="AC13" s="971">
        <v>0</v>
      </c>
      <c r="AD13" s="971">
        <v>0</v>
      </c>
      <c r="AE13" s="971">
        <v>0</v>
      </c>
      <c r="AF13" s="971">
        <v>0</v>
      </c>
      <c r="AG13" s="969">
        <v>-2.044</v>
      </c>
      <c r="AH13" s="971">
        <v>0.08</v>
      </c>
      <c r="AI13" s="971">
        <v>0</v>
      </c>
      <c r="AJ13" s="937">
        <v>0</v>
      </c>
      <c r="AK13" s="969">
        <v>0</v>
      </c>
      <c r="AL13" s="969">
        <v>-1.7000000000000001E-2</v>
      </c>
      <c r="AM13" s="969">
        <v>0</v>
      </c>
      <c r="AN13" s="969">
        <v>0</v>
      </c>
      <c r="AO13" s="939">
        <v>0</v>
      </c>
      <c r="AP13" s="969">
        <v>0</v>
      </c>
      <c r="AQ13" s="929">
        <v>0</v>
      </c>
      <c r="AR13" s="969">
        <v>0</v>
      </c>
      <c r="AS13" s="969">
        <v>0</v>
      </c>
      <c r="AT13" s="967">
        <v>1</v>
      </c>
      <c r="AU13" s="971">
        <v>0</v>
      </c>
      <c r="AV13" s="969">
        <v>0</v>
      </c>
      <c r="AW13" s="969">
        <v>0</v>
      </c>
      <c r="AX13" s="969">
        <v>0</v>
      </c>
      <c r="AY13" s="939">
        <v>-2.75</v>
      </c>
      <c r="AZ13" s="969">
        <v>0</v>
      </c>
      <c r="BA13" s="939">
        <v>0</v>
      </c>
      <c r="BB13" s="969">
        <v>0</v>
      </c>
      <c r="BC13" s="969">
        <v>0</v>
      </c>
      <c r="BD13" s="969">
        <v>0</v>
      </c>
      <c r="BE13" s="939">
        <v>0</v>
      </c>
      <c r="BF13" s="938">
        <v>0</v>
      </c>
      <c r="BG13" s="939">
        <v>0</v>
      </c>
      <c r="BH13" s="934">
        <v>-5.1180000000000003</v>
      </c>
      <c r="BI13" s="969">
        <v>-0.1</v>
      </c>
      <c r="BJ13" s="960">
        <v>0.01</v>
      </c>
    </row>
    <row r="14" spans="1:62" x14ac:dyDescent="0.35">
      <c r="A14" s="944">
        <v>2030</v>
      </c>
      <c r="B14" s="946">
        <f t="shared" si="1"/>
        <v>0</v>
      </c>
      <c r="C14" s="946">
        <f t="shared" si="2"/>
        <v>0</v>
      </c>
      <c r="D14" s="946">
        <f t="shared" si="3"/>
        <v>3.3000000000000002E-2</v>
      </c>
      <c r="E14" s="946">
        <f t="shared" si="4"/>
        <v>1.8130000000000002</v>
      </c>
      <c r="F14" s="946">
        <f t="shared" si="11"/>
        <v>0</v>
      </c>
      <c r="G14" s="946">
        <f t="shared" si="5"/>
        <v>-5.9420000000000002</v>
      </c>
      <c r="H14" s="946">
        <f t="shared" si="6"/>
        <v>-2.0210000000000004</v>
      </c>
      <c r="I14" s="946">
        <f t="shared" si="7"/>
        <v>0</v>
      </c>
      <c r="J14" s="946">
        <f t="shared" si="8"/>
        <v>-1.9E-2</v>
      </c>
      <c r="K14" s="946">
        <f t="shared" si="9"/>
        <v>0.8</v>
      </c>
      <c r="L14" s="952"/>
      <c r="M14" s="946">
        <f t="shared" si="0"/>
        <v>-8.1189999999999998</v>
      </c>
      <c r="N14" s="946">
        <f t="shared" si="10"/>
        <v>0</v>
      </c>
      <c r="O14" s="925">
        <v>0.3</v>
      </c>
      <c r="P14" s="970">
        <v>1.1800000000000002</v>
      </c>
      <c r="Q14" s="969">
        <v>0</v>
      </c>
      <c r="R14" s="927">
        <v>0.63300000000000001</v>
      </c>
      <c r="S14" s="933">
        <v>0</v>
      </c>
      <c r="T14" s="971">
        <v>3.3000000000000002E-2</v>
      </c>
      <c r="U14" s="969">
        <v>0</v>
      </c>
      <c r="V14" s="971">
        <v>0</v>
      </c>
      <c r="W14" s="939">
        <v>0</v>
      </c>
      <c r="X14" s="939">
        <v>0</v>
      </c>
      <c r="Y14" s="969">
        <v>0</v>
      </c>
      <c r="Z14" s="969">
        <v>0</v>
      </c>
      <c r="AA14" s="969">
        <v>0</v>
      </c>
      <c r="AB14" s="969">
        <v>0</v>
      </c>
      <c r="AC14" s="971">
        <v>0</v>
      </c>
      <c r="AD14" s="927">
        <v>0</v>
      </c>
      <c r="AE14" s="969">
        <v>0</v>
      </c>
      <c r="AF14" s="971">
        <v>0</v>
      </c>
      <c r="AG14" s="971">
        <v>-2.1110000000000002</v>
      </c>
      <c r="AH14" s="971">
        <v>0.09</v>
      </c>
      <c r="AI14" s="971">
        <v>0</v>
      </c>
      <c r="AJ14" s="940">
        <v>0</v>
      </c>
      <c r="AK14" s="969">
        <v>0</v>
      </c>
      <c r="AL14" s="969">
        <v>-1.9E-2</v>
      </c>
      <c r="AM14" s="969">
        <v>0</v>
      </c>
      <c r="AN14" s="969">
        <v>0</v>
      </c>
      <c r="AO14" s="939">
        <v>0</v>
      </c>
      <c r="AP14" s="969">
        <v>0</v>
      </c>
      <c r="AQ14" s="929">
        <v>0</v>
      </c>
      <c r="AR14" s="969">
        <v>0</v>
      </c>
      <c r="AS14" s="969">
        <v>0</v>
      </c>
      <c r="AT14" s="939">
        <v>0.8</v>
      </c>
      <c r="AU14" s="971">
        <v>-5.4089999999999998</v>
      </c>
      <c r="AV14" s="969">
        <v>0</v>
      </c>
      <c r="AW14" s="969">
        <v>0</v>
      </c>
      <c r="AX14" s="969">
        <v>0</v>
      </c>
      <c r="AY14" s="939">
        <v>-2.71</v>
      </c>
      <c r="AZ14" s="969">
        <v>0</v>
      </c>
      <c r="BA14" s="939">
        <v>0</v>
      </c>
      <c r="BB14" s="969">
        <v>0</v>
      </c>
      <c r="BC14" s="969">
        <v>0</v>
      </c>
      <c r="BD14" s="969">
        <v>0</v>
      </c>
      <c r="BE14" s="969">
        <v>0</v>
      </c>
      <c r="BF14" s="939">
        <v>0</v>
      </c>
      <c r="BG14" s="939">
        <v>0</v>
      </c>
      <c r="BH14" s="971">
        <v>-5.8319999999999999</v>
      </c>
      <c r="BI14" s="969">
        <v>-0.11</v>
      </c>
      <c r="BJ14" s="959">
        <v>0.01</v>
      </c>
    </row>
    <row r="15" spans="1:62" ht="17.25" customHeight="1" x14ac:dyDescent="0.35">
      <c r="A15" s="944">
        <v>2031</v>
      </c>
      <c r="B15" s="946">
        <f t="shared" si="1"/>
        <v>0</v>
      </c>
      <c r="C15" s="946">
        <f t="shared" si="2"/>
        <v>0</v>
      </c>
      <c r="D15" s="946">
        <f t="shared" si="3"/>
        <v>0</v>
      </c>
      <c r="E15" s="946">
        <f t="shared" si="4"/>
        <v>1.8230000000000002</v>
      </c>
      <c r="F15" s="946">
        <f t="shared" si="11"/>
        <v>0</v>
      </c>
      <c r="G15" s="946">
        <f t="shared" si="5"/>
        <v>-7.7250000000000005</v>
      </c>
      <c r="H15" s="946">
        <f t="shared" si="6"/>
        <v>-2.4630000000000001</v>
      </c>
      <c r="I15" s="946">
        <f t="shared" si="7"/>
        <v>0</v>
      </c>
      <c r="J15" s="946">
        <f t="shared" si="8"/>
        <v>-1.9E-2</v>
      </c>
      <c r="K15" s="946">
        <f t="shared" si="9"/>
        <v>0</v>
      </c>
      <c r="L15" s="952"/>
      <c r="M15" s="946">
        <f t="shared" si="0"/>
        <v>-3.0390000000000001</v>
      </c>
      <c r="N15" s="946">
        <f t="shared" si="10"/>
        <v>0</v>
      </c>
      <c r="O15" s="925">
        <v>0.3</v>
      </c>
      <c r="P15" s="970">
        <v>1.1900000000000002</v>
      </c>
      <c r="Q15" s="969">
        <v>0</v>
      </c>
      <c r="R15" s="927">
        <v>0.63300000000000001</v>
      </c>
      <c r="S15" s="933">
        <v>0</v>
      </c>
      <c r="T15" s="939">
        <v>0</v>
      </c>
      <c r="U15" s="969">
        <v>0</v>
      </c>
      <c r="V15" s="969">
        <v>0</v>
      </c>
      <c r="W15" s="939">
        <v>0</v>
      </c>
      <c r="X15" s="939">
        <v>0</v>
      </c>
      <c r="Y15" s="969">
        <v>0</v>
      </c>
      <c r="Z15" s="969">
        <v>0</v>
      </c>
      <c r="AA15" s="969">
        <v>0</v>
      </c>
      <c r="AB15" s="969">
        <v>0</v>
      </c>
      <c r="AC15" s="971">
        <v>0</v>
      </c>
      <c r="AD15" s="969">
        <v>0</v>
      </c>
      <c r="AE15" s="971">
        <v>0</v>
      </c>
      <c r="AF15" s="971">
        <v>0</v>
      </c>
      <c r="AG15" s="971">
        <v>-2.5529999999999999</v>
      </c>
      <c r="AH15" s="971">
        <v>0.09</v>
      </c>
      <c r="AI15" s="971">
        <v>0</v>
      </c>
      <c r="AJ15" s="941">
        <v>0</v>
      </c>
      <c r="AK15" s="969">
        <v>0</v>
      </c>
      <c r="AL15" s="969">
        <v>-1.9E-2</v>
      </c>
      <c r="AM15" s="969">
        <v>0</v>
      </c>
      <c r="AN15" s="969">
        <v>0</v>
      </c>
      <c r="AO15" s="939">
        <v>0</v>
      </c>
      <c r="AP15" s="969">
        <v>0</v>
      </c>
      <c r="AQ15" s="929">
        <v>0</v>
      </c>
      <c r="AR15" s="969">
        <v>0</v>
      </c>
      <c r="AS15" s="969">
        <v>0</v>
      </c>
      <c r="AT15" s="939">
        <v>0</v>
      </c>
      <c r="AU15" s="971">
        <v>-0.26900000000000002</v>
      </c>
      <c r="AV15" s="969">
        <v>0</v>
      </c>
      <c r="AW15" s="969">
        <v>0</v>
      </c>
      <c r="AX15" s="969">
        <v>0</v>
      </c>
      <c r="AY15" s="939">
        <v>-2.77</v>
      </c>
      <c r="AZ15" s="969">
        <v>0</v>
      </c>
      <c r="BA15" s="939">
        <v>0</v>
      </c>
      <c r="BB15" s="969">
        <v>0</v>
      </c>
      <c r="BC15" s="969">
        <v>0</v>
      </c>
      <c r="BD15" s="969">
        <v>0</v>
      </c>
      <c r="BE15" s="969">
        <v>0</v>
      </c>
      <c r="BF15" s="939">
        <v>0</v>
      </c>
      <c r="BG15" s="939">
        <v>0</v>
      </c>
      <c r="BH15" s="971">
        <v>-5.4350000000000005</v>
      </c>
      <c r="BI15" s="969">
        <v>-2.29</v>
      </c>
      <c r="BJ15" s="959">
        <v>0</v>
      </c>
    </row>
    <row r="16" spans="1:62" x14ac:dyDescent="0.35">
      <c r="A16" s="945" t="s">
        <v>360</v>
      </c>
      <c r="B16" s="945">
        <f>SUM(B5:B15)</f>
        <v>412.15299999999996</v>
      </c>
      <c r="C16" s="945">
        <f>SUM(C5:C15)</f>
        <v>205.79999999999998</v>
      </c>
      <c r="D16" s="945">
        <f>SUM(D5:D15)</f>
        <v>22.711000000000006</v>
      </c>
      <c r="E16" s="945">
        <f t="shared" ref="E16:H16" si="12">SUM(E5:E15)</f>
        <v>35.466000000000015</v>
      </c>
      <c r="F16" s="945">
        <f t="shared" si="12"/>
        <v>91.563000000000002</v>
      </c>
      <c r="G16" s="946">
        <f t="shared" si="5"/>
        <v>174.17</v>
      </c>
      <c r="H16" s="945">
        <f t="shared" si="12"/>
        <v>21.600999999999996</v>
      </c>
      <c r="I16" s="952">
        <f t="shared" ref="I16" si="13">SUM(I5:I15)</f>
        <v>362.04999999999995</v>
      </c>
      <c r="J16" s="952">
        <f t="shared" ref="J16" si="14">SUM(J5:J15)</f>
        <v>169.16899999999998</v>
      </c>
      <c r="K16" s="946">
        <f t="shared" si="9"/>
        <v>112.72</v>
      </c>
      <c r="L16" s="952">
        <f>SUM(L5:L15)</f>
        <v>25.75</v>
      </c>
      <c r="M16" s="946">
        <f t="shared" si="0"/>
        <v>85.197999999999993</v>
      </c>
      <c r="N16" s="946">
        <f>AK16</f>
        <v>8.5</v>
      </c>
      <c r="O16" s="926">
        <f t="shared" ref="O16:BI16" si="15">SUM(O5:O15)</f>
        <v>109.3</v>
      </c>
      <c r="P16" s="969">
        <f t="shared" si="15"/>
        <v>25.819999999999997</v>
      </c>
      <c r="Q16" s="969">
        <f t="shared" si="15"/>
        <v>412.15299999999996</v>
      </c>
      <c r="R16" s="969">
        <f t="shared" si="15"/>
        <v>5.774</v>
      </c>
      <c r="S16" s="969">
        <f t="shared" si="15"/>
        <v>3.8719999999999999</v>
      </c>
      <c r="T16" s="969">
        <f t="shared" si="15"/>
        <v>22.711000000000006</v>
      </c>
      <c r="U16" s="969">
        <f t="shared" si="15"/>
        <v>41.599999999999994</v>
      </c>
      <c r="V16" s="969">
        <f t="shared" si="15"/>
        <v>44.947999999999993</v>
      </c>
      <c r="W16" s="969">
        <f t="shared" si="15"/>
        <v>5</v>
      </c>
      <c r="X16" s="969">
        <f t="shared" si="15"/>
        <v>1.4440000000000002</v>
      </c>
      <c r="Y16" s="969">
        <f t="shared" si="15"/>
        <v>0.2</v>
      </c>
      <c r="Z16" s="969">
        <f t="shared" si="15"/>
        <v>45.4</v>
      </c>
      <c r="AA16" s="969">
        <f t="shared" si="15"/>
        <v>35.5</v>
      </c>
      <c r="AB16" s="969">
        <f t="shared" si="15"/>
        <v>124.7</v>
      </c>
      <c r="AC16" s="969">
        <f t="shared" si="15"/>
        <v>28</v>
      </c>
      <c r="AD16" s="969">
        <f t="shared" si="15"/>
        <v>9.100000000000022E-2</v>
      </c>
      <c r="AE16" s="969">
        <f t="shared" si="15"/>
        <v>22.810000000000002</v>
      </c>
      <c r="AF16" s="969">
        <f t="shared" si="15"/>
        <v>1.42</v>
      </c>
      <c r="AG16" s="969">
        <f t="shared" si="15"/>
        <v>20.662999999999997</v>
      </c>
      <c r="AH16" s="969">
        <f t="shared" si="15"/>
        <v>0.86999999999999988</v>
      </c>
      <c r="AI16" s="969">
        <f t="shared" si="15"/>
        <v>6.8000000000000005E-2</v>
      </c>
      <c r="AJ16" s="969">
        <f t="shared" si="15"/>
        <v>362.04999999999995</v>
      </c>
      <c r="AK16" s="969">
        <f t="shared" ref="AK16:AO16" si="16">SUM(AK5:AK15)</f>
        <v>8.5</v>
      </c>
      <c r="AL16" s="969">
        <f t="shared" si="16"/>
        <v>169.16899999999998</v>
      </c>
      <c r="AM16" s="948">
        <f t="shared" si="16"/>
        <v>0.79700000000000004</v>
      </c>
      <c r="AN16" s="969">
        <f t="shared" si="16"/>
        <v>8.6</v>
      </c>
      <c r="AO16" s="969">
        <f t="shared" si="16"/>
        <v>3.2000000000000006</v>
      </c>
      <c r="AP16" s="969">
        <f t="shared" si="15"/>
        <v>2.8000000000000003</v>
      </c>
      <c r="AQ16" s="953">
        <f>SUM(AQ5:AQ15)</f>
        <v>28</v>
      </c>
      <c r="AR16" s="969">
        <f>SUM(AR5:AR15)</f>
        <v>14.899999999999999</v>
      </c>
      <c r="AS16" s="969">
        <f>SUM(AS5:AS15)</f>
        <v>3.8730000000000002</v>
      </c>
      <c r="AT16" s="969">
        <f t="shared" ref="AT16" si="17">SUM(AT5:AT15)</f>
        <v>50.54999999999999</v>
      </c>
      <c r="AU16" s="969">
        <f t="shared" si="15"/>
        <v>-5.6779999999999999</v>
      </c>
      <c r="AV16" s="969">
        <f t="shared" si="15"/>
        <v>8.177999999999999</v>
      </c>
      <c r="AW16" s="969">
        <f t="shared" si="15"/>
        <v>16.667999999999999</v>
      </c>
      <c r="AX16" s="969">
        <f t="shared" si="15"/>
        <v>9.9</v>
      </c>
      <c r="AY16" s="969">
        <f t="shared" si="15"/>
        <v>-25.860000000000003</v>
      </c>
      <c r="AZ16" s="969">
        <f t="shared" si="15"/>
        <v>81.99</v>
      </c>
      <c r="BA16" s="969">
        <v>0</v>
      </c>
      <c r="BB16" s="969">
        <f t="shared" si="15"/>
        <v>24</v>
      </c>
      <c r="BC16" s="969">
        <f t="shared" si="15"/>
        <v>7.25</v>
      </c>
      <c r="BD16" s="969">
        <f t="shared" si="15"/>
        <v>49.8</v>
      </c>
      <c r="BE16" s="969">
        <f t="shared" si="15"/>
        <v>9.02</v>
      </c>
      <c r="BF16" s="969">
        <f t="shared" si="15"/>
        <v>6.2439999999999998</v>
      </c>
      <c r="BG16" s="969">
        <f t="shared" si="15"/>
        <v>10.218</v>
      </c>
      <c r="BH16" s="969">
        <f t="shared" si="15"/>
        <v>50.203999999999979</v>
      </c>
      <c r="BI16" s="969">
        <f t="shared" si="15"/>
        <v>24.684000000000005</v>
      </c>
      <c r="BJ16" s="961">
        <f>SUM(BJ5:BJ15)</f>
        <v>9.5399999999999991</v>
      </c>
    </row>
    <row r="17" spans="2:61" x14ac:dyDescent="0.35">
      <c r="R17" s="927"/>
      <c r="S17" s="927"/>
      <c r="W17" s="927"/>
      <c r="X17" s="927"/>
      <c r="AE17" s="927"/>
      <c r="AF17" s="927"/>
      <c r="AV17" s="927"/>
      <c r="AW17" s="927"/>
      <c r="AX17" s="927"/>
      <c r="AY17" s="927"/>
      <c r="AZ17" s="927"/>
      <c r="BA17" s="927"/>
      <c r="BC17" s="927"/>
      <c r="BE17" s="927"/>
      <c r="BF17" s="927"/>
      <c r="BG17" s="927"/>
    </row>
    <row r="18" spans="2:61" x14ac:dyDescent="0.35">
      <c r="R18" s="927"/>
      <c r="S18" s="927"/>
      <c r="W18" s="927"/>
      <c r="X18" s="927"/>
      <c r="AE18" s="927"/>
      <c r="AF18" s="927"/>
      <c r="AV18" s="927"/>
      <c r="AW18" s="927"/>
      <c r="AX18" s="927"/>
      <c r="AY18" s="927"/>
      <c r="AZ18" s="927"/>
      <c r="BA18" s="927"/>
      <c r="BC18" s="927" t="s">
        <v>791</v>
      </c>
      <c r="BD18" s="927" t="s">
        <v>791</v>
      </c>
      <c r="BE18" s="927"/>
      <c r="BF18" s="927" t="s">
        <v>791</v>
      </c>
      <c r="BG18" s="927" t="s">
        <v>791</v>
      </c>
      <c r="BI18" s="927" t="s">
        <v>791</v>
      </c>
    </row>
    <row r="19" spans="2:61" x14ac:dyDescent="0.35">
      <c r="B19" s="954"/>
      <c r="C19" s="954"/>
      <c r="D19" s="954"/>
      <c r="E19" s="954"/>
      <c r="F19" s="954"/>
      <c r="H19" s="954"/>
      <c r="I19" s="954"/>
      <c r="J19" s="954"/>
      <c r="K19" s="954"/>
      <c r="M19" s="954"/>
      <c r="N19" s="954"/>
      <c r="R19" s="927"/>
      <c r="S19" s="927"/>
      <c r="W19" s="927"/>
      <c r="X19" s="927"/>
      <c r="AE19" s="927"/>
      <c r="AF19" s="927"/>
      <c r="AV19" s="927"/>
      <c r="AW19" s="927"/>
      <c r="AX19" s="927"/>
      <c r="AY19" s="927"/>
      <c r="AZ19" s="927"/>
      <c r="BA19" s="927"/>
      <c r="BC19" s="927"/>
      <c r="BD19" t="s">
        <v>792</v>
      </c>
      <c r="BE19" s="927"/>
      <c r="BF19" s="927"/>
      <c r="BG19" s="927"/>
    </row>
    <row r="20" spans="2:61" x14ac:dyDescent="0.35">
      <c r="R20" s="927"/>
      <c r="S20" s="927"/>
      <c r="W20" s="927"/>
      <c r="X20" s="927"/>
      <c r="AE20" s="927"/>
      <c r="AF20" s="927"/>
      <c r="AV20" s="927"/>
      <c r="AW20" s="927"/>
      <c r="AX20" s="927"/>
      <c r="AY20" s="927"/>
      <c r="AZ20" s="927"/>
      <c r="BA20" s="927"/>
      <c r="BC20" s="927"/>
      <c r="BE20" s="927"/>
      <c r="BF20" s="927"/>
      <c r="BG20" s="927"/>
    </row>
    <row r="21" spans="2:61" x14ac:dyDescent="0.35">
      <c r="R21" s="927"/>
      <c r="S21" s="927"/>
      <c r="W21" s="927"/>
      <c r="X21" s="927"/>
      <c r="AE21" s="927"/>
      <c r="AF21" s="927"/>
      <c r="AV21" s="927"/>
      <c r="AW21" s="927"/>
      <c r="AX21" s="927"/>
      <c r="AY21" s="927"/>
      <c r="AZ21" s="927"/>
      <c r="BA21" s="927"/>
      <c r="BC21" s="927"/>
      <c r="BE21" s="927"/>
      <c r="BF21" s="927"/>
      <c r="BG21" s="927"/>
    </row>
    <row r="22" spans="2:61" x14ac:dyDescent="0.35">
      <c r="B22" s="954"/>
      <c r="R22" s="927"/>
      <c r="S22" s="927"/>
      <c r="W22" s="927"/>
      <c r="X22" s="927"/>
      <c r="AE22" s="927"/>
      <c r="AF22" s="927"/>
      <c r="AV22" s="927"/>
      <c r="AW22" s="927"/>
      <c r="AX22" s="927"/>
      <c r="AY22" s="927"/>
      <c r="AZ22" s="927"/>
      <c r="BA22" s="927"/>
      <c r="BC22" s="927"/>
      <c r="BE22" s="927"/>
      <c r="BF22" s="927"/>
      <c r="BG22" s="927"/>
    </row>
    <row r="23" spans="2:61" x14ac:dyDescent="0.35">
      <c r="B23" s="954"/>
      <c r="R23" s="927"/>
      <c r="S23" s="927"/>
      <c r="W23" s="927"/>
      <c r="X23" s="927"/>
      <c r="AE23" s="927"/>
      <c r="AF23" s="927"/>
      <c r="AV23" s="927"/>
      <c r="AW23" s="927"/>
      <c r="AX23" s="927"/>
      <c r="AY23" s="927"/>
      <c r="AZ23" s="927"/>
      <c r="BA23" s="927"/>
      <c r="BC23" s="927"/>
      <c r="BE23" s="927"/>
      <c r="BF23" s="927"/>
      <c r="BG23" s="927"/>
    </row>
    <row r="24" spans="2:61" x14ac:dyDescent="0.35">
      <c r="B24" s="954"/>
      <c r="R24" s="927"/>
      <c r="S24" s="927"/>
      <c r="W24" s="927"/>
      <c r="X24" s="927"/>
      <c r="AE24" s="927"/>
      <c r="AF24" s="927"/>
      <c r="AV24" s="927"/>
      <c r="AW24" s="927"/>
      <c r="AX24" s="927"/>
      <c r="AY24" s="927"/>
      <c r="AZ24" s="927"/>
      <c r="BA24" s="927"/>
      <c r="BC24" s="927"/>
      <c r="BE24" s="927"/>
      <c r="BF24" s="927"/>
      <c r="BG24" s="927"/>
    </row>
    <row r="25" spans="2:61" x14ac:dyDescent="0.35">
      <c r="B25" s="954"/>
      <c r="R25" s="927"/>
      <c r="S25" s="927"/>
      <c r="W25" s="927"/>
      <c r="X25" s="927"/>
      <c r="AE25" s="927"/>
      <c r="AF25" s="927"/>
      <c r="AV25" s="927"/>
      <c r="AW25" s="927"/>
      <c r="AX25" s="927"/>
      <c r="AY25" s="927"/>
      <c r="AZ25" s="927"/>
      <c r="BA25" s="927"/>
      <c r="BC25" s="927"/>
      <c r="BE25" s="927"/>
      <c r="BF25" s="927"/>
      <c r="BG25" s="927"/>
    </row>
    <row r="26" spans="2:61" x14ac:dyDescent="0.35">
      <c r="B26" s="954"/>
      <c r="R26" s="927"/>
      <c r="S26" s="927"/>
      <c r="W26" s="927"/>
      <c r="X26" s="927"/>
      <c r="AE26" s="927"/>
      <c r="AF26" s="927"/>
      <c r="AV26" s="927"/>
      <c r="AW26" s="927"/>
      <c r="AX26" s="927"/>
      <c r="AY26" s="927"/>
      <c r="AZ26" s="927"/>
      <c r="BA26" s="927"/>
      <c r="BC26" s="927"/>
      <c r="BE26" s="927"/>
      <c r="BF26" s="927"/>
      <c r="BG26" s="927"/>
    </row>
    <row r="27" spans="2:61" x14ac:dyDescent="0.35">
      <c r="B27" s="954"/>
      <c r="R27" s="927"/>
      <c r="S27" s="927"/>
      <c r="W27" s="927"/>
      <c r="X27" s="927"/>
      <c r="AE27" s="927"/>
      <c r="AF27" s="927"/>
      <c r="AV27" s="927"/>
      <c r="AW27" s="927"/>
      <c r="AX27" s="927"/>
      <c r="AY27" s="927"/>
      <c r="AZ27" s="927"/>
      <c r="BA27" s="927"/>
      <c r="BC27" s="927"/>
      <c r="BE27" s="927"/>
      <c r="BF27" s="927"/>
      <c r="BG27" s="927"/>
    </row>
    <row r="28" spans="2:61" x14ac:dyDescent="0.35">
      <c r="B28" s="954"/>
      <c r="R28" s="927"/>
      <c r="S28" s="927"/>
      <c r="W28" s="927"/>
      <c r="X28" s="927"/>
      <c r="AE28" s="927"/>
      <c r="AF28" s="927"/>
      <c r="AV28" s="927"/>
      <c r="AW28" s="927"/>
      <c r="AX28" s="927"/>
      <c r="AY28" s="927"/>
      <c r="AZ28" s="927"/>
      <c r="BA28" s="927"/>
      <c r="BC28" s="927"/>
      <c r="BE28" s="927"/>
      <c r="BF28" s="927"/>
      <c r="BG28" s="927"/>
    </row>
    <row r="29" spans="2:61" x14ac:dyDescent="0.35">
      <c r="R29" s="927"/>
      <c r="S29" s="927"/>
      <c r="W29" s="927"/>
      <c r="X29" s="927"/>
      <c r="AE29" s="927"/>
      <c r="AF29" s="927"/>
      <c r="AV29" s="927"/>
      <c r="AW29" s="927"/>
      <c r="AX29" s="927"/>
      <c r="AY29" s="927"/>
      <c r="AZ29" s="927"/>
      <c r="BA29" s="927"/>
      <c r="BC29" s="927"/>
      <c r="BE29" s="927"/>
      <c r="BF29" s="927"/>
      <c r="BG29" s="927"/>
    </row>
    <row r="30" spans="2:61" x14ac:dyDescent="0.35">
      <c r="R30" s="927"/>
      <c r="S30" s="927"/>
      <c r="W30" s="927"/>
      <c r="X30" s="927"/>
      <c r="AE30" s="927"/>
      <c r="AF30" s="927"/>
      <c r="AV30" s="927"/>
      <c r="AW30" s="927"/>
      <c r="AX30" s="927"/>
      <c r="AY30" s="927"/>
      <c r="AZ30" s="927"/>
      <c r="BA30" s="927"/>
      <c r="BC30" s="927"/>
      <c r="BE30" s="927"/>
      <c r="BF30" s="927"/>
      <c r="BG30" s="927"/>
    </row>
    <row r="31" spans="2:61" x14ac:dyDescent="0.35">
      <c r="R31" s="927"/>
      <c r="S31" s="927"/>
      <c r="W31" s="927"/>
      <c r="X31" s="927"/>
      <c r="AE31" s="927"/>
      <c r="AF31" s="927"/>
      <c r="AV31" s="927"/>
      <c r="AW31" s="927"/>
      <c r="AX31" s="927"/>
      <c r="AY31" s="927"/>
      <c r="AZ31" s="927"/>
      <c r="BA31" s="927"/>
      <c r="BC31" s="927"/>
      <c r="BE31" s="927"/>
      <c r="BF31" s="927"/>
      <c r="BG31" s="927"/>
    </row>
    <row r="32" spans="2:61" x14ac:dyDescent="0.35">
      <c r="R32" s="927"/>
      <c r="S32" s="927"/>
      <c r="W32" s="927"/>
      <c r="X32" s="927"/>
      <c r="AE32" s="927"/>
      <c r="AF32" s="927"/>
      <c r="AV32" s="927"/>
      <c r="AW32" s="927"/>
      <c r="AX32" s="927"/>
      <c r="AY32" s="927"/>
      <c r="AZ32" s="927"/>
      <c r="BA32" s="927"/>
      <c r="BC32" s="927"/>
      <c r="BE32" s="927"/>
      <c r="BF32" s="927"/>
      <c r="BG32" s="927"/>
    </row>
    <row r="33" spans="18:59" x14ac:dyDescent="0.35">
      <c r="R33" s="927"/>
      <c r="S33" s="927"/>
      <c r="W33" s="927"/>
      <c r="X33" s="927"/>
      <c r="AE33" s="927"/>
      <c r="AF33" s="927"/>
      <c r="AV33" s="927"/>
      <c r="AW33" s="927"/>
      <c r="AX33" s="927"/>
      <c r="AY33" s="927"/>
      <c r="AZ33" s="927"/>
      <c r="BA33" s="927"/>
      <c r="BC33" s="927"/>
      <c r="BE33" s="927"/>
      <c r="BF33" s="927"/>
      <c r="BG33" s="927"/>
    </row>
    <row r="34" spans="18:59" x14ac:dyDescent="0.35">
      <c r="R34" s="927"/>
      <c r="S34" s="927"/>
      <c r="W34" s="927"/>
      <c r="X34" s="927"/>
      <c r="AE34" s="927"/>
      <c r="AF34" s="927"/>
      <c r="AV34" s="927"/>
      <c r="AW34" s="927"/>
      <c r="AX34" s="927"/>
      <c r="AY34" s="927"/>
      <c r="AZ34" s="927"/>
      <c r="BA34" s="927"/>
      <c r="BC34" s="927"/>
      <c r="BE34" s="927"/>
      <c r="BF34" s="927"/>
      <c r="BG34" s="927"/>
    </row>
    <row r="35" spans="18:59" x14ac:dyDescent="0.35">
      <c r="R35" s="927"/>
      <c r="S35" s="927"/>
      <c r="W35" s="927"/>
      <c r="X35" s="927"/>
      <c r="AE35" s="927"/>
      <c r="AF35" s="927"/>
      <c r="AV35" s="927"/>
      <c r="AW35" s="927"/>
      <c r="AX35" s="927"/>
      <c r="AY35" s="927"/>
      <c r="AZ35" s="927"/>
      <c r="BA35" s="927"/>
      <c r="BC35" s="927"/>
      <c r="BE35" s="927"/>
      <c r="BF35" s="927"/>
      <c r="BG35" s="927"/>
    </row>
    <row r="36" spans="18:59" x14ac:dyDescent="0.35">
      <c r="R36" s="927"/>
      <c r="S36" s="927"/>
      <c r="W36" s="927"/>
      <c r="X36" s="927"/>
      <c r="AE36" s="927"/>
      <c r="AF36" s="927"/>
      <c r="AV36" s="927"/>
      <c r="AW36" s="927"/>
      <c r="AX36" s="927"/>
      <c r="AY36" s="927"/>
      <c r="AZ36" s="927"/>
      <c r="BA36" s="927"/>
      <c r="BC36" s="927"/>
      <c r="BE36" s="927"/>
      <c r="BF36" s="927"/>
      <c r="BG36" s="927"/>
    </row>
    <row r="37" spans="18:59" x14ac:dyDescent="0.35">
      <c r="R37" s="927"/>
      <c r="S37" s="927"/>
      <c r="W37" s="927"/>
      <c r="X37" s="927"/>
      <c r="AE37" s="927"/>
      <c r="AF37" s="927"/>
      <c r="AV37" s="927"/>
      <c r="AW37" s="927"/>
      <c r="AX37" s="927"/>
      <c r="AY37" s="927"/>
      <c r="AZ37" s="927"/>
      <c r="BA37" s="927"/>
      <c r="BC37" s="927"/>
      <c r="BE37" s="927"/>
      <c r="BF37" s="927"/>
      <c r="BG37" s="927"/>
    </row>
    <row r="38" spans="18:59" x14ac:dyDescent="0.35">
      <c r="R38" s="927"/>
      <c r="S38" s="927"/>
      <c r="W38" s="927"/>
      <c r="X38" s="927"/>
      <c r="AE38" s="927"/>
      <c r="AF38" s="927"/>
      <c r="AV38" s="927"/>
      <c r="AW38" s="927"/>
      <c r="AX38" s="927"/>
      <c r="AY38" s="927"/>
      <c r="AZ38" s="927"/>
      <c r="BA38" s="927"/>
      <c r="BC38" s="927"/>
      <c r="BE38" s="927"/>
      <c r="BF38" s="927"/>
      <c r="BG38" s="927"/>
    </row>
    <row r="39" spans="18:59" x14ac:dyDescent="0.35">
      <c r="R39" s="927"/>
      <c r="S39" s="927"/>
      <c r="W39" s="927"/>
      <c r="X39" s="927"/>
      <c r="AE39" s="927"/>
      <c r="AF39" s="927"/>
      <c r="AV39" s="927"/>
      <c r="AW39" s="927"/>
      <c r="AX39" s="927"/>
      <c r="AY39" s="927"/>
      <c r="AZ39" s="927"/>
      <c r="BA39" s="927"/>
      <c r="BC39" s="927"/>
      <c r="BE39" s="927"/>
      <c r="BF39" s="927"/>
      <c r="BG39" s="927"/>
    </row>
    <row r="40" spans="18:59" x14ac:dyDescent="0.35">
      <c r="R40" s="927"/>
      <c r="S40" s="927"/>
      <c r="W40" s="927"/>
      <c r="X40" s="927"/>
      <c r="AE40" s="927"/>
      <c r="AF40" s="927"/>
      <c r="AV40" s="927"/>
      <c r="AW40" s="927"/>
      <c r="AX40" s="927"/>
      <c r="AY40" s="927"/>
      <c r="AZ40" s="927"/>
      <c r="BA40" s="927"/>
      <c r="BC40" s="927"/>
      <c r="BE40" s="927"/>
      <c r="BF40" s="927"/>
      <c r="BG40" s="927"/>
    </row>
    <row r="41" spans="18:59" x14ac:dyDescent="0.35">
      <c r="R41" s="927"/>
      <c r="S41" s="927"/>
      <c r="W41" s="927"/>
      <c r="X41" s="927"/>
      <c r="AE41" s="927"/>
      <c r="AF41" s="927"/>
      <c r="AV41" s="927"/>
      <c r="AW41" s="927"/>
      <c r="AX41" s="927"/>
      <c r="AY41" s="927"/>
      <c r="AZ41" s="927"/>
      <c r="BA41" s="927"/>
      <c r="BC41" s="927"/>
      <c r="BE41" s="927"/>
      <c r="BF41" s="927"/>
      <c r="BG41" s="927"/>
    </row>
    <row r="42" spans="18:59" x14ac:dyDescent="0.35">
      <c r="R42" s="927"/>
      <c r="S42" s="927"/>
      <c r="W42" s="927"/>
      <c r="X42" s="927"/>
      <c r="AE42" s="927"/>
      <c r="AF42" s="927"/>
      <c r="AV42" s="927"/>
      <c r="AW42" s="927"/>
      <c r="AX42" s="927"/>
      <c r="AY42" s="927"/>
      <c r="AZ42" s="927"/>
      <c r="BA42" s="927"/>
      <c r="BC42" s="927"/>
      <c r="BE42" s="927"/>
      <c r="BF42" s="927"/>
      <c r="BG42" s="927"/>
    </row>
    <row r="43" spans="18:59" x14ac:dyDescent="0.35">
      <c r="R43" s="927"/>
      <c r="S43" s="927"/>
      <c r="W43" s="927"/>
      <c r="X43" s="927"/>
      <c r="AE43" s="927"/>
      <c r="AF43" s="927"/>
      <c r="AV43" s="927"/>
      <c r="AW43" s="927"/>
      <c r="AX43" s="927"/>
      <c r="AY43" s="927"/>
      <c r="AZ43" s="927"/>
      <c r="BA43" s="927"/>
      <c r="BC43" s="927"/>
      <c r="BE43" s="927"/>
      <c r="BF43" s="927"/>
      <c r="BG43" s="927"/>
    </row>
    <row r="44" spans="18:59" x14ac:dyDescent="0.35">
      <c r="R44" s="927"/>
      <c r="S44" s="927"/>
      <c r="W44" s="927"/>
      <c r="X44" s="927"/>
      <c r="AE44" s="927"/>
      <c r="AF44" s="927"/>
      <c r="AV44" s="927"/>
      <c r="AW44" s="927"/>
      <c r="AX44" s="927"/>
      <c r="AY44" s="927"/>
      <c r="AZ44" s="927"/>
      <c r="BA44" s="927"/>
      <c r="BC44" s="927"/>
      <c r="BE44" s="927"/>
      <c r="BF44" s="927"/>
      <c r="BG44" s="927"/>
    </row>
    <row r="45" spans="18:59" x14ac:dyDescent="0.35">
      <c r="R45" s="927"/>
      <c r="S45" s="927"/>
      <c r="W45" s="927"/>
      <c r="X45" s="927"/>
      <c r="AE45" s="927"/>
      <c r="AF45" s="927"/>
      <c r="AV45" s="927"/>
      <c r="AW45" s="927"/>
      <c r="AX45" s="927"/>
      <c r="AY45" s="927"/>
      <c r="AZ45" s="927"/>
      <c r="BA45" s="927"/>
      <c r="BC45" s="927"/>
      <c r="BE45" s="927"/>
      <c r="BF45" s="927"/>
      <c r="BG45" s="927"/>
    </row>
    <row r="46" spans="18:59" x14ac:dyDescent="0.35">
      <c r="R46" s="927"/>
      <c r="S46" s="927"/>
      <c r="W46" s="927"/>
      <c r="X46" s="927"/>
      <c r="AE46" s="927"/>
      <c r="AF46" s="927"/>
      <c r="AV46" s="927"/>
      <c r="AW46" s="927"/>
      <c r="AX46" s="927"/>
      <c r="AY46" s="927"/>
      <c r="AZ46" s="927"/>
      <c r="BA46" s="927"/>
      <c r="BC46" s="927"/>
      <c r="BE46" s="927"/>
      <c r="BF46" s="927"/>
      <c r="BG46" s="927"/>
    </row>
    <row r="47" spans="18:59" x14ac:dyDescent="0.35">
      <c r="R47" s="927"/>
      <c r="S47" s="927"/>
      <c r="W47" s="927"/>
      <c r="X47" s="927"/>
      <c r="AE47" s="927"/>
      <c r="AF47" s="927"/>
      <c r="AV47" s="927"/>
      <c r="AW47" s="927"/>
      <c r="AX47" s="927"/>
      <c r="AY47" s="927"/>
      <c r="AZ47" s="927"/>
      <c r="BA47" s="927"/>
      <c r="BC47" s="927"/>
      <c r="BE47" s="927"/>
      <c r="BF47" s="927"/>
      <c r="BG47" s="927"/>
    </row>
    <row r="48" spans="18:59" x14ac:dyDescent="0.35">
      <c r="R48" s="927"/>
      <c r="S48" s="927"/>
      <c r="W48" s="927"/>
      <c r="X48" s="927"/>
      <c r="AE48" s="927"/>
      <c r="AF48" s="927"/>
      <c r="AV48" s="927"/>
      <c r="AW48" s="927"/>
      <c r="AX48" s="927"/>
      <c r="AY48" s="927"/>
      <c r="AZ48" s="927"/>
      <c r="BA48" s="927"/>
      <c r="BC48" s="927"/>
      <c r="BE48" s="927"/>
      <c r="BF48" s="927"/>
      <c r="BG48" s="927"/>
    </row>
    <row r="49" spans="18:59" x14ac:dyDescent="0.35">
      <c r="R49" s="927"/>
      <c r="S49" s="927"/>
      <c r="W49" s="927"/>
      <c r="X49" s="927"/>
      <c r="AE49" s="927"/>
      <c r="AF49" s="927"/>
      <c r="AV49" s="927"/>
      <c r="AW49" s="927"/>
      <c r="AX49" s="927"/>
      <c r="AY49" s="927"/>
      <c r="AZ49" s="927"/>
      <c r="BA49" s="927"/>
      <c r="BC49" s="927"/>
      <c r="BE49" s="927"/>
      <c r="BF49" s="927"/>
      <c r="BG49" s="927"/>
    </row>
    <row r="50" spans="18:59" x14ac:dyDescent="0.35">
      <c r="R50" s="927"/>
      <c r="S50" s="927"/>
      <c r="W50" s="927"/>
      <c r="X50" s="927"/>
      <c r="AE50" s="927"/>
      <c r="AF50" s="927"/>
      <c r="AV50" s="927"/>
      <c r="AW50" s="927"/>
      <c r="AX50" s="927"/>
      <c r="AY50" s="927"/>
      <c r="AZ50" s="927"/>
      <c r="BA50" s="927"/>
      <c r="BC50" s="927"/>
      <c r="BE50" s="927"/>
      <c r="BF50" s="927"/>
      <c r="BG50" s="927"/>
    </row>
    <row r="51" spans="18:59" x14ac:dyDescent="0.35">
      <c r="R51" s="927"/>
      <c r="S51" s="927"/>
      <c r="W51" s="927"/>
      <c r="X51" s="927"/>
      <c r="AE51" s="927"/>
      <c r="AF51" s="927"/>
      <c r="AV51" s="927"/>
      <c r="AW51" s="927"/>
      <c r="AX51" s="927"/>
      <c r="AY51" s="927"/>
      <c r="AZ51" s="927"/>
      <c r="BA51" s="927"/>
      <c r="BC51" s="927"/>
      <c r="BE51" s="927"/>
      <c r="BF51" s="927"/>
      <c r="BG51" s="927"/>
    </row>
    <row r="52" spans="18:59" x14ac:dyDescent="0.35">
      <c r="R52" s="927"/>
      <c r="S52" s="927"/>
      <c r="W52" s="927"/>
      <c r="X52" s="927"/>
      <c r="AE52" s="927"/>
      <c r="AF52" s="927"/>
      <c r="AV52" s="927"/>
      <c r="AW52" s="927"/>
      <c r="AX52" s="927"/>
      <c r="AY52" s="927"/>
      <c r="AZ52" s="927"/>
      <c r="BA52" s="927"/>
      <c r="BC52" s="927"/>
      <c r="BE52" s="927"/>
      <c r="BF52" s="927"/>
      <c r="BG52" s="927"/>
    </row>
    <row r="53" spans="18:59" x14ac:dyDescent="0.35">
      <c r="R53" s="927"/>
      <c r="S53" s="927"/>
      <c r="W53" s="927"/>
      <c r="X53" s="927"/>
      <c r="AE53" s="927"/>
      <c r="AF53" s="927"/>
      <c r="AV53" s="927"/>
      <c r="AW53" s="927"/>
      <c r="AX53" s="927"/>
      <c r="AY53" s="927"/>
      <c r="AZ53" s="927"/>
      <c r="BA53" s="927"/>
      <c r="BC53" s="927"/>
      <c r="BE53" s="927"/>
      <c r="BF53" s="927"/>
      <c r="BG53" s="927"/>
    </row>
    <row r="54" spans="18:59" x14ac:dyDescent="0.35">
      <c r="R54" s="927"/>
      <c r="S54" s="927"/>
      <c r="W54" s="927"/>
      <c r="X54" s="927"/>
      <c r="AE54" s="927"/>
      <c r="AF54" s="927"/>
      <c r="AV54" s="927"/>
      <c r="AW54" s="927"/>
      <c r="AX54" s="927"/>
      <c r="AY54" s="927"/>
      <c r="AZ54" s="927"/>
      <c r="BA54" s="927"/>
      <c r="BC54" s="927"/>
      <c r="BE54" s="927"/>
      <c r="BF54" s="927"/>
      <c r="BG54" s="927"/>
    </row>
    <row r="55" spans="18:59" x14ac:dyDescent="0.35">
      <c r="R55" s="927"/>
      <c r="S55" s="927"/>
      <c r="W55" s="927"/>
      <c r="X55" s="927"/>
      <c r="AE55" s="927"/>
      <c r="AF55" s="927"/>
      <c r="AV55" s="927"/>
      <c r="AW55" s="927"/>
      <c r="AX55" s="927"/>
      <c r="AY55" s="927"/>
      <c r="AZ55" s="927"/>
      <c r="BA55" s="927"/>
      <c r="BC55" s="927"/>
      <c r="BE55" s="927"/>
      <c r="BF55" s="927"/>
      <c r="BG55" s="927"/>
    </row>
    <row r="56" spans="18:59" x14ac:dyDescent="0.35">
      <c r="R56" s="927"/>
      <c r="S56" s="927"/>
      <c r="W56" s="927"/>
      <c r="X56" s="927"/>
      <c r="AE56" s="927"/>
      <c r="AF56" s="927"/>
      <c r="AV56" s="927"/>
      <c r="AW56" s="927"/>
      <c r="AX56" s="927"/>
      <c r="AY56" s="927"/>
      <c r="AZ56" s="927"/>
      <c r="BA56" s="927"/>
      <c r="BC56" s="927"/>
      <c r="BE56" s="927"/>
      <c r="BF56" s="927"/>
      <c r="BG56" s="927"/>
    </row>
    <row r="57" spans="18:59" x14ac:dyDescent="0.35">
      <c r="R57" s="927"/>
      <c r="S57" s="927"/>
      <c r="W57" s="927"/>
      <c r="X57" s="927"/>
      <c r="AE57" s="927"/>
      <c r="AF57" s="927"/>
      <c r="AV57" s="927"/>
      <c r="AW57" s="927"/>
      <c r="AX57" s="927"/>
      <c r="AY57" s="927"/>
      <c r="AZ57" s="927"/>
      <c r="BA57" s="927"/>
      <c r="BC57" s="927"/>
      <c r="BE57" s="927"/>
      <c r="BF57" s="927"/>
      <c r="BG57" s="927"/>
    </row>
    <row r="58" spans="18:59" x14ac:dyDescent="0.35">
      <c r="R58" s="927"/>
      <c r="S58" s="927"/>
      <c r="W58" s="927"/>
      <c r="X58" s="927"/>
      <c r="AE58" s="927"/>
      <c r="AF58" s="927"/>
      <c r="AV58" s="927"/>
      <c r="AW58" s="927"/>
      <c r="AX58" s="927"/>
      <c r="AY58" s="927"/>
      <c r="AZ58" s="927"/>
      <c r="BA58" s="927"/>
      <c r="BC58" s="927"/>
      <c r="BE58" s="927"/>
      <c r="BF58" s="927"/>
      <c r="BG58" s="927"/>
    </row>
    <row r="59" spans="18:59" x14ac:dyDescent="0.35">
      <c r="R59" s="927"/>
      <c r="S59" s="927"/>
      <c r="W59" s="927"/>
      <c r="X59" s="927"/>
      <c r="AE59" s="927"/>
      <c r="AF59" s="927"/>
      <c r="AV59" s="927"/>
      <c r="AW59" s="927"/>
      <c r="AX59" s="927"/>
      <c r="AY59" s="927"/>
      <c r="AZ59" s="927"/>
      <c r="BA59" s="927"/>
      <c r="BC59" s="927"/>
      <c r="BE59" s="927"/>
      <c r="BF59" s="927"/>
      <c r="BG59" s="927"/>
    </row>
    <row r="60" spans="18:59" x14ac:dyDescent="0.35">
      <c r="R60" s="927"/>
      <c r="S60" s="927"/>
      <c r="W60" s="927"/>
      <c r="X60" s="927"/>
      <c r="AE60" s="927"/>
      <c r="AF60" s="927"/>
      <c r="AV60" s="927"/>
      <c r="AW60" s="927"/>
      <c r="AX60" s="927"/>
      <c r="AY60" s="927"/>
      <c r="AZ60" s="927"/>
      <c r="BA60" s="927"/>
      <c r="BC60" s="927"/>
      <c r="BE60" s="927"/>
      <c r="BF60" s="927"/>
      <c r="BG60" s="927"/>
    </row>
    <row r="61" spans="18:59" x14ac:dyDescent="0.35">
      <c r="R61" s="927"/>
      <c r="S61" s="927"/>
      <c r="W61" s="927"/>
      <c r="X61" s="927"/>
      <c r="AE61" s="927"/>
      <c r="AF61" s="927"/>
      <c r="AV61" s="927"/>
      <c r="AW61" s="927"/>
      <c r="AX61" s="927"/>
      <c r="AY61" s="927"/>
      <c r="AZ61" s="927"/>
      <c r="BA61" s="927"/>
      <c r="BC61" s="927"/>
      <c r="BE61" s="927"/>
      <c r="BF61" s="927"/>
      <c r="BG61" s="927"/>
    </row>
    <row r="62" spans="18:59" x14ac:dyDescent="0.35">
      <c r="R62" s="927"/>
      <c r="S62" s="927"/>
      <c r="W62" s="927"/>
      <c r="X62" s="927"/>
      <c r="AE62" s="927"/>
      <c r="AF62" s="927"/>
      <c r="AV62" s="927"/>
      <c r="AW62" s="927"/>
      <c r="AX62" s="927"/>
      <c r="AY62" s="927"/>
      <c r="AZ62" s="927"/>
      <c r="BA62" s="927"/>
      <c r="BC62" s="927"/>
      <c r="BE62" s="927"/>
      <c r="BF62" s="927"/>
      <c r="BG62" s="927"/>
    </row>
    <row r="63" spans="18:59" x14ac:dyDescent="0.35">
      <c r="R63" s="927"/>
      <c r="S63" s="927"/>
      <c r="W63" s="927"/>
      <c r="X63" s="927"/>
      <c r="AE63" s="927"/>
      <c r="AF63" s="927"/>
      <c r="AV63" s="927"/>
      <c r="AW63" s="927"/>
      <c r="AX63" s="927"/>
      <c r="AY63" s="927"/>
      <c r="AZ63" s="927"/>
      <c r="BA63" s="927"/>
      <c r="BC63" s="927"/>
      <c r="BE63" s="927"/>
      <c r="BF63" s="927"/>
      <c r="BG63" s="927"/>
    </row>
    <row r="64" spans="18:59" x14ac:dyDescent="0.35">
      <c r="R64" s="927"/>
      <c r="S64" s="927"/>
      <c r="W64" s="927"/>
      <c r="X64" s="927"/>
      <c r="AE64" s="927"/>
      <c r="AF64" s="927"/>
      <c r="AV64" s="927"/>
      <c r="AW64" s="927"/>
      <c r="AX64" s="927"/>
      <c r="AY64" s="927"/>
      <c r="AZ64" s="927"/>
      <c r="BA64" s="927"/>
      <c r="BC64" s="927"/>
      <c r="BE64" s="927"/>
      <c r="BF64" s="927"/>
      <c r="BG64" s="927"/>
    </row>
    <row r="65" spans="18:59" x14ac:dyDescent="0.35">
      <c r="R65" s="927"/>
      <c r="S65" s="927"/>
      <c r="W65" s="927"/>
      <c r="X65" s="927"/>
      <c r="AE65" s="927"/>
      <c r="AF65" s="927"/>
      <c r="AV65" s="927"/>
      <c r="AW65" s="927"/>
      <c r="AX65" s="927"/>
      <c r="AY65" s="927"/>
      <c r="AZ65" s="927"/>
      <c r="BA65" s="927"/>
      <c r="BC65" s="927"/>
      <c r="BE65" s="927"/>
      <c r="BF65" s="927"/>
      <c r="BG65" s="927"/>
    </row>
    <row r="66" spans="18:59" x14ac:dyDescent="0.35">
      <c r="R66" s="927"/>
      <c r="S66" s="927"/>
      <c r="W66" s="927"/>
      <c r="X66" s="927"/>
      <c r="AE66" s="927"/>
      <c r="AF66" s="927"/>
      <c r="AV66" s="927"/>
      <c r="AW66" s="927"/>
      <c r="AX66" s="927"/>
      <c r="AY66" s="927"/>
      <c r="AZ66" s="927"/>
      <c r="BA66" s="927"/>
      <c r="BC66" s="927"/>
      <c r="BE66" s="927"/>
      <c r="BF66" s="927"/>
      <c r="BG66" s="927"/>
    </row>
    <row r="67" spans="18:59" x14ac:dyDescent="0.35">
      <c r="R67" s="927"/>
      <c r="S67" s="927"/>
      <c r="W67" s="927"/>
      <c r="X67" s="927"/>
      <c r="AE67" s="927"/>
      <c r="AF67" s="927"/>
      <c r="AV67" s="927"/>
      <c r="AW67" s="927"/>
      <c r="AX67" s="927"/>
      <c r="AY67" s="927"/>
      <c r="AZ67" s="927"/>
      <c r="BA67" s="927"/>
      <c r="BC67" s="927"/>
      <c r="BE67" s="927"/>
      <c r="BF67" s="927"/>
      <c r="BG67" s="927"/>
    </row>
    <row r="68" spans="18:59" x14ac:dyDescent="0.35">
      <c r="R68" s="927"/>
      <c r="S68" s="927"/>
      <c r="W68" s="927"/>
      <c r="X68" s="927"/>
      <c r="AE68" s="927"/>
      <c r="AF68" s="927"/>
      <c r="AV68" s="927"/>
      <c r="AW68" s="927"/>
      <c r="AX68" s="927"/>
      <c r="AY68" s="927"/>
      <c r="AZ68" s="927"/>
      <c r="BA68" s="927"/>
      <c r="BC68" s="927"/>
      <c r="BE68" s="927"/>
      <c r="BF68" s="927"/>
      <c r="BG68" s="927"/>
    </row>
    <row r="69" spans="18:59" x14ac:dyDescent="0.35">
      <c r="R69" s="927"/>
      <c r="S69" s="927"/>
      <c r="W69" s="927"/>
      <c r="X69" s="927"/>
      <c r="AE69" s="927"/>
      <c r="AF69" s="927"/>
      <c r="AV69" s="927"/>
      <c r="AW69" s="927"/>
      <c r="AX69" s="927"/>
      <c r="AY69" s="927"/>
      <c r="AZ69" s="927"/>
      <c r="BA69" s="927"/>
      <c r="BC69" s="927"/>
      <c r="BE69" s="927"/>
      <c r="BF69" s="927"/>
      <c r="BG69" s="927"/>
    </row>
    <row r="70" spans="18:59" x14ac:dyDescent="0.35">
      <c r="R70" s="927"/>
      <c r="S70" s="927"/>
      <c r="W70" s="927"/>
      <c r="X70" s="927"/>
      <c r="AE70" s="927"/>
      <c r="AF70" s="927"/>
      <c r="AV70" s="927"/>
      <c r="AW70" s="927"/>
      <c r="AX70" s="927"/>
      <c r="AY70" s="927"/>
      <c r="AZ70" s="927"/>
      <c r="BA70" s="927"/>
      <c r="BC70" s="927"/>
      <c r="BE70" s="927"/>
      <c r="BF70" s="927"/>
      <c r="BG70" s="927"/>
    </row>
    <row r="71" spans="18:59" x14ac:dyDescent="0.35">
      <c r="R71" s="927"/>
      <c r="S71" s="927"/>
      <c r="W71" s="927"/>
      <c r="X71" s="927"/>
      <c r="AE71" s="927"/>
      <c r="AF71" s="927"/>
      <c r="AV71" s="927"/>
      <c r="AW71" s="927"/>
      <c r="AX71" s="927"/>
      <c r="AY71" s="927"/>
      <c r="AZ71" s="927"/>
      <c r="BA71" s="927"/>
      <c r="BC71" s="927"/>
      <c r="BE71" s="927"/>
      <c r="BF71" s="927"/>
      <c r="BG71" s="927"/>
    </row>
    <row r="72" spans="18:59" x14ac:dyDescent="0.35">
      <c r="R72" s="927"/>
      <c r="S72" s="927"/>
      <c r="W72" s="927"/>
      <c r="X72" s="927"/>
      <c r="AE72" s="927"/>
      <c r="AF72" s="927"/>
      <c r="AV72" s="927"/>
      <c r="AW72" s="927"/>
      <c r="AX72" s="927"/>
      <c r="AY72" s="927"/>
      <c r="AZ72" s="927"/>
      <c r="BA72" s="927"/>
      <c r="BC72" s="927"/>
      <c r="BE72" s="927"/>
      <c r="BF72" s="927"/>
      <c r="BG72" s="927"/>
    </row>
    <row r="73" spans="18:59" x14ac:dyDescent="0.35">
      <c r="R73" s="927"/>
      <c r="S73" s="927"/>
      <c r="W73" s="927"/>
      <c r="X73" s="927"/>
      <c r="AE73" s="927"/>
      <c r="AF73" s="927"/>
      <c r="AV73" s="927"/>
      <c r="AW73" s="927"/>
      <c r="AX73" s="927"/>
      <c r="AY73" s="927"/>
      <c r="AZ73" s="927"/>
      <c r="BA73" s="927"/>
      <c r="BC73" s="927"/>
      <c r="BE73" s="927"/>
      <c r="BF73" s="927"/>
      <c r="BG73" s="927"/>
    </row>
    <row r="74" spans="18:59" x14ac:dyDescent="0.35">
      <c r="R74" s="927"/>
      <c r="S74" s="927"/>
      <c r="W74" s="927"/>
      <c r="X74" s="927"/>
      <c r="AE74" s="927"/>
      <c r="AF74" s="927"/>
      <c r="AV74" s="927"/>
      <c r="AW74" s="927"/>
      <c r="AX74" s="927"/>
      <c r="AY74" s="927"/>
      <c r="AZ74" s="927"/>
      <c r="BA74" s="927"/>
      <c r="BC74" s="927"/>
      <c r="BE74" s="927"/>
      <c r="BF74" s="927"/>
      <c r="BG74" s="927"/>
    </row>
    <row r="75" spans="18:59" x14ac:dyDescent="0.35">
      <c r="R75" s="927"/>
      <c r="S75" s="927"/>
      <c r="W75" s="927"/>
      <c r="X75" s="927"/>
      <c r="AE75" s="927"/>
      <c r="AF75" s="927"/>
      <c r="AV75" s="927"/>
      <c r="AW75" s="927"/>
      <c r="AX75" s="927"/>
      <c r="AY75" s="927"/>
      <c r="AZ75" s="927"/>
      <c r="BA75" s="927"/>
      <c r="BC75" s="927"/>
      <c r="BE75" s="927"/>
      <c r="BF75" s="927"/>
      <c r="BG75" s="927"/>
    </row>
    <row r="76" spans="18:59" x14ac:dyDescent="0.35">
      <c r="R76" s="927"/>
      <c r="S76" s="927"/>
      <c r="W76" s="927"/>
      <c r="X76" s="927"/>
      <c r="AE76" s="927"/>
      <c r="AF76" s="927"/>
      <c r="AV76" s="927"/>
      <c r="AW76" s="927"/>
      <c r="AX76" s="927"/>
      <c r="AY76" s="927"/>
      <c r="AZ76" s="927"/>
      <c r="BA76" s="927"/>
      <c r="BC76" s="927"/>
      <c r="BE76" s="927"/>
      <c r="BF76" s="927"/>
      <c r="BG76" s="927"/>
    </row>
    <row r="77" spans="18:59" x14ac:dyDescent="0.35">
      <c r="R77" s="927"/>
      <c r="S77" s="927"/>
      <c r="W77" s="927"/>
      <c r="X77" s="927"/>
      <c r="AE77" s="927"/>
      <c r="AF77" s="927"/>
      <c r="AV77" s="927"/>
      <c r="AW77" s="927"/>
      <c r="AX77" s="927"/>
      <c r="AY77" s="927"/>
      <c r="AZ77" s="927"/>
      <c r="BA77" s="927"/>
      <c r="BC77" s="927"/>
      <c r="BE77" s="927"/>
      <c r="BF77" s="927"/>
      <c r="BG77" s="927"/>
    </row>
    <row r="78" spans="18:59" x14ac:dyDescent="0.35">
      <c r="R78" s="927"/>
      <c r="S78" s="927"/>
      <c r="W78" s="927"/>
      <c r="X78" s="927"/>
      <c r="AE78" s="927"/>
      <c r="AF78" s="927"/>
      <c r="AV78" s="927"/>
      <c r="AW78" s="927"/>
      <c r="AX78" s="927"/>
      <c r="AY78" s="927"/>
      <c r="AZ78" s="927"/>
      <c r="BA78" s="927"/>
      <c r="BC78" s="927"/>
      <c r="BE78" s="927"/>
      <c r="BF78" s="927"/>
      <c r="BG78" s="927"/>
    </row>
    <row r="79" spans="18:59" x14ac:dyDescent="0.35">
      <c r="R79" s="927"/>
      <c r="S79" s="927"/>
      <c r="W79" s="927"/>
      <c r="X79" s="927"/>
      <c r="AE79" s="927"/>
      <c r="AF79" s="927"/>
      <c r="AV79" s="927"/>
      <c r="AW79" s="927"/>
      <c r="AX79" s="927"/>
      <c r="AY79" s="927"/>
      <c r="AZ79" s="927"/>
      <c r="BA79" s="927"/>
      <c r="BC79" s="927"/>
      <c r="BE79" s="927"/>
      <c r="BF79" s="927"/>
      <c r="BG79" s="927"/>
    </row>
    <row r="80" spans="18:59" x14ac:dyDescent="0.35">
      <c r="R80" s="927"/>
      <c r="S80" s="927"/>
      <c r="W80" s="927"/>
      <c r="X80" s="927"/>
      <c r="AE80" s="927"/>
      <c r="AF80" s="927"/>
      <c r="AV80" s="927"/>
      <c r="AW80" s="927"/>
      <c r="AX80" s="927"/>
      <c r="AY80" s="927"/>
      <c r="AZ80" s="927"/>
      <c r="BA80" s="927"/>
      <c r="BC80" s="927"/>
      <c r="BE80" s="927"/>
      <c r="BF80" s="927"/>
      <c r="BG80" s="927"/>
    </row>
    <row r="81" spans="18:59" x14ac:dyDescent="0.35">
      <c r="R81" s="927"/>
      <c r="S81" s="927"/>
      <c r="W81" s="927"/>
      <c r="X81" s="927"/>
      <c r="AE81" s="927"/>
      <c r="AF81" s="927"/>
      <c r="AV81" s="927"/>
      <c r="AW81" s="927"/>
      <c r="AX81" s="927"/>
      <c r="AY81" s="927"/>
      <c r="AZ81" s="927"/>
      <c r="BA81" s="927"/>
      <c r="BC81" s="927"/>
      <c r="BE81" s="927"/>
      <c r="BF81" s="927"/>
      <c r="BG81" s="927"/>
    </row>
    <row r="82" spans="18:59" x14ac:dyDescent="0.35">
      <c r="R82" s="927"/>
      <c r="S82" s="927"/>
      <c r="W82" s="927"/>
      <c r="X82" s="927"/>
      <c r="AE82" s="927"/>
      <c r="AF82" s="927"/>
      <c r="AV82" s="927"/>
      <c r="AW82" s="927"/>
      <c r="AX82" s="927"/>
      <c r="AY82" s="927"/>
      <c r="AZ82" s="927"/>
      <c r="BA82" s="927"/>
      <c r="BC82" s="927"/>
      <c r="BE82" s="927"/>
      <c r="BF82" s="927"/>
      <c r="BG82" s="927"/>
    </row>
    <row r="83" spans="18:59" x14ac:dyDescent="0.35">
      <c r="R83" s="927"/>
      <c r="S83" s="927"/>
      <c r="W83" s="927"/>
      <c r="X83" s="927"/>
      <c r="AE83" s="927"/>
      <c r="AF83" s="927"/>
      <c r="AV83" s="927"/>
      <c r="AW83" s="927"/>
      <c r="AX83" s="927"/>
      <c r="AY83" s="927"/>
      <c r="AZ83" s="927"/>
      <c r="BA83" s="927"/>
      <c r="BC83" s="927"/>
      <c r="BE83" s="927"/>
      <c r="BF83" s="927"/>
      <c r="BG83" s="927"/>
    </row>
    <row r="84" spans="18:59" x14ac:dyDescent="0.35">
      <c r="R84" s="927"/>
      <c r="S84" s="927"/>
      <c r="W84" s="927"/>
      <c r="X84" s="927"/>
      <c r="AE84" s="927"/>
      <c r="AF84" s="927"/>
      <c r="AV84" s="927"/>
      <c r="AW84" s="927"/>
      <c r="AX84" s="927"/>
      <c r="AY84" s="927"/>
      <c r="AZ84" s="927"/>
      <c r="BA84" s="927"/>
      <c r="BC84" s="927"/>
      <c r="BE84" s="927"/>
      <c r="BF84" s="927"/>
      <c r="BG84" s="927"/>
    </row>
    <row r="85" spans="18:59" x14ac:dyDescent="0.35">
      <c r="R85" s="927"/>
      <c r="S85" s="927"/>
      <c r="W85" s="927"/>
      <c r="X85" s="927"/>
      <c r="AE85" s="927"/>
      <c r="AF85" s="927"/>
      <c r="AV85" s="927"/>
      <c r="AW85" s="927"/>
      <c r="AX85" s="927"/>
      <c r="AY85" s="927"/>
      <c r="AZ85" s="927"/>
      <c r="BA85" s="927"/>
      <c r="BC85" s="927"/>
      <c r="BE85" s="927"/>
      <c r="BF85" s="927"/>
      <c r="BG85" s="927"/>
    </row>
    <row r="86" spans="18:59" x14ac:dyDescent="0.35">
      <c r="R86" s="927"/>
      <c r="S86" s="927"/>
      <c r="W86" s="927"/>
      <c r="X86" s="927"/>
      <c r="AE86" s="927"/>
      <c r="AF86" s="927"/>
      <c r="AV86" s="927"/>
      <c r="AW86" s="927"/>
      <c r="AX86" s="927"/>
      <c r="AY86" s="927"/>
      <c r="AZ86" s="927"/>
      <c r="BA86" s="927"/>
      <c r="BC86" s="927"/>
      <c r="BE86" s="927"/>
      <c r="BF86" s="927"/>
      <c r="BG86" s="927"/>
    </row>
    <row r="87" spans="18:59" x14ac:dyDescent="0.35">
      <c r="R87" s="927"/>
      <c r="S87" s="927"/>
      <c r="W87" s="927"/>
      <c r="X87" s="927"/>
      <c r="AE87" s="927"/>
      <c r="AF87" s="927"/>
      <c r="AV87" s="927"/>
      <c r="AW87" s="927"/>
      <c r="AX87" s="927"/>
      <c r="AY87" s="927"/>
      <c r="AZ87" s="927"/>
      <c r="BA87" s="927"/>
      <c r="BC87" s="927"/>
      <c r="BE87" s="927"/>
      <c r="BF87" s="927"/>
      <c r="BG87" s="927"/>
    </row>
    <row r="88" spans="18:59" x14ac:dyDescent="0.35">
      <c r="R88" s="927"/>
      <c r="S88" s="927"/>
      <c r="W88" s="927"/>
      <c r="X88" s="927"/>
      <c r="AE88" s="927"/>
      <c r="AF88" s="927"/>
      <c r="AV88" s="927"/>
      <c r="AW88" s="927"/>
      <c r="AX88" s="927"/>
      <c r="AY88" s="927"/>
      <c r="AZ88" s="927"/>
      <c r="BA88" s="927"/>
      <c r="BC88" s="927"/>
      <c r="BE88" s="927"/>
      <c r="BF88" s="927"/>
      <c r="BG88" s="927"/>
    </row>
    <row r="89" spans="18:59" x14ac:dyDescent="0.35">
      <c r="R89" s="927"/>
      <c r="S89" s="927"/>
      <c r="W89" s="927"/>
      <c r="X89" s="927"/>
      <c r="AE89" s="927"/>
      <c r="AF89" s="927"/>
      <c r="AV89" s="927"/>
      <c r="AW89" s="927"/>
      <c r="AX89" s="927"/>
      <c r="AY89" s="927"/>
      <c r="AZ89" s="927"/>
      <c r="BA89" s="927"/>
      <c r="BC89" s="927"/>
      <c r="BE89" s="927"/>
      <c r="BF89" s="927"/>
      <c r="BG89" s="927"/>
    </row>
    <row r="90" spans="18:59" x14ac:dyDescent="0.35">
      <c r="R90" s="927"/>
      <c r="S90" s="927"/>
      <c r="W90" s="927"/>
      <c r="X90" s="927"/>
      <c r="AE90" s="927"/>
      <c r="AF90" s="927"/>
      <c r="AV90" s="927"/>
      <c r="AW90" s="927"/>
      <c r="AX90" s="927"/>
      <c r="AY90" s="927"/>
      <c r="AZ90" s="927"/>
      <c r="BA90" s="927"/>
      <c r="BC90" s="927"/>
      <c r="BE90" s="927"/>
      <c r="BF90" s="927"/>
      <c r="BG90" s="927"/>
    </row>
    <row r="91" spans="18:59" x14ac:dyDescent="0.35">
      <c r="R91" s="927"/>
      <c r="S91" s="927"/>
      <c r="W91" s="927"/>
      <c r="X91" s="927"/>
      <c r="AE91" s="927"/>
      <c r="AF91" s="927"/>
      <c r="AV91" s="927"/>
      <c r="AW91" s="927"/>
      <c r="AX91" s="927"/>
      <c r="AY91" s="927"/>
      <c r="AZ91" s="927"/>
      <c r="BA91" s="927"/>
      <c r="BC91" s="927"/>
      <c r="BE91" s="927"/>
      <c r="BF91" s="927"/>
      <c r="BG91" s="927"/>
    </row>
    <row r="92" spans="18:59" x14ac:dyDescent="0.35">
      <c r="R92" s="927"/>
      <c r="S92" s="927"/>
      <c r="W92" s="927"/>
      <c r="X92" s="927"/>
      <c r="AE92" s="927"/>
      <c r="AF92" s="927"/>
      <c r="AV92" s="927"/>
      <c r="AW92" s="927"/>
      <c r="AX92" s="927"/>
      <c r="AY92" s="927"/>
      <c r="AZ92" s="927"/>
      <c r="BA92" s="927"/>
      <c r="BC92" s="927"/>
      <c r="BE92" s="927"/>
      <c r="BF92" s="927"/>
      <c r="BG92" s="927"/>
    </row>
    <row r="93" spans="18:59" x14ac:dyDescent="0.35">
      <c r="R93" s="927"/>
      <c r="S93" s="927"/>
      <c r="W93" s="927"/>
      <c r="X93" s="927"/>
      <c r="AE93" s="927"/>
      <c r="AF93" s="927"/>
      <c r="AV93" s="927"/>
      <c r="AW93" s="927"/>
      <c r="AX93" s="927"/>
      <c r="AY93" s="927"/>
      <c r="AZ93" s="927"/>
      <c r="BA93" s="927"/>
      <c r="BC93" s="927"/>
      <c r="BE93" s="927"/>
      <c r="BF93" s="927"/>
      <c r="BG93" s="927"/>
    </row>
    <row r="94" spans="18:59" x14ac:dyDescent="0.35">
      <c r="R94" s="927"/>
      <c r="S94" s="927"/>
      <c r="W94" s="927"/>
      <c r="X94" s="927"/>
      <c r="AE94" s="927"/>
      <c r="AF94" s="927"/>
      <c r="AV94" s="927"/>
      <c r="AW94" s="927"/>
      <c r="AX94" s="927"/>
      <c r="AY94" s="927"/>
      <c r="AZ94" s="927"/>
      <c r="BA94" s="927"/>
      <c r="BC94" s="927"/>
      <c r="BE94" s="927"/>
      <c r="BF94" s="927"/>
      <c r="BG94" s="927"/>
    </row>
    <row r="95" spans="18:59" x14ac:dyDescent="0.35">
      <c r="R95" s="927"/>
      <c r="S95" s="927"/>
      <c r="W95" s="927"/>
      <c r="X95" s="927"/>
      <c r="AE95" s="927"/>
      <c r="AF95" s="927"/>
      <c r="AV95" s="927"/>
      <c r="AW95" s="927"/>
      <c r="AX95" s="927"/>
      <c r="AY95" s="927"/>
      <c r="AZ95" s="927"/>
      <c r="BA95" s="927"/>
      <c r="BC95" s="927"/>
      <c r="BE95" s="927"/>
      <c r="BF95" s="927"/>
      <c r="BG95" s="927"/>
    </row>
    <row r="96" spans="18:59" x14ac:dyDescent="0.35">
      <c r="R96" s="927"/>
      <c r="S96" s="927"/>
      <c r="W96" s="927"/>
      <c r="X96" s="927"/>
      <c r="AE96" s="927"/>
      <c r="AF96" s="927"/>
      <c r="AV96" s="927"/>
      <c r="AW96" s="927"/>
      <c r="AX96" s="927"/>
      <c r="AY96" s="927"/>
      <c r="AZ96" s="927"/>
      <c r="BA96" s="927"/>
      <c r="BC96" s="927"/>
      <c r="BE96" s="927"/>
      <c r="BF96" s="927"/>
      <c r="BG96" s="927"/>
    </row>
    <row r="97" spans="18:59" x14ac:dyDescent="0.35">
      <c r="R97" s="927"/>
      <c r="S97" s="927"/>
      <c r="W97" s="927"/>
      <c r="X97" s="927"/>
      <c r="AE97" s="927"/>
      <c r="AF97" s="927"/>
      <c r="AV97" s="927"/>
      <c r="AW97" s="927"/>
      <c r="AX97" s="927"/>
      <c r="AY97" s="927"/>
      <c r="AZ97" s="927"/>
      <c r="BA97" s="927"/>
      <c r="BC97" s="927"/>
      <c r="BE97" s="927"/>
      <c r="BF97" s="927"/>
      <c r="BG97" s="927"/>
    </row>
    <row r="98" spans="18:59" x14ac:dyDescent="0.35">
      <c r="R98" s="927"/>
      <c r="S98" s="927"/>
      <c r="W98" s="927"/>
      <c r="X98" s="927"/>
      <c r="AE98" s="927"/>
      <c r="AF98" s="927"/>
      <c r="AV98" s="927"/>
      <c r="AW98" s="927"/>
      <c r="AX98" s="927"/>
      <c r="AY98" s="927"/>
      <c r="AZ98" s="927"/>
      <c r="BA98" s="927"/>
      <c r="BC98" s="927"/>
      <c r="BE98" s="927"/>
      <c r="BF98" s="927"/>
      <c r="BG98" s="927"/>
    </row>
    <row r="99" spans="18:59" x14ac:dyDescent="0.35">
      <c r="R99" s="927"/>
      <c r="S99" s="927"/>
      <c r="W99" s="927"/>
      <c r="X99" s="927"/>
      <c r="AE99" s="927"/>
      <c r="AF99" s="927"/>
      <c r="AV99" s="927"/>
      <c r="AW99" s="927"/>
      <c r="AX99" s="927"/>
      <c r="AY99" s="927"/>
      <c r="AZ99" s="927"/>
      <c r="BA99" s="927"/>
      <c r="BC99" s="927"/>
      <c r="BE99" s="927"/>
      <c r="BF99" s="927"/>
      <c r="BG99" s="927"/>
    </row>
    <row r="100" spans="18:59" x14ac:dyDescent="0.35">
      <c r="R100" s="927"/>
      <c r="S100" s="927"/>
      <c r="W100" s="927"/>
      <c r="X100" s="927"/>
      <c r="AE100" s="927"/>
      <c r="AF100" s="927"/>
      <c r="AV100" s="927"/>
      <c r="AW100" s="927"/>
      <c r="AX100" s="927"/>
      <c r="AY100" s="927"/>
      <c r="AZ100" s="927"/>
      <c r="BA100" s="927"/>
      <c r="BC100" s="927"/>
      <c r="BE100" s="927"/>
      <c r="BF100" s="927"/>
      <c r="BG100" s="927"/>
    </row>
    <row r="101" spans="18:59" x14ac:dyDescent="0.35">
      <c r="R101" s="927"/>
      <c r="S101" s="927"/>
      <c r="W101" s="927"/>
      <c r="X101" s="927"/>
      <c r="AE101" s="927"/>
      <c r="AF101" s="927"/>
      <c r="AV101" s="927"/>
      <c r="AW101" s="927"/>
      <c r="AX101" s="927"/>
      <c r="AY101" s="927"/>
      <c r="AZ101" s="927"/>
      <c r="BA101" s="927"/>
      <c r="BC101" s="927"/>
      <c r="BE101" s="927"/>
      <c r="BF101" s="927"/>
      <c r="BG101" s="927"/>
    </row>
    <row r="102" spans="18:59" x14ac:dyDescent="0.35">
      <c r="R102" s="927"/>
      <c r="S102" s="927"/>
      <c r="W102" s="927"/>
      <c r="X102" s="927"/>
      <c r="AE102" s="927"/>
      <c r="AF102" s="927"/>
      <c r="AV102" s="927"/>
      <c r="AW102" s="927"/>
      <c r="AX102" s="927"/>
      <c r="AY102" s="927"/>
      <c r="AZ102" s="927"/>
      <c r="BA102" s="927"/>
      <c r="BC102" s="927"/>
      <c r="BE102" s="927"/>
      <c r="BF102" s="927"/>
      <c r="BG102" s="927"/>
    </row>
    <row r="103" spans="18:59" x14ac:dyDescent="0.35">
      <c r="R103" s="927"/>
      <c r="S103" s="927"/>
      <c r="W103" s="927"/>
      <c r="X103" s="927"/>
      <c r="AE103" s="927"/>
      <c r="AF103" s="927"/>
      <c r="AV103" s="927"/>
      <c r="AW103" s="927"/>
      <c r="AX103" s="927"/>
      <c r="AY103" s="927"/>
      <c r="AZ103" s="927"/>
      <c r="BA103" s="927"/>
      <c r="BC103" s="927"/>
      <c r="BE103" s="927"/>
      <c r="BF103" s="927"/>
      <c r="BG103" s="927"/>
    </row>
    <row r="104" spans="18:59" x14ac:dyDescent="0.35">
      <c r="R104" s="927"/>
      <c r="S104" s="927"/>
      <c r="W104" s="927"/>
      <c r="X104" s="927"/>
      <c r="AE104" s="927"/>
      <c r="AF104" s="927"/>
      <c r="AV104" s="927"/>
      <c r="AW104" s="927"/>
      <c r="AX104" s="927"/>
      <c r="AY104" s="927"/>
      <c r="AZ104" s="927"/>
      <c r="BA104" s="927"/>
      <c r="BC104" s="927"/>
      <c r="BE104" s="927"/>
      <c r="BF104" s="927"/>
      <c r="BG104" s="927"/>
    </row>
    <row r="105" spans="18:59" x14ac:dyDescent="0.35">
      <c r="R105" s="927"/>
      <c r="S105" s="927"/>
      <c r="W105" s="927"/>
      <c r="X105" s="927"/>
      <c r="AE105" s="927"/>
      <c r="AF105" s="927"/>
      <c r="AV105" s="927"/>
      <c r="AW105" s="927"/>
      <c r="AX105" s="927"/>
      <c r="AY105" s="927"/>
      <c r="AZ105" s="927"/>
      <c r="BA105" s="927"/>
      <c r="BC105" s="927"/>
      <c r="BE105" s="927"/>
      <c r="BF105" s="927"/>
      <c r="BG105" s="927"/>
    </row>
    <row r="106" spans="18:59" x14ac:dyDescent="0.35">
      <c r="R106" s="927"/>
      <c r="S106" s="927"/>
      <c r="W106" s="927"/>
      <c r="X106" s="927"/>
      <c r="AE106" s="927"/>
      <c r="AF106" s="927"/>
      <c r="AV106" s="927"/>
      <c r="AW106" s="927"/>
      <c r="AX106" s="927"/>
      <c r="AY106" s="927"/>
      <c r="AZ106" s="927"/>
      <c r="BA106" s="927"/>
      <c r="BC106" s="927"/>
      <c r="BE106" s="927"/>
      <c r="BF106" s="927"/>
      <c r="BG106" s="927"/>
    </row>
    <row r="107" spans="18:59" x14ac:dyDescent="0.35">
      <c r="R107" s="927"/>
      <c r="S107" s="927"/>
      <c r="W107" s="927"/>
      <c r="X107" s="927"/>
      <c r="AE107" s="927"/>
      <c r="AF107" s="927"/>
      <c r="AV107" s="927"/>
      <c r="AW107" s="927"/>
      <c r="AX107" s="927"/>
      <c r="AY107" s="927"/>
      <c r="AZ107" s="927"/>
      <c r="BA107" s="927"/>
      <c r="BC107" s="927"/>
      <c r="BE107" s="927"/>
      <c r="BF107" s="927"/>
      <c r="BG107" s="927"/>
    </row>
    <row r="108" spans="18:59" x14ac:dyDescent="0.35">
      <c r="R108" s="927"/>
      <c r="S108" s="927"/>
      <c r="W108" s="927"/>
      <c r="X108" s="927"/>
      <c r="AE108" s="927"/>
      <c r="AF108" s="927"/>
      <c r="AV108" s="927"/>
      <c r="AW108" s="927"/>
      <c r="AX108" s="927"/>
      <c r="AY108" s="927"/>
      <c r="AZ108" s="927"/>
      <c r="BA108" s="927"/>
      <c r="BC108" s="927"/>
      <c r="BE108" s="927"/>
      <c r="BF108" s="927"/>
      <c r="BG108" s="927"/>
    </row>
    <row r="109" spans="18:59" x14ac:dyDescent="0.35">
      <c r="R109" s="927"/>
      <c r="S109" s="927"/>
      <c r="W109" s="927"/>
      <c r="X109" s="927"/>
      <c r="AE109" s="927"/>
      <c r="AF109" s="927"/>
      <c r="AV109" s="927"/>
      <c r="AW109" s="927"/>
      <c r="AX109" s="927"/>
      <c r="AY109" s="927"/>
      <c r="AZ109" s="927"/>
      <c r="BA109" s="927"/>
      <c r="BC109" s="927"/>
      <c r="BE109" s="927"/>
      <c r="BF109" s="927"/>
      <c r="BG109" s="927"/>
    </row>
    <row r="110" spans="18:59" x14ac:dyDescent="0.35">
      <c r="R110" s="927"/>
      <c r="S110" s="927"/>
      <c r="W110" s="927"/>
      <c r="X110" s="927"/>
      <c r="AE110" s="927"/>
      <c r="AF110" s="927"/>
      <c r="AV110" s="927"/>
      <c r="AW110" s="927"/>
      <c r="AX110" s="927"/>
      <c r="AY110" s="927"/>
      <c r="AZ110" s="927"/>
      <c r="BA110" s="927"/>
      <c r="BC110" s="927"/>
      <c r="BE110" s="927"/>
      <c r="BF110" s="927"/>
      <c r="BG110" s="927"/>
    </row>
    <row r="111" spans="18:59" x14ac:dyDescent="0.35">
      <c r="R111" s="927"/>
      <c r="S111" s="927"/>
      <c r="W111" s="927"/>
      <c r="X111" s="927"/>
      <c r="AE111" s="927"/>
      <c r="AF111" s="927"/>
      <c r="AV111" s="927"/>
      <c r="AW111" s="927"/>
      <c r="AX111" s="927"/>
      <c r="AY111" s="927"/>
      <c r="AZ111" s="927"/>
      <c r="BA111" s="927"/>
      <c r="BC111" s="927"/>
      <c r="BE111" s="927"/>
      <c r="BF111" s="927"/>
      <c r="BG111" s="927"/>
    </row>
    <row r="112" spans="18:59" x14ac:dyDescent="0.35">
      <c r="R112" s="927"/>
      <c r="S112" s="927"/>
      <c r="W112" s="927"/>
      <c r="X112" s="927"/>
      <c r="AE112" s="927"/>
      <c r="AF112" s="927"/>
      <c r="AV112" s="927"/>
      <c r="AW112" s="927"/>
      <c r="AX112" s="927"/>
      <c r="AY112" s="927"/>
      <c r="AZ112" s="927"/>
      <c r="BA112" s="927"/>
      <c r="BC112" s="927"/>
      <c r="BE112" s="927"/>
      <c r="BF112" s="927"/>
      <c r="BG112" s="927"/>
    </row>
    <row r="113" spans="18:59" x14ac:dyDescent="0.35">
      <c r="R113" s="927"/>
      <c r="S113" s="927"/>
      <c r="W113" s="927"/>
      <c r="X113" s="927"/>
      <c r="AE113" s="927"/>
      <c r="AF113" s="927"/>
      <c r="AV113" s="927"/>
      <c r="AW113" s="927"/>
      <c r="AX113" s="927"/>
      <c r="AY113" s="927"/>
      <c r="AZ113" s="927"/>
      <c r="BA113" s="927"/>
      <c r="BC113" s="927"/>
      <c r="BE113" s="927"/>
      <c r="BF113" s="927"/>
      <c r="BG113" s="927"/>
    </row>
    <row r="114" spans="18:59" x14ac:dyDescent="0.35">
      <c r="R114" s="927"/>
      <c r="S114" s="927"/>
      <c r="W114" s="927"/>
      <c r="X114" s="927"/>
      <c r="AE114" s="927"/>
      <c r="AF114" s="927"/>
      <c r="AV114" s="927"/>
      <c r="AW114" s="927"/>
      <c r="AX114" s="927"/>
      <c r="AY114" s="927"/>
      <c r="AZ114" s="927"/>
      <c r="BA114" s="927"/>
      <c r="BC114" s="927"/>
      <c r="BE114" s="927"/>
      <c r="BF114" s="927"/>
      <c r="BG114" s="927"/>
    </row>
    <row r="115" spans="18:59" x14ac:dyDescent="0.35">
      <c r="R115" s="927"/>
      <c r="S115" s="927"/>
      <c r="W115" s="927"/>
      <c r="X115" s="927"/>
      <c r="AE115" s="927"/>
      <c r="AF115" s="927"/>
      <c r="AV115" s="927"/>
      <c r="AW115" s="927"/>
      <c r="AX115" s="927"/>
      <c r="AY115" s="927"/>
      <c r="AZ115" s="927"/>
      <c r="BA115" s="927"/>
      <c r="BC115" s="927"/>
      <c r="BE115" s="927"/>
      <c r="BF115" s="927"/>
      <c r="BG115" s="927"/>
    </row>
    <row r="116" spans="18:59" x14ac:dyDescent="0.35">
      <c r="R116" s="927"/>
      <c r="S116" s="927"/>
      <c r="W116" s="927"/>
      <c r="X116" s="927"/>
      <c r="AE116" s="927"/>
      <c r="AF116" s="927"/>
      <c r="AV116" s="927"/>
      <c r="AW116" s="927"/>
      <c r="AX116" s="927"/>
      <c r="AY116" s="927"/>
      <c r="AZ116" s="927"/>
      <c r="BA116" s="927"/>
      <c r="BC116" s="927"/>
      <c r="BE116" s="927"/>
      <c r="BF116" s="927"/>
      <c r="BG116" s="927"/>
    </row>
    <row r="117" spans="18:59" x14ac:dyDescent="0.35">
      <c r="R117" s="927"/>
      <c r="S117" s="927"/>
      <c r="W117" s="927"/>
      <c r="X117" s="927"/>
      <c r="AE117" s="927"/>
      <c r="AF117" s="927"/>
      <c r="AV117" s="927"/>
      <c r="AW117" s="927"/>
      <c r="AX117" s="927"/>
      <c r="AY117" s="927"/>
      <c r="AZ117" s="927"/>
      <c r="BA117" s="927"/>
      <c r="BC117" s="927"/>
      <c r="BE117" s="927"/>
      <c r="BF117" s="927"/>
      <c r="BG117" s="927"/>
    </row>
    <row r="118" spans="18:59" x14ac:dyDescent="0.35">
      <c r="R118" s="927"/>
      <c r="S118" s="927"/>
      <c r="W118" s="927"/>
      <c r="X118" s="927"/>
      <c r="AE118" s="927"/>
      <c r="AF118" s="927"/>
      <c r="AV118" s="927"/>
      <c r="AW118" s="927"/>
      <c r="AX118" s="927"/>
      <c r="AY118" s="927"/>
      <c r="AZ118" s="927"/>
      <c r="BA118" s="927"/>
      <c r="BC118" s="927"/>
      <c r="BE118" s="927"/>
      <c r="BF118" s="927"/>
      <c r="BG118" s="927"/>
    </row>
    <row r="119" spans="18:59" x14ac:dyDescent="0.35">
      <c r="R119" s="927"/>
      <c r="S119" s="927"/>
      <c r="W119" s="927"/>
      <c r="X119" s="927"/>
      <c r="AE119" s="927"/>
      <c r="AF119" s="927"/>
      <c r="AV119" s="927"/>
      <c r="AW119" s="927"/>
      <c r="AX119" s="927"/>
      <c r="AY119" s="927"/>
      <c r="AZ119" s="927"/>
      <c r="BA119" s="927"/>
      <c r="BC119" s="927"/>
      <c r="BE119" s="927"/>
      <c r="BF119" s="927"/>
      <c r="BG119" s="927"/>
    </row>
    <row r="120" spans="18:59" x14ac:dyDescent="0.35">
      <c r="R120" s="927"/>
      <c r="S120" s="927"/>
      <c r="W120" s="927"/>
      <c r="X120" s="927"/>
      <c r="AE120" s="927"/>
      <c r="AF120" s="927"/>
      <c r="AV120" s="927"/>
      <c r="AW120" s="927"/>
      <c r="AX120" s="927"/>
      <c r="AY120" s="927"/>
      <c r="AZ120" s="927"/>
      <c r="BA120" s="927"/>
      <c r="BC120" s="927"/>
      <c r="BE120" s="927"/>
      <c r="BF120" s="927"/>
      <c r="BG120" s="927"/>
    </row>
    <row r="121" spans="18:59" x14ac:dyDescent="0.35">
      <c r="R121" s="927"/>
      <c r="S121" s="927"/>
      <c r="W121" s="927"/>
      <c r="X121" s="927"/>
      <c r="AE121" s="927"/>
      <c r="AF121" s="927"/>
      <c r="AV121" s="927"/>
      <c r="AW121" s="927"/>
      <c r="AX121" s="927"/>
      <c r="AY121" s="927"/>
      <c r="AZ121" s="927"/>
      <c r="BA121" s="927"/>
      <c r="BC121" s="927"/>
      <c r="BE121" s="927"/>
      <c r="BF121" s="927"/>
      <c r="BG121" s="927"/>
    </row>
    <row r="122" spans="18:59" x14ac:dyDescent="0.35">
      <c r="R122" s="927"/>
      <c r="S122" s="927"/>
      <c r="W122" s="927"/>
      <c r="X122" s="927"/>
      <c r="AE122" s="927"/>
      <c r="AF122" s="927"/>
      <c r="AV122" s="927"/>
      <c r="AW122" s="927"/>
      <c r="AX122" s="927"/>
      <c r="AY122" s="927"/>
      <c r="AZ122" s="927"/>
      <c r="BA122" s="927"/>
      <c r="BC122" s="927"/>
      <c r="BE122" s="927"/>
      <c r="BF122" s="927"/>
      <c r="BG122" s="927"/>
    </row>
    <row r="123" spans="18:59" x14ac:dyDescent="0.35">
      <c r="R123" s="927"/>
      <c r="S123" s="927"/>
      <c r="W123" s="927"/>
      <c r="X123" s="927"/>
      <c r="AE123" s="927"/>
      <c r="AF123" s="927"/>
      <c r="AV123" s="927"/>
      <c r="AW123" s="927"/>
      <c r="AX123" s="927"/>
      <c r="AY123" s="927"/>
      <c r="AZ123" s="927"/>
      <c r="BA123" s="927"/>
      <c r="BC123" s="927"/>
      <c r="BE123" s="927"/>
      <c r="BF123" s="927"/>
      <c r="BG123" s="927"/>
    </row>
    <row r="124" spans="18:59" x14ac:dyDescent="0.35">
      <c r="R124" s="927"/>
      <c r="S124" s="927"/>
      <c r="W124" s="927"/>
      <c r="X124" s="927"/>
      <c r="AE124" s="927"/>
      <c r="AF124" s="927"/>
      <c r="AV124" s="927"/>
      <c r="AW124" s="927"/>
      <c r="AX124" s="927"/>
      <c r="AY124" s="927"/>
      <c r="AZ124" s="927"/>
      <c r="BA124" s="927"/>
      <c r="BC124" s="927"/>
      <c r="BE124" s="927"/>
      <c r="BF124" s="927"/>
      <c r="BG124" s="927"/>
    </row>
    <row r="125" spans="18:59" x14ac:dyDescent="0.35">
      <c r="R125" s="927"/>
      <c r="S125" s="927"/>
      <c r="W125" s="927"/>
      <c r="X125" s="927"/>
      <c r="AE125" s="927"/>
      <c r="AF125" s="927"/>
      <c r="AV125" s="927"/>
      <c r="AW125" s="927"/>
      <c r="AX125" s="927"/>
      <c r="AY125" s="927"/>
      <c r="AZ125" s="927"/>
      <c r="BA125" s="927"/>
      <c r="BC125" s="927"/>
      <c r="BE125" s="927"/>
      <c r="BF125" s="927"/>
      <c r="BG125" s="927"/>
    </row>
    <row r="126" spans="18:59" x14ac:dyDescent="0.35">
      <c r="R126" s="927"/>
      <c r="S126" s="927"/>
      <c r="W126" s="927"/>
      <c r="X126" s="927"/>
      <c r="AE126" s="927"/>
      <c r="AF126" s="927"/>
      <c r="AV126" s="927"/>
      <c r="AW126" s="927"/>
      <c r="AX126" s="927"/>
      <c r="AY126" s="927"/>
      <c r="AZ126" s="927"/>
      <c r="BA126" s="927"/>
      <c r="BC126" s="927"/>
      <c r="BE126" s="927"/>
      <c r="BF126" s="927"/>
      <c r="BG126" s="927"/>
    </row>
    <row r="127" spans="18:59" x14ac:dyDescent="0.35">
      <c r="R127" s="927"/>
      <c r="S127" s="927"/>
      <c r="W127" s="927"/>
      <c r="X127" s="927"/>
      <c r="AE127" s="927"/>
      <c r="AF127" s="927"/>
      <c r="AV127" s="927"/>
      <c r="AW127" s="927"/>
      <c r="AX127" s="927"/>
      <c r="AY127" s="927"/>
      <c r="AZ127" s="927"/>
      <c r="BA127" s="927"/>
      <c r="BC127" s="927"/>
      <c r="BE127" s="927"/>
      <c r="BF127" s="927"/>
      <c r="BG127" s="927"/>
    </row>
    <row r="128" spans="18:59" x14ac:dyDescent="0.35">
      <c r="R128" s="927"/>
      <c r="S128" s="927"/>
      <c r="W128" s="927"/>
      <c r="X128" s="927"/>
      <c r="AE128" s="927"/>
      <c r="AF128" s="927"/>
      <c r="AV128" s="927"/>
      <c r="AW128" s="927"/>
      <c r="AX128" s="927"/>
      <c r="AY128" s="927"/>
      <c r="AZ128" s="927"/>
      <c r="BA128" s="927"/>
      <c r="BC128" s="927"/>
      <c r="BE128" s="927"/>
      <c r="BF128" s="927"/>
      <c r="BG128" s="927"/>
    </row>
    <row r="129" spans="18:59" x14ac:dyDescent="0.35">
      <c r="R129" s="927"/>
      <c r="S129" s="927"/>
      <c r="W129" s="927"/>
      <c r="X129" s="927"/>
      <c r="AE129" s="927"/>
      <c r="AF129" s="927"/>
      <c r="AV129" s="927"/>
      <c r="AW129" s="927"/>
      <c r="AX129" s="927"/>
      <c r="AY129" s="927"/>
      <c r="AZ129" s="927"/>
      <c r="BA129" s="927"/>
      <c r="BC129" s="927"/>
      <c r="BE129" s="927"/>
      <c r="BF129" s="927"/>
      <c r="BG129" s="927"/>
    </row>
    <row r="130" spans="18:59" x14ac:dyDescent="0.35">
      <c r="R130" s="927"/>
      <c r="S130" s="927"/>
      <c r="W130" s="927"/>
      <c r="X130" s="927"/>
      <c r="AE130" s="927"/>
      <c r="AF130" s="927"/>
      <c r="AV130" s="927"/>
      <c r="AW130" s="927"/>
      <c r="AX130" s="927"/>
      <c r="AY130" s="927"/>
      <c r="AZ130" s="927"/>
      <c r="BA130" s="927"/>
      <c r="BC130" s="927"/>
      <c r="BE130" s="927"/>
      <c r="BF130" s="927"/>
      <c r="BG130" s="927"/>
    </row>
    <row r="131" spans="18:59" x14ac:dyDescent="0.35">
      <c r="R131" s="927"/>
      <c r="S131" s="927"/>
      <c r="W131" s="927"/>
      <c r="X131" s="927"/>
      <c r="AE131" s="927"/>
      <c r="AF131" s="927"/>
      <c r="AV131" s="927"/>
      <c r="AW131" s="927"/>
      <c r="AX131" s="927"/>
      <c r="AY131" s="927"/>
      <c r="AZ131" s="927"/>
      <c r="BA131" s="927"/>
      <c r="BC131" s="927"/>
      <c r="BE131" s="927"/>
      <c r="BF131" s="927"/>
      <c r="BG131" s="927"/>
    </row>
    <row r="132" spans="18:59" x14ac:dyDescent="0.35">
      <c r="R132" s="927"/>
      <c r="S132" s="927"/>
      <c r="W132" s="927"/>
      <c r="X132" s="927"/>
      <c r="AE132" s="927"/>
      <c r="AF132" s="927"/>
      <c r="AV132" s="927"/>
      <c r="AW132" s="927"/>
      <c r="AX132" s="927"/>
      <c r="AY132" s="927"/>
      <c r="AZ132" s="927"/>
      <c r="BA132" s="927"/>
      <c r="BC132" s="927"/>
      <c r="BE132" s="927"/>
      <c r="BF132" s="927"/>
      <c r="BG132" s="927"/>
    </row>
    <row r="133" spans="18:59" x14ac:dyDescent="0.35">
      <c r="R133" s="927"/>
      <c r="S133" s="927"/>
      <c r="W133" s="927"/>
      <c r="X133" s="927"/>
      <c r="AE133" s="927"/>
      <c r="AF133" s="927"/>
      <c r="AV133" s="927"/>
      <c r="AW133" s="927"/>
      <c r="AX133" s="927"/>
      <c r="AY133" s="927"/>
      <c r="AZ133" s="927"/>
      <c r="BA133" s="927"/>
      <c r="BC133" s="927"/>
      <c r="BE133" s="927"/>
      <c r="BF133" s="927"/>
      <c r="BG133" s="927"/>
    </row>
    <row r="134" spans="18:59" x14ac:dyDescent="0.35">
      <c r="R134" s="927"/>
      <c r="S134" s="927"/>
      <c r="W134" s="927"/>
      <c r="X134" s="927"/>
      <c r="AE134" s="927"/>
      <c r="AF134" s="927"/>
      <c r="AV134" s="927"/>
      <c r="AW134" s="927"/>
      <c r="AX134" s="927"/>
      <c r="AY134" s="927"/>
      <c r="AZ134" s="927"/>
      <c r="BA134" s="927"/>
      <c r="BC134" s="927"/>
      <c r="BE134" s="927"/>
      <c r="BF134" s="927"/>
      <c r="BG134" s="927"/>
    </row>
    <row r="135" spans="18:59" x14ac:dyDescent="0.35">
      <c r="R135" s="927"/>
      <c r="S135" s="927"/>
      <c r="W135" s="927"/>
      <c r="X135" s="927"/>
      <c r="AE135" s="927"/>
      <c r="AF135" s="927"/>
      <c r="AV135" s="927"/>
      <c r="AW135" s="927"/>
      <c r="AX135" s="927"/>
      <c r="AY135" s="927"/>
      <c r="AZ135" s="927"/>
      <c r="BA135" s="927"/>
      <c r="BC135" s="927"/>
      <c r="BE135" s="927"/>
      <c r="BF135" s="927"/>
      <c r="BG135" s="927"/>
    </row>
    <row r="136" spans="18:59" x14ac:dyDescent="0.35">
      <c r="R136" s="927"/>
      <c r="S136" s="927"/>
      <c r="W136" s="927"/>
      <c r="X136" s="927"/>
      <c r="AE136" s="927"/>
      <c r="AF136" s="927"/>
      <c r="AV136" s="927"/>
      <c r="AW136" s="927"/>
      <c r="AX136" s="927"/>
      <c r="AY136" s="927"/>
      <c r="AZ136" s="927"/>
      <c r="BA136" s="927"/>
      <c r="BC136" s="927"/>
      <c r="BE136" s="927"/>
      <c r="BF136" s="927"/>
      <c r="BG136" s="927"/>
    </row>
    <row r="137" spans="18:59" x14ac:dyDescent="0.35">
      <c r="R137" s="927"/>
      <c r="S137" s="927"/>
      <c r="W137" s="927"/>
      <c r="X137" s="927"/>
      <c r="AE137" s="927"/>
      <c r="AF137" s="927"/>
      <c r="AV137" s="927"/>
      <c r="AW137" s="927"/>
      <c r="AX137" s="927"/>
      <c r="AY137" s="927"/>
      <c r="AZ137" s="927"/>
      <c r="BA137" s="927"/>
      <c r="BC137" s="927"/>
      <c r="BE137" s="927"/>
      <c r="BF137" s="927"/>
      <c r="BG137" s="927"/>
    </row>
    <row r="138" spans="18:59" x14ac:dyDescent="0.35">
      <c r="R138" s="927"/>
      <c r="S138" s="927"/>
      <c r="W138" s="927"/>
      <c r="X138" s="927"/>
      <c r="AE138" s="927"/>
      <c r="AF138" s="927"/>
      <c r="AV138" s="927"/>
      <c r="AW138" s="927"/>
      <c r="AX138" s="927"/>
      <c r="AY138" s="927"/>
      <c r="AZ138" s="927"/>
      <c r="BA138" s="927"/>
      <c r="BC138" s="927"/>
      <c r="BE138" s="927"/>
      <c r="BF138" s="927"/>
      <c r="BG138" s="927"/>
    </row>
    <row r="139" spans="18:59" x14ac:dyDescent="0.35">
      <c r="R139" s="927"/>
      <c r="S139" s="927"/>
      <c r="W139" s="927"/>
      <c r="X139" s="927"/>
      <c r="AE139" s="927"/>
      <c r="AF139" s="927"/>
      <c r="AV139" s="927"/>
      <c r="AW139" s="927"/>
      <c r="AX139" s="927"/>
      <c r="AY139" s="927"/>
      <c r="AZ139" s="927"/>
      <c r="BA139" s="927"/>
      <c r="BC139" s="927"/>
      <c r="BE139" s="927"/>
      <c r="BF139" s="927"/>
      <c r="BG139" s="927"/>
    </row>
    <row r="140" spans="18:59" x14ac:dyDescent="0.35">
      <c r="R140" s="927"/>
      <c r="S140" s="927"/>
      <c r="W140" s="927"/>
      <c r="X140" s="927"/>
      <c r="AE140" s="927"/>
      <c r="AF140" s="927"/>
      <c r="AV140" s="927"/>
      <c r="AW140" s="927"/>
      <c r="AX140" s="927"/>
      <c r="AY140" s="927"/>
      <c r="AZ140" s="927"/>
      <c r="BA140" s="927"/>
      <c r="BC140" s="927"/>
      <c r="BE140" s="927"/>
      <c r="BF140" s="927"/>
      <c r="BG140" s="927"/>
    </row>
    <row r="141" spans="18:59" x14ac:dyDescent="0.35">
      <c r="R141" s="927"/>
      <c r="S141" s="927"/>
      <c r="W141" s="927"/>
      <c r="X141" s="927"/>
      <c r="AE141" s="927"/>
      <c r="AF141" s="927"/>
      <c r="AV141" s="927"/>
      <c r="AW141" s="927"/>
      <c r="AX141" s="927"/>
      <c r="AY141" s="927"/>
      <c r="AZ141" s="927"/>
      <c r="BA141" s="927"/>
      <c r="BC141" s="927"/>
      <c r="BE141" s="927"/>
      <c r="BF141" s="927"/>
      <c r="BG141" s="927"/>
    </row>
    <row r="142" spans="18:59" x14ac:dyDescent="0.35">
      <c r="R142" s="927"/>
      <c r="S142" s="927"/>
      <c r="W142" s="927"/>
      <c r="X142" s="927"/>
      <c r="AE142" s="927"/>
      <c r="AF142" s="927"/>
      <c r="AV142" s="927"/>
      <c r="AW142" s="927"/>
      <c r="AX142" s="927"/>
      <c r="AY142" s="927"/>
      <c r="AZ142" s="927"/>
      <c r="BA142" s="927"/>
      <c r="BC142" s="927"/>
      <c r="BE142" s="927"/>
      <c r="BF142" s="927"/>
      <c r="BG142" s="927"/>
    </row>
    <row r="143" spans="18:59" x14ac:dyDescent="0.35">
      <c r="R143" s="927"/>
      <c r="S143" s="927"/>
      <c r="W143" s="927"/>
      <c r="X143" s="927"/>
      <c r="AE143" s="927"/>
      <c r="AF143" s="927"/>
      <c r="AV143" s="927"/>
      <c r="AW143" s="927"/>
      <c r="AX143" s="927"/>
      <c r="AY143" s="927"/>
      <c r="AZ143" s="927"/>
      <c r="BA143" s="927"/>
      <c r="BC143" s="927"/>
      <c r="BE143" s="927"/>
      <c r="BF143" s="927"/>
      <c r="BG143" s="927"/>
    </row>
    <row r="144" spans="18:59" x14ac:dyDescent="0.35">
      <c r="R144" s="927"/>
      <c r="S144" s="927"/>
      <c r="W144" s="927"/>
      <c r="X144" s="927"/>
      <c r="AE144" s="927"/>
      <c r="AF144" s="927"/>
      <c r="AV144" s="927"/>
      <c r="AW144" s="927"/>
      <c r="AX144" s="927"/>
      <c r="AY144" s="927"/>
      <c r="AZ144" s="927"/>
      <c r="BA144" s="927"/>
      <c r="BC144" s="927"/>
      <c r="BE144" s="927"/>
      <c r="BF144" s="927"/>
      <c r="BG144" s="927"/>
    </row>
    <row r="145" spans="18:59" x14ac:dyDescent="0.35">
      <c r="R145" s="927"/>
      <c r="S145" s="927"/>
      <c r="W145" s="927"/>
      <c r="X145" s="927"/>
      <c r="AE145" s="927"/>
      <c r="AF145" s="927"/>
      <c r="AV145" s="927"/>
      <c r="AW145" s="927"/>
      <c r="AX145" s="927"/>
      <c r="AY145" s="927"/>
      <c r="AZ145" s="927"/>
      <c r="BA145" s="927"/>
      <c r="BC145" s="927"/>
      <c r="BE145" s="927"/>
      <c r="BF145" s="927"/>
      <c r="BG145" s="927"/>
    </row>
    <row r="146" spans="18:59" x14ac:dyDescent="0.35">
      <c r="R146" s="927"/>
      <c r="S146" s="927"/>
      <c r="W146" s="927"/>
      <c r="X146" s="927"/>
      <c r="AE146" s="927"/>
      <c r="AF146" s="927"/>
      <c r="AV146" s="927"/>
      <c r="AW146" s="927"/>
      <c r="AX146" s="927"/>
      <c r="AY146" s="927"/>
      <c r="AZ146" s="927"/>
      <c r="BA146" s="927"/>
      <c r="BC146" s="927"/>
      <c r="BE146" s="927"/>
      <c r="BF146" s="927"/>
      <c r="BG146" s="927"/>
    </row>
    <row r="147" spans="18:59" x14ac:dyDescent="0.35">
      <c r="R147" s="927"/>
      <c r="S147" s="927"/>
      <c r="W147" s="927"/>
      <c r="X147" s="927"/>
      <c r="AE147" s="927"/>
      <c r="AF147" s="927"/>
      <c r="AV147" s="927"/>
      <c r="AW147" s="927"/>
      <c r="AX147" s="927"/>
      <c r="AY147" s="927"/>
      <c r="AZ147" s="927"/>
      <c r="BA147" s="927"/>
      <c r="BC147" s="927"/>
      <c r="BE147" s="927"/>
      <c r="BF147" s="927"/>
      <c r="BG147" s="927"/>
    </row>
    <row r="148" spans="18:59" x14ac:dyDescent="0.35">
      <c r="R148" s="927"/>
      <c r="S148" s="927"/>
      <c r="W148" s="927"/>
      <c r="X148" s="927"/>
      <c r="AE148" s="927"/>
      <c r="AF148" s="927"/>
      <c r="AV148" s="927"/>
      <c r="AW148" s="927"/>
      <c r="AX148" s="927"/>
      <c r="AY148" s="927"/>
      <c r="AZ148" s="927"/>
      <c r="BA148" s="927"/>
      <c r="BC148" s="927"/>
      <c r="BE148" s="927"/>
      <c r="BF148" s="927"/>
      <c r="BG148" s="927"/>
    </row>
    <row r="149" spans="18:59" x14ac:dyDescent="0.35">
      <c r="R149" s="927"/>
      <c r="S149" s="927"/>
      <c r="W149" s="927"/>
      <c r="X149" s="927"/>
      <c r="AE149" s="927"/>
      <c r="AF149" s="927"/>
      <c r="AV149" s="927"/>
      <c r="AW149" s="927"/>
      <c r="AX149" s="927"/>
      <c r="AY149" s="927"/>
      <c r="AZ149" s="927"/>
      <c r="BA149" s="927"/>
      <c r="BC149" s="927"/>
      <c r="BE149" s="927"/>
      <c r="BF149" s="927"/>
      <c r="BG149" s="927"/>
    </row>
    <row r="150" spans="18:59" x14ac:dyDescent="0.35">
      <c r="R150" s="927"/>
      <c r="S150" s="927"/>
      <c r="W150" s="927"/>
      <c r="X150" s="927"/>
      <c r="AE150" s="927"/>
      <c r="AF150" s="927"/>
      <c r="AV150" s="927"/>
      <c r="AW150" s="927"/>
      <c r="AX150" s="927"/>
      <c r="AY150" s="927"/>
      <c r="AZ150" s="927"/>
      <c r="BA150" s="927"/>
      <c r="BC150" s="927"/>
      <c r="BE150" s="927"/>
      <c r="BF150" s="927"/>
      <c r="BG150" s="927"/>
    </row>
    <row r="151" spans="18:59" x14ac:dyDescent="0.35">
      <c r="R151" s="927"/>
      <c r="S151" s="927"/>
      <c r="W151" s="927"/>
      <c r="X151" s="927"/>
      <c r="AE151" s="927"/>
      <c r="AF151" s="927"/>
      <c r="AV151" s="927"/>
      <c r="AW151" s="927"/>
      <c r="AX151" s="927"/>
      <c r="AY151" s="927"/>
      <c r="AZ151" s="927"/>
      <c r="BA151" s="927"/>
      <c r="BC151" s="927"/>
      <c r="BE151" s="927"/>
      <c r="BF151" s="927"/>
      <c r="BG151" s="927"/>
    </row>
    <row r="152" spans="18:59" x14ac:dyDescent="0.35">
      <c r="R152" s="927"/>
      <c r="S152" s="927"/>
      <c r="W152" s="927"/>
      <c r="X152" s="927"/>
      <c r="AE152" s="927"/>
      <c r="AF152" s="927"/>
      <c r="AV152" s="927"/>
      <c r="AW152" s="927"/>
      <c r="AX152" s="927"/>
      <c r="AY152" s="927"/>
      <c r="AZ152" s="927"/>
      <c r="BA152" s="927"/>
      <c r="BC152" s="927"/>
      <c r="BE152" s="927"/>
      <c r="BF152" s="927"/>
      <c r="BG152" s="927"/>
    </row>
    <row r="153" spans="18:59" x14ac:dyDescent="0.35">
      <c r="R153" s="927"/>
      <c r="S153" s="927"/>
      <c r="W153" s="927"/>
      <c r="X153" s="927"/>
      <c r="AE153" s="927"/>
      <c r="AF153" s="927"/>
      <c r="AV153" s="927"/>
      <c r="AW153" s="927"/>
      <c r="AX153" s="927"/>
      <c r="AY153" s="927"/>
      <c r="AZ153" s="927"/>
      <c r="BA153" s="927"/>
      <c r="BC153" s="927"/>
      <c r="BE153" s="927"/>
      <c r="BF153" s="927"/>
      <c r="BG153" s="927"/>
    </row>
    <row r="154" spans="18:59" x14ac:dyDescent="0.35">
      <c r="R154" s="927"/>
      <c r="S154" s="927"/>
      <c r="W154" s="927"/>
      <c r="X154" s="927"/>
      <c r="AE154" s="927"/>
      <c r="AF154" s="927"/>
      <c r="AV154" s="927"/>
      <c r="AW154" s="927"/>
      <c r="AX154" s="927"/>
      <c r="AY154" s="927"/>
      <c r="AZ154" s="927"/>
      <c r="BA154" s="927"/>
      <c r="BC154" s="927"/>
      <c r="BE154" s="927"/>
      <c r="BF154" s="927"/>
      <c r="BG154" s="927"/>
    </row>
    <row r="155" spans="18:59" x14ac:dyDescent="0.35">
      <c r="R155" s="927"/>
      <c r="S155" s="927"/>
      <c r="W155" s="927"/>
      <c r="X155" s="927"/>
      <c r="AE155" s="927"/>
      <c r="AF155" s="927"/>
      <c r="AV155" s="927"/>
      <c r="AW155" s="927"/>
      <c r="AX155" s="927"/>
      <c r="AY155" s="927"/>
      <c r="AZ155" s="927"/>
      <c r="BA155" s="927"/>
      <c r="BC155" s="927"/>
      <c r="BE155" s="927"/>
      <c r="BF155" s="927"/>
      <c r="BG155" s="927"/>
    </row>
    <row r="156" spans="18:59" x14ac:dyDescent="0.35">
      <c r="R156" s="927"/>
      <c r="S156" s="927"/>
      <c r="W156" s="927"/>
      <c r="X156" s="927"/>
      <c r="AE156" s="927"/>
      <c r="AF156" s="927"/>
      <c r="AV156" s="927"/>
      <c r="AW156" s="927"/>
      <c r="AX156" s="927"/>
      <c r="AY156" s="927"/>
      <c r="AZ156" s="927"/>
      <c r="BA156" s="927"/>
      <c r="BC156" s="927"/>
      <c r="BE156" s="927"/>
      <c r="BF156" s="927"/>
      <c r="BG156" s="927"/>
    </row>
    <row r="157" spans="18:59" x14ac:dyDescent="0.35">
      <c r="R157" s="927"/>
      <c r="S157" s="927"/>
      <c r="W157" s="927"/>
      <c r="X157" s="927"/>
      <c r="AE157" s="927"/>
      <c r="AF157" s="927"/>
      <c r="AV157" s="927"/>
      <c r="AW157" s="927"/>
      <c r="AX157" s="927"/>
      <c r="AY157" s="927"/>
      <c r="AZ157" s="927"/>
      <c r="BA157" s="927"/>
      <c r="BC157" s="927"/>
      <c r="BE157" s="927"/>
      <c r="BF157" s="927"/>
      <c r="BG157" s="927"/>
    </row>
    <row r="158" spans="18:59" x14ac:dyDescent="0.35">
      <c r="R158" s="927"/>
      <c r="S158" s="927"/>
      <c r="W158" s="927"/>
      <c r="X158" s="927"/>
      <c r="AE158" s="927"/>
      <c r="AF158" s="927"/>
      <c r="AV158" s="927"/>
      <c r="AW158" s="927"/>
      <c r="AX158" s="927"/>
      <c r="AY158" s="927"/>
      <c r="AZ158" s="927"/>
      <c r="BA158" s="927"/>
      <c r="BC158" s="927"/>
      <c r="BE158" s="927"/>
      <c r="BF158" s="927"/>
      <c r="BG158" s="927"/>
    </row>
    <row r="159" spans="18:59" x14ac:dyDescent="0.35">
      <c r="R159" s="927"/>
      <c r="S159" s="927"/>
      <c r="W159" s="927"/>
      <c r="X159" s="927"/>
      <c r="AE159" s="927"/>
      <c r="AF159" s="927"/>
      <c r="AV159" s="927"/>
      <c r="AW159" s="927"/>
      <c r="AX159" s="927"/>
      <c r="AY159" s="927"/>
      <c r="AZ159" s="927"/>
      <c r="BA159" s="927"/>
      <c r="BC159" s="927"/>
      <c r="BE159" s="927"/>
      <c r="BF159" s="927"/>
      <c r="BG159" s="927"/>
    </row>
    <row r="160" spans="18:59" x14ac:dyDescent="0.35">
      <c r="R160" s="927"/>
      <c r="S160" s="927"/>
      <c r="W160" s="927"/>
      <c r="X160" s="927"/>
      <c r="AE160" s="927"/>
      <c r="AF160" s="927"/>
      <c r="AV160" s="927"/>
      <c r="AW160" s="927"/>
      <c r="AX160" s="927"/>
      <c r="AY160" s="927"/>
      <c r="AZ160" s="927"/>
      <c r="BA160" s="927"/>
      <c r="BC160" s="927"/>
      <c r="BE160" s="927"/>
      <c r="BF160" s="927"/>
      <c r="BG160" s="927"/>
    </row>
    <row r="161" spans="18:59" x14ac:dyDescent="0.35">
      <c r="R161" s="927"/>
      <c r="S161" s="927"/>
      <c r="W161" s="927"/>
      <c r="X161" s="927"/>
      <c r="AE161" s="927"/>
      <c r="AF161" s="927"/>
      <c r="AV161" s="927"/>
      <c r="AW161" s="927"/>
      <c r="AX161" s="927"/>
      <c r="AY161" s="927"/>
      <c r="AZ161" s="927"/>
      <c r="BA161" s="927"/>
      <c r="BC161" s="927"/>
      <c r="BE161" s="927"/>
      <c r="BF161" s="927"/>
      <c r="BG161" s="927"/>
    </row>
    <row r="162" spans="18:59" x14ac:dyDescent="0.35">
      <c r="R162" s="927"/>
      <c r="S162" s="927"/>
      <c r="W162" s="927"/>
      <c r="X162" s="927"/>
      <c r="AE162" s="927"/>
      <c r="AF162" s="927"/>
      <c r="AV162" s="927"/>
      <c r="AW162" s="927"/>
      <c r="AX162" s="927"/>
      <c r="AY162" s="927"/>
      <c r="AZ162" s="927"/>
      <c r="BA162" s="927"/>
      <c r="BC162" s="927"/>
      <c r="BE162" s="927"/>
      <c r="BF162" s="927"/>
      <c r="BG162" s="927"/>
    </row>
    <row r="163" spans="18:59" x14ac:dyDescent="0.35">
      <c r="R163" s="927"/>
      <c r="S163" s="927"/>
      <c r="W163" s="927"/>
      <c r="X163" s="927"/>
      <c r="AE163" s="927"/>
      <c r="AF163" s="927"/>
      <c r="AV163" s="927"/>
      <c r="AW163" s="927"/>
      <c r="AX163" s="927"/>
      <c r="AY163" s="927"/>
      <c r="AZ163" s="927"/>
      <c r="BA163" s="927"/>
      <c r="BC163" s="927"/>
      <c r="BE163" s="927"/>
      <c r="BF163" s="927"/>
      <c r="BG163" s="927"/>
    </row>
    <row r="164" spans="18:59" x14ac:dyDescent="0.35">
      <c r="R164" s="927"/>
      <c r="S164" s="927"/>
      <c r="W164" s="927"/>
      <c r="X164" s="927"/>
      <c r="AE164" s="927"/>
      <c r="AF164" s="927"/>
      <c r="AV164" s="927"/>
      <c r="AW164" s="927"/>
      <c r="AX164" s="927"/>
      <c r="AY164" s="927"/>
      <c r="AZ164" s="927"/>
      <c r="BA164" s="927"/>
      <c r="BC164" s="927"/>
      <c r="BE164" s="927"/>
      <c r="BF164" s="927"/>
      <c r="BG164" s="927"/>
    </row>
    <row r="165" spans="18:59" x14ac:dyDescent="0.35">
      <c r="R165" s="927"/>
      <c r="S165" s="927"/>
      <c r="W165" s="927"/>
      <c r="X165" s="927"/>
      <c r="AE165" s="927"/>
      <c r="AF165" s="927"/>
      <c r="AV165" s="927"/>
      <c r="AW165" s="927"/>
      <c r="AX165" s="927"/>
      <c r="AY165" s="927"/>
      <c r="AZ165" s="927"/>
      <c r="BA165" s="927"/>
      <c r="BC165" s="927"/>
      <c r="BE165" s="927"/>
      <c r="BF165" s="927"/>
      <c r="BG165" s="927"/>
    </row>
    <row r="166" spans="18:59" x14ac:dyDescent="0.35">
      <c r="R166" s="927"/>
      <c r="S166" s="927"/>
      <c r="W166" s="927"/>
      <c r="X166" s="927"/>
      <c r="AE166" s="927"/>
      <c r="AF166" s="927"/>
      <c r="AV166" s="927"/>
      <c r="AW166" s="927"/>
      <c r="AX166" s="927"/>
      <c r="AY166" s="927"/>
      <c r="AZ166" s="927"/>
      <c r="BA166" s="927"/>
      <c r="BC166" s="927"/>
      <c r="BE166" s="927"/>
      <c r="BF166" s="927"/>
      <c r="BG166" s="927"/>
    </row>
    <row r="167" spans="18:59" x14ac:dyDescent="0.35">
      <c r="R167" s="927"/>
      <c r="S167" s="927"/>
      <c r="W167" s="927"/>
      <c r="X167" s="927"/>
      <c r="AE167" s="927"/>
      <c r="AF167" s="927"/>
      <c r="AV167" s="927"/>
      <c r="AW167" s="927"/>
      <c r="AX167" s="927"/>
      <c r="AY167" s="927"/>
      <c r="AZ167" s="927"/>
      <c r="BA167" s="927"/>
      <c r="BC167" s="927"/>
      <c r="BE167" s="927"/>
      <c r="BF167" s="927"/>
      <c r="BG167" s="927"/>
    </row>
    <row r="168" spans="18:59" x14ac:dyDescent="0.35">
      <c r="R168" s="927"/>
      <c r="S168" s="927"/>
      <c r="W168" s="927"/>
      <c r="X168" s="927"/>
      <c r="AE168" s="927"/>
      <c r="AF168" s="927"/>
      <c r="AV168" s="927"/>
      <c r="AW168" s="927"/>
      <c r="AX168" s="927"/>
      <c r="AY168" s="927"/>
      <c r="AZ168" s="927"/>
      <c r="BA168" s="927"/>
      <c r="BC168" s="927"/>
      <c r="BE168" s="927"/>
      <c r="BF168" s="927"/>
      <c r="BG168" s="927"/>
    </row>
    <row r="169" spans="18:59" x14ac:dyDescent="0.35">
      <c r="R169" s="927"/>
      <c r="S169" s="927"/>
      <c r="W169" s="927"/>
      <c r="X169" s="927"/>
      <c r="AE169" s="927"/>
      <c r="AF169" s="927"/>
      <c r="AV169" s="927"/>
      <c r="AW169" s="927"/>
      <c r="AX169" s="927"/>
      <c r="AY169" s="927"/>
      <c r="AZ169" s="927"/>
      <c r="BA169" s="927"/>
      <c r="BC169" s="927"/>
      <c r="BE169" s="927"/>
      <c r="BF169" s="927"/>
      <c r="BG169" s="927"/>
    </row>
    <row r="170" spans="18:59" x14ac:dyDescent="0.35">
      <c r="R170" s="927"/>
      <c r="S170" s="927"/>
      <c r="W170" s="927"/>
      <c r="X170" s="927"/>
      <c r="AE170" s="927"/>
      <c r="AF170" s="927"/>
      <c r="AV170" s="927"/>
      <c r="AW170" s="927"/>
      <c r="AX170" s="927"/>
      <c r="AY170" s="927"/>
      <c r="AZ170" s="927"/>
      <c r="BA170" s="927"/>
      <c r="BC170" s="927"/>
      <c r="BE170" s="927"/>
      <c r="BF170" s="927"/>
      <c r="BG170" s="927"/>
    </row>
    <row r="171" spans="18:59" x14ac:dyDescent="0.35">
      <c r="R171" s="927"/>
      <c r="S171" s="927"/>
      <c r="W171" s="927"/>
      <c r="X171" s="927"/>
      <c r="AE171" s="927"/>
      <c r="AF171" s="927"/>
      <c r="AV171" s="927"/>
      <c r="AW171" s="927"/>
      <c r="AX171" s="927"/>
      <c r="AY171" s="927"/>
      <c r="AZ171" s="927"/>
      <c r="BA171" s="927"/>
      <c r="BC171" s="927"/>
      <c r="BE171" s="927"/>
      <c r="BF171" s="927"/>
      <c r="BG171" s="927"/>
    </row>
    <row r="172" spans="18:59" x14ac:dyDescent="0.35">
      <c r="R172" s="927"/>
      <c r="S172" s="927"/>
      <c r="W172" s="927"/>
      <c r="X172" s="927"/>
      <c r="AE172" s="927"/>
      <c r="AF172" s="927"/>
      <c r="AV172" s="927"/>
      <c r="AW172" s="927"/>
      <c r="AX172" s="927"/>
      <c r="AY172" s="927"/>
      <c r="AZ172" s="927"/>
      <c r="BA172" s="927"/>
      <c r="BC172" s="927"/>
      <c r="BE172" s="927"/>
      <c r="BF172" s="927"/>
      <c r="BG172" s="927"/>
    </row>
    <row r="173" spans="18:59" x14ac:dyDescent="0.35">
      <c r="R173" s="927"/>
      <c r="S173" s="927"/>
      <c r="W173" s="927"/>
      <c r="X173" s="927"/>
      <c r="AE173" s="927"/>
      <c r="AF173" s="927"/>
      <c r="AV173" s="927"/>
      <c r="AW173" s="927"/>
      <c r="AX173" s="927"/>
      <c r="AY173" s="927"/>
      <c r="AZ173" s="927"/>
      <c r="BA173" s="927"/>
      <c r="BC173" s="927"/>
      <c r="BE173" s="927"/>
      <c r="BF173" s="927"/>
      <c r="BG173" s="927"/>
    </row>
    <row r="174" spans="18:59" x14ac:dyDescent="0.35">
      <c r="R174" s="927"/>
      <c r="S174" s="927"/>
      <c r="W174" s="927"/>
      <c r="X174" s="927"/>
      <c r="AE174" s="927"/>
      <c r="AF174" s="927"/>
      <c r="AV174" s="927"/>
      <c r="AW174" s="927"/>
      <c r="AX174" s="927"/>
      <c r="AY174" s="927"/>
      <c r="AZ174" s="927"/>
      <c r="BA174" s="927"/>
      <c r="BC174" s="927"/>
      <c r="BE174" s="927"/>
      <c r="BF174" s="927"/>
      <c r="BG174" s="927"/>
    </row>
    <row r="175" spans="18:59" x14ac:dyDescent="0.35">
      <c r="R175" s="927"/>
      <c r="S175" s="927"/>
      <c r="W175" s="927"/>
      <c r="X175" s="927"/>
      <c r="AE175" s="927"/>
      <c r="AF175" s="927"/>
      <c r="AV175" s="927"/>
      <c r="AW175" s="927"/>
      <c r="AX175" s="927"/>
      <c r="AY175" s="927"/>
      <c r="AZ175" s="927"/>
      <c r="BA175" s="927"/>
      <c r="BC175" s="927"/>
      <c r="BE175" s="927"/>
      <c r="BF175" s="927"/>
      <c r="BG175" s="927"/>
    </row>
    <row r="176" spans="18:59" x14ac:dyDescent="0.35">
      <c r="R176" s="927"/>
      <c r="S176" s="927"/>
      <c r="W176" s="927"/>
      <c r="X176" s="927"/>
      <c r="AE176" s="927"/>
      <c r="AF176" s="927"/>
      <c r="AV176" s="927"/>
      <c r="AW176" s="927"/>
      <c r="AX176" s="927"/>
      <c r="AY176" s="927"/>
      <c r="AZ176" s="927"/>
      <c r="BA176" s="927"/>
      <c r="BC176" s="927"/>
      <c r="BE176" s="927"/>
      <c r="BF176" s="927"/>
      <c r="BG176" s="927"/>
    </row>
    <row r="177" spans="18:59" x14ac:dyDescent="0.35">
      <c r="R177" s="927"/>
      <c r="S177" s="927"/>
      <c r="W177" s="927"/>
      <c r="X177" s="927"/>
      <c r="AE177" s="927"/>
      <c r="AF177" s="927"/>
      <c r="AV177" s="927"/>
      <c r="AW177" s="927"/>
      <c r="AX177" s="927"/>
      <c r="AY177" s="927"/>
      <c r="AZ177" s="927"/>
      <c r="BA177" s="927"/>
      <c r="BC177" s="927"/>
      <c r="BE177" s="927"/>
      <c r="BF177" s="927"/>
      <c r="BG177" s="927"/>
    </row>
    <row r="178" spans="18:59" x14ac:dyDescent="0.35">
      <c r="R178" s="927"/>
      <c r="S178" s="927"/>
      <c r="W178" s="927"/>
      <c r="X178" s="927"/>
      <c r="AE178" s="927"/>
      <c r="AF178" s="927"/>
      <c r="AV178" s="927"/>
      <c r="AW178" s="927"/>
      <c r="AX178" s="927"/>
      <c r="AY178" s="927"/>
      <c r="AZ178" s="927"/>
      <c r="BA178" s="927"/>
      <c r="BC178" s="927"/>
      <c r="BE178" s="927"/>
      <c r="BF178" s="927"/>
      <c r="BG178" s="927"/>
    </row>
    <row r="179" spans="18:59" x14ac:dyDescent="0.35">
      <c r="R179" s="927"/>
      <c r="S179" s="927"/>
      <c r="W179" s="927"/>
      <c r="X179" s="927"/>
      <c r="AE179" s="927"/>
      <c r="AF179" s="927"/>
      <c r="AV179" s="927"/>
      <c r="AW179" s="927"/>
      <c r="AX179" s="927"/>
      <c r="AY179" s="927"/>
      <c r="AZ179" s="927"/>
      <c r="BA179" s="927"/>
      <c r="BC179" s="927"/>
      <c r="BE179" s="927"/>
      <c r="BF179" s="927"/>
      <c r="BG179" s="927"/>
    </row>
    <row r="180" spans="18:59" x14ac:dyDescent="0.35">
      <c r="R180" s="927"/>
      <c r="S180" s="927"/>
      <c r="W180" s="927"/>
      <c r="X180" s="927"/>
      <c r="AE180" s="927"/>
      <c r="AF180" s="927"/>
      <c r="AV180" s="927"/>
      <c r="AW180" s="927"/>
      <c r="AX180" s="927"/>
      <c r="AY180" s="927"/>
      <c r="AZ180" s="927"/>
      <c r="BA180" s="927"/>
      <c r="BC180" s="927"/>
      <c r="BE180" s="927"/>
      <c r="BF180" s="927"/>
      <c r="BG180" s="927"/>
    </row>
    <row r="181" spans="18:59" x14ac:dyDescent="0.35">
      <c r="R181" s="927"/>
      <c r="S181" s="927"/>
      <c r="W181" s="927"/>
      <c r="X181" s="927"/>
      <c r="AE181" s="927"/>
      <c r="AF181" s="927"/>
      <c r="AV181" s="927"/>
      <c r="AW181" s="927"/>
      <c r="AX181" s="927"/>
      <c r="AY181" s="927"/>
      <c r="AZ181" s="927"/>
      <c r="BA181" s="927"/>
      <c r="BC181" s="927"/>
      <c r="BE181" s="927"/>
      <c r="BF181" s="927"/>
      <c r="BG181" s="927"/>
    </row>
    <row r="182" spans="18:59" x14ac:dyDescent="0.35">
      <c r="R182" s="927"/>
      <c r="S182" s="927"/>
      <c r="W182" s="927"/>
      <c r="X182" s="927"/>
      <c r="AE182" s="927"/>
      <c r="AF182" s="927"/>
      <c r="AV182" s="927"/>
      <c r="AW182" s="927"/>
      <c r="AX182" s="927"/>
      <c r="AY182" s="927"/>
      <c r="AZ182" s="927"/>
      <c r="BA182" s="927"/>
      <c r="BC182" s="927"/>
      <c r="BE182" s="927"/>
      <c r="BF182" s="927"/>
      <c r="BG182" s="927"/>
    </row>
    <row r="183" spans="18:59" x14ac:dyDescent="0.35">
      <c r="R183" s="927"/>
      <c r="S183" s="927"/>
      <c r="W183" s="927"/>
      <c r="X183" s="927"/>
      <c r="AE183" s="927"/>
      <c r="AF183" s="927"/>
      <c r="AV183" s="927"/>
      <c r="AW183" s="927"/>
      <c r="AX183" s="927"/>
      <c r="AY183" s="927"/>
      <c r="AZ183" s="927"/>
      <c r="BA183" s="927"/>
      <c r="BC183" s="927"/>
      <c r="BE183" s="927"/>
      <c r="BF183" s="927"/>
      <c r="BG183" s="927"/>
    </row>
    <row r="184" spans="18:59" x14ac:dyDescent="0.35">
      <c r="R184" s="927"/>
      <c r="S184" s="927"/>
      <c r="W184" s="927"/>
      <c r="X184" s="927"/>
      <c r="AE184" s="927"/>
      <c r="AF184" s="927"/>
      <c r="AV184" s="927"/>
      <c r="AW184" s="927"/>
      <c r="AX184" s="927"/>
      <c r="AY184" s="927"/>
      <c r="AZ184" s="927"/>
      <c r="BA184" s="927"/>
      <c r="BC184" s="927"/>
      <c r="BE184" s="927"/>
      <c r="BF184" s="927"/>
      <c r="BG184" s="927"/>
    </row>
    <row r="185" spans="18:59" x14ac:dyDescent="0.35">
      <c r="R185" s="927"/>
      <c r="S185" s="927"/>
      <c r="W185" s="927"/>
      <c r="X185" s="927"/>
      <c r="AE185" s="927"/>
      <c r="AF185" s="927"/>
      <c r="AV185" s="927"/>
      <c r="AW185" s="927"/>
      <c r="AX185" s="927"/>
      <c r="AY185" s="927"/>
      <c r="AZ185" s="927"/>
      <c r="BA185" s="927"/>
      <c r="BC185" s="927"/>
      <c r="BE185" s="927"/>
      <c r="BF185" s="927"/>
      <c r="BG185" s="927"/>
    </row>
    <row r="186" spans="18:59" x14ac:dyDescent="0.35">
      <c r="R186" s="927"/>
      <c r="S186" s="927"/>
      <c r="W186" s="927"/>
      <c r="X186" s="927"/>
      <c r="AE186" s="927"/>
      <c r="AF186" s="927"/>
      <c r="AV186" s="927"/>
      <c r="AW186" s="927"/>
      <c r="AX186" s="927"/>
      <c r="AY186" s="927"/>
      <c r="AZ186" s="927"/>
      <c r="BA186" s="927"/>
      <c r="BC186" s="927"/>
      <c r="BE186" s="927"/>
      <c r="BF186" s="927"/>
      <c r="BG186" s="927"/>
    </row>
    <row r="187" spans="18:59" x14ac:dyDescent="0.35">
      <c r="R187" s="927"/>
      <c r="S187" s="927"/>
      <c r="W187" s="927"/>
      <c r="X187" s="927"/>
      <c r="AE187" s="927"/>
      <c r="AF187" s="927"/>
      <c r="AV187" s="927"/>
      <c r="AW187" s="927"/>
      <c r="AX187" s="927"/>
      <c r="AY187" s="927"/>
      <c r="AZ187" s="927"/>
      <c r="BA187" s="927"/>
      <c r="BC187" s="927"/>
      <c r="BE187" s="927"/>
      <c r="BF187" s="927"/>
      <c r="BG187" s="927"/>
    </row>
    <row r="188" spans="18:59" x14ac:dyDescent="0.35">
      <c r="R188" s="927"/>
      <c r="S188" s="927"/>
      <c r="W188" s="927"/>
      <c r="X188" s="927"/>
      <c r="AE188" s="927"/>
      <c r="AF188" s="927"/>
      <c r="AV188" s="927"/>
      <c r="AW188" s="927"/>
      <c r="AX188" s="927"/>
      <c r="AY188" s="927"/>
      <c r="AZ188" s="927"/>
      <c r="BA188" s="927"/>
      <c r="BC188" s="927"/>
      <c r="BE188" s="927"/>
      <c r="BF188" s="927"/>
      <c r="BG188" s="927"/>
    </row>
    <row r="189" spans="18:59" x14ac:dyDescent="0.35">
      <c r="R189" s="927"/>
      <c r="S189" s="927"/>
      <c r="W189" s="927"/>
      <c r="X189" s="927"/>
      <c r="AE189" s="927"/>
      <c r="AF189" s="927"/>
      <c r="AV189" s="927"/>
      <c r="AW189" s="927"/>
      <c r="AX189" s="927"/>
      <c r="AY189" s="927"/>
      <c r="AZ189" s="927"/>
      <c r="BA189" s="927"/>
      <c r="BC189" s="927"/>
      <c r="BE189" s="927"/>
      <c r="BF189" s="927"/>
      <c r="BG189" s="927"/>
    </row>
    <row r="190" spans="18:59" x14ac:dyDescent="0.35">
      <c r="R190" s="927"/>
      <c r="S190" s="927"/>
      <c r="W190" s="927"/>
      <c r="X190" s="927"/>
      <c r="AE190" s="927"/>
      <c r="AF190" s="927"/>
      <c r="AV190" s="927"/>
      <c r="AW190" s="927"/>
      <c r="AX190" s="927"/>
      <c r="AY190" s="927"/>
      <c r="AZ190" s="927"/>
      <c r="BA190" s="927"/>
      <c r="BC190" s="927"/>
      <c r="BE190" s="927"/>
      <c r="BF190" s="927"/>
      <c r="BG190" s="927"/>
    </row>
    <row r="191" spans="18:59" x14ac:dyDescent="0.35">
      <c r="R191" s="927"/>
      <c r="S191" s="927"/>
      <c r="W191" s="927"/>
      <c r="X191" s="927"/>
      <c r="AE191" s="927"/>
      <c r="AF191" s="927"/>
      <c r="AV191" s="927"/>
      <c r="AW191" s="927"/>
      <c r="AX191" s="927"/>
      <c r="AY191" s="927"/>
      <c r="AZ191" s="927"/>
      <c r="BA191" s="927"/>
      <c r="BC191" s="927"/>
      <c r="BE191" s="927"/>
      <c r="BF191" s="927"/>
      <c r="BG191" s="927"/>
    </row>
    <row r="192" spans="18:59" x14ac:dyDescent="0.35">
      <c r="R192" s="927"/>
      <c r="S192" s="927"/>
      <c r="W192" s="927"/>
      <c r="X192" s="927"/>
      <c r="AE192" s="927"/>
      <c r="AF192" s="927"/>
      <c r="AV192" s="927"/>
      <c r="AW192" s="927"/>
      <c r="AX192" s="927"/>
      <c r="AY192" s="927"/>
      <c r="AZ192" s="927"/>
      <c r="BA192" s="927"/>
      <c r="BC192" s="927"/>
      <c r="BE192" s="927"/>
      <c r="BF192" s="927"/>
      <c r="BG192" s="927"/>
    </row>
    <row r="193" spans="18:59" x14ac:dyDescent="0.35">
      <c r="R193" s="927"/>
      <c r="S193" s="927"/>
      <c r="W193" s="927"/>
      <c r="X193" s="927"/>
      <c r="AE193" s="927"/>
      <c r="AF193" s="927"/>
      <c r="AV193" s="927"/>
      <c r="AW193" s="927"/>
      <c r="AX193" s="927"/>
      <c r="AY193" s="927"/>
      <c r="AZ193" s="927"/>
      <c r="BA193" s="927"/>
      <c r="BC193" s="927"/>
      <c r="BE193" s="927"/>
      <c r="BF193" s="927"/>
      <c r="BG193" s="927"/>
    </row>
    <row r="194" spans="18:59" x14ac:dyDescent="0.35">
      <c r="R194" s="927"/>
      <c r="S194" s="927"/>
      <c r="W194" s="927"/>
      <c r="X194" s="927"/>
      <c r="AE194" s="927"/>
      <c r="AF194" s="927"/>
      <c r="AV194" s="927"/>
      <c r="AW194" s="927"/>
      <c r="AX194" s="927"/>
      <c r="AY194" s="927"/>
      <c r="AZ194" s="927"/>
      <c r="BA194" s="927"/>
      <c r="BC194" s="927"/>
      <c r="BE194" s="927"/>
      <c r="BF194" s="927"/>
      <c r="BG194" s="927"/>
    </row>
    <row r="195" spans="18:59" x14ac:dyDescent="0.35">
      <c r="R195" s="927"/>
      <c r="S195" s="927"/>
      <c r="W195" s="927"/>
      <c r="X195" s="927"/>
      <c r="AE195" s="927"/>
      <c r="AF195" s="927"/>
      <c r="AV195" s="927"/>
      <c r="AW195" s="927"/>
      <c r="AX195" s="927"/>
      <c r="AY195" s="927"/>
      <c r="AZ195" s="927"/>
      <c r="BA195" s="927"/>
      <c r="BC195" s="927"/>
      <c r="BE195" s="927"/>
      <c r="BF195" s="927"/>
      <c r="BG195" s="927"/>
    </row>
    <row r="196" spans="18:59" x14ac:dyDescent="0.35">
      <c r="R196" s="927"/>
      <c r="S196" s="927"/>
      <c r="W196" s="927"/>
      <c r="X196" s="927"/>
      <c r="AE196" s="927"/>
      <c r="AF196" s="927"/>
      <c r="AV196" s="927"/>
      <c r="AW196" s="927"/>
      <c r="AX196" s="927"/>
      <c r="AY196" s="927"/>
      <c r="AZ196" s="927"/>
      <c r="BA196" s="927"/>
      <c r="BC196" s="927"/>
      <c r="BE196" s="927"/>
      <c r="BF196" s="927"/>
      <c r="BG196" s="927"/>
    </row>
    <row r="197" spans="18:59" x14ac:dyDescent="0.35">
      <c r="R197" s="927"/>
      <c r="S197" s="927"/>
      <c r="W197" s="927"/>
      <c r="X197" s="927"/>
      <c r="AE197" s="927"/>
      <c r="AF197" s="927"/>
      <c r="AV197" s="927"/>
      <c r="AW197" s="927"/>
      <c r="AX197" s="927"/>
      <c r="AY197" s="927"/>
      <c r="AZ197" s="927"/>
      <c r="BA197" s="927"/>
      <c r="BC197" s="927"/>
      <c r="BE197" s="927"/>
      <c r="BF197" s="927"/>
      <c r="BG197" s="927"/>
    </row>
    <row r="198" spans="18:59" x14ac:dyDescent="0.35">
      <c r="R198" s="927"/>
      <c r="S198" s="927"/>
      <c r="W198" s="927"/>
      <c r="X198" s="927"/>
      <c r="AE198" s="927"/>
      <c r="AF198" s="927"/>
      <c r="AV198" s="927"/>
      <c r="AW198" s="927"/>
      <c r="AX198" s="927"/>
      <c r="AY198" s="927"/>
      <c r="AZ198" s="927"/>
      <c r="BA198" s="927"/>
      <c r="BC198" s="927"/>
      <c r="BE198" s="927"/>
      <c r="BF198" s="927"/>
      <c r="BG198" s="927"/>
    </row>
    <row r="199" spans="18:59" x14ac:dyDescent="0.35">
      <c r="R199" s="927"/>
      <c r="S199" s="927"/>
      <c r="W199" s="927"/>
      <c r="X199" s="927"/>
      <c r="AE199" s="927"/>
      <c r="AF199" s="927"/>
      <c r="AV199" s="927"/>
      <c r="AW199" s="927"/>
      <c r="AX199" s="927"/>
      <c r="AY199" s="927"/>
      <c r="AZ199" s="927"/>
      <c r="BA199" s="927"/>
      <c r="BC199" s="927"/>
      <c r="BE199" s="927"/>
      <c r="BF199" s="927"/>
      <c r="BG199" s="927"/>
    </row>
    <row r="200" spans="18:59" x14ac:dyDescent="0.35">
      <c r="R200" s="927"/>
      <c r="S200" s="927"/>
      <c r="W200" s="927"/>
      <c r="X200" s="927"/>
      <c r="AE200" s="927"/>
      <c r="AF200" s="927"/>
      <c r="AV200" s="927"/>
      <c r="AW200" s="927"/>
      <c r="AX200" s="927"/>
      <c r="AY200" s="927"/>
      <c r="AZ200" s="927"/>
      <c r="BA200" s="927"/>
      <c r="BC200" s="927"/>
      <c r="BE200" s="927"/>
      <c r="BF200" s="927"/>
      <c r="BG200" s="927"/>
    </row>
    <row r="201" spans="18:59" x14ac:dyDescent="0.35">
      <c r="R201" s="927"/>
      <c r="S201" s="927"/>
      <c r="W201" s="927"/>
      <c r="X201" s="927"/>
      <c r="AE201" s="927"/>
      <c r="AF201" s="927"/>
      <c r="AV201" s="927"/>
      <c r="AW201" s="927"/>
      <c r="AX201" s="927"/>
      <c r="AY201" s="927"/>
      <c r="AZ201" s="927"/>
      <c r="BA201" s="927"/>
      <c r="BC201" s="927"/>
      <c r="BE201" s="927"/>
      <c r="BF201" s="927"/>
      <c r="BG201" s="927"/>
    </row>
    <row r="202" spans="18:59" x14ac:dyDescent="0.35">
      <c r="R202" s="927"/>
      <c r="S202" s="927"/>
      <c r="W202" s="927"/>
      <c r="X202" s="927"/>
      <c r="AE202" s="927"/>
      <c r="AF202" s="927"/>
      <c r="AV202" s="927"/>
      <c r="AW202" s="927"/>
      <c r="AX202" s="927"/>
      <c r="AY202" s="927"/>
      <c r="AZ202" s="927"/>
      <c r="BA202" s="927"/>
      <c r="BC202" s="927"/>
      <c r="BE202" s="927"/>
      <c r="BF202" s="927"/>
      <c r="BG202" s="927"/>
    </row>
    <row r="203" spans="18:59" x14ac:dyDescent="0.35">
      <c r="R203" s="927"/>
      <c r="S203" s="927"/>
      <c r="W203" s="927"/>
      <c r="X203" s="927"/>
      <c r="AE203" s="927"/>
      <c r="AF203" s="927"/>
      <c r="AV203" s="927"/>
      <c r="AW203" s="927"/>
      <c r="AX203" s="927"/>
      <c r="AY203" s="927"/>
      <c r="AZ203" s="927"/>
      <c r="BA203" s="927"/>
      <c r="BC203" s="927"/>
      <c r="BE203" s="927"/>
      <c r="BF203" s="927"/>
      <c r="BG203" s="927"/>
    </row>
    <row r="204" spans="18:59" x14ac:dyDescent="0.35">
      <c r="R204" s="927"/>
      <c r="S204" s="927"/>
      <c r="W204" s="927"/>
      <c r="X204" s="927"/>
      <c r="AE204" s="927"/>
      <c r="AF204" s="927"/>
      <c r="AV204" s="927"/>
      <c r="AW204" s="927"/>
      <c r="AX204" s="927"/>
      <c r="AY204" s="927"/>
      <c r="AZ204" s="927"/>
      <c r="BA204" s="927"/>
      <c r="BC204" s="927"/>
      <c r="BE204" s="927"/>
      <c r="BF204" s="927"/>
      <c r="BG204" s="927"/>
    </row>
    <row r="205" spans="18:59" x14ac:dyDescent="0.35">
      <c r="R205" s="927"/>
      <c r="S205" s="927"/>
      <c r="W205" s="927"/>
      <c r="X205" s="927"/>
      <c r="AE205" s="927"/>
      <c r="AF205" s="927"/>
      <c r="AV205" s="927"/>
      <c r="AW205" s="927"/>
      <c r="AX205" s="927"/>
      <c r="AY205" s="927"/>
      <c r="AZ205" s="927"/>
      <c r="BA205" s="927"/>
      <c r="BC205" s="927"/>
      <c r="BE205" s="927"/>
      <c r="BF205" s="927"/>
      <c r="BG205" s="927"/>
    </row>
    <row r="206" spans="18:59" x14ac:dyDescent="0.35">
      <c r="R206" s="927"/>
      <c r="S206" s="927"/>
      <c r="W206" s="927"/>
      <c r="X206" s="927"/>
      <c r="AE206" s="927"/>
      <c r="AF206" s="927"/>
      <c r="AV206" s="927"/>
      <c r="AW206" s="927"/>
      <c r="AX206" s="927"/>
      <c r="AY206" s="927"/>
      <c r="AZ206" s="927"/>
      <c r="BA206" s="927"/>
      <c r="BC206" s="927"/>
      <c r="BE206" s="927"/>
      <c r="BF206" s="927"/>
      <c r="BG206" s="927"/>
    </row>
    <row r="207" spans="18:59" x14ac:dyDescent="0.35">
      <c r="R207" s="927"/>
      <c r="S207" s="927"/>
      <c r="W207" s="927"/>
      <c r="X207" s="927"/>
      <c r="AE207" s="927"/>
      <c r="AF207" s="927"/>
      <c r="AV207" s="927"/>
      <c r="AW207" s="927"/>
      <c r="AX207" s="927"/>
      <c r="AY207" s="927"/>
      <c r="AZ207" s="927"/>
      <c r="BA207" s="927"/>
      <c r="BC207" s="927"/>
      <c r="BE207" s="927"/>
      <c r="BF207" s="927"/>
      <c r="BG207" s="927"/>
    </row>
    <row r="208" spans="18:59" x14ac:dyDescent="0.35">
      <c r="R208" s="927"/>
      <c r="S208" s="927"/>
      <c r="W208" s="927"/>
      <c r="X208" s="927"/>
      <c r="AE208" s="927"/>
      <c r="AF208" s="927"/>
      <c r="AV208" s="927"/>
      <c r="AW208" s="927"/>
      <c r="AX208" s="927"/>
      <c r="AY208" s="927"/>
      <c r="AZ208" s="927"/>
      <c r="BA208" s="927"/>
      <c r="BC208" s="927"/>
      <c r="BE208" s="927"/>
      <c r="BF208" s="927"/>
      <c r="BG208" s="927"/>
    </row>
    <row r="209" spans="18:59" x14ac:dyDescent="0.35">
      <c r="R209" s="927"/>
      <c r="S209" s="927"/>
      <c r="W209" s="927"/>
      <c r="X209" s="927"/>
      <c r="AE209" s="927"/>
      <c r="AF209" s="927"/>
      <c r="AV209" s="927"/>
      <c r="AW209" s="927"/>
      <c r="AX209" s="927"/>
      <c r="AY209" s="927"/>
      <c r="AZ209" s="927"/>
      <c r="BA209" s="927"/>
      <c r="BC209" s="927"/>
      <c r="BE209" s="927"/>
      <c r="BF209" s="927"/>
      <c r="BG209" s="927"/>
    </row>
    <row r="210" spans="18:59" x14ac:dyDescent="0.35">
      <c r="R210" s="927"/>
      <c r="S210" s="927"/>
      <c r="W210" s="927"/>
      <c r="X210" s="927"/>
      <c r="AE210" s="927"/>
      <c r="AF210" s="927"/>
      <c r="AV210" s="927"/>
      <c r="AW210" s="927"/>
      <c r="AX210" s="927"/>
      <c r="AY210" s="927"/>
      <c r="AZ210" s="927"/>
      <c r="BA210" s="927"/>
      <c r="BC210" s="927"/>
      <c r="BE210" s="927"/>
      <c r="BF210" s="927"/>
      <c r="BG210" s="927"/>
    </row>
    <row r="211" spans="18:59" x14ac:dyDescent="0.35">
      <c r="R211" s="927"/>
      <c r="S211" s="927"/>
      <c r="W211" s="927"/>
      <c r="X211" s="927"/>
      <c r="AE211" s="927"/>
      <c r="AF211" s="927"/>
      <c r="AV211" s="927"/>
      <c r="AW211" s="927"/>
      <c r="AX211" s="927"/>
      <c r="AY211" s="927"/>
      <c r="AZ211" s="927"/>
      <c r="BA211" s="927"/>
      <c r="BC211" s="927"/>
      <c r="BE211" s="927"/>
      <c r="BF211" s="927"/>
      <c r="BG211" s="927"/>
    </row>
    <row r="212" spans="18:59" x14ac:dyDescent="0.35">
      <c r="R212" s="927"/>
      <c r="S212" s="927"/>
      <c r="W212" s="927"/>
      <c r="X212" s="927"/>
      <c r="AE212" s="927"/>
      <c r="AF212" s="927"/>
      <c r="AV212" s="927"/>
      <c r="AW212" s="927"/>
      <c r="AX212" s="927"/>
      <c r="AY212" s="927"/>
      <c r="AZ212" s="927"/>
      <c r="BA212" s="927"/>
      <c r="BC212" s="927"/>
      <c r="BE212" s="927"/>
      <c r="BF212" s="927"/>
      <c r="BG212" s="927"/>
    </row>
    <row r="213" spans="18:59" x14ac:dyDescent="0.35">
      <c r="R213" s="927"/>
      <c r="S213" s="927"/>
      <c r="W213" s="927"/>
      <c r="X213" s="927"/>
      <c r="AE213" s="927"/>
      <c r="AF213" s="927"/>
      <c r="AV213" s="927"/>
      <c r="AW213" s="927"/>
      <c r="AX213" s="927"/>
      <c r="AY213" s="927"/>
      <c r="AZ213" s="927"/>
      <c r="BA213" s="927"/>
      <c r="BC213" s="927"/>
      <c r="BE213" s="927"/>
      <c r="BF213" s="927"/>
      <c r="BG213" s="927"/>
    </row>
    <row r="214" spans="18:59" x14ac:dyDescent="0.35">
      <c r="R214" s="927"/>
      <c r="S214" s="927"/>
      <c r="W214" s="927"/>
      <c r="X214" s="927"/>
      <c r="AE214" s="927"/>
      <c r="AF214" s="927"/>
      <c r="AV214" s="927"/>
      <c r="AW214" s="927"/>
      <c r="AX214" s="927"/>
      <c r="AY214" s="927"/>
      <c r="AZ214" s="927"/>
      <c r="BA214" s="927"/>
      <c r="BC214" s="927"/>
      <c r="BE214" s="927"/>
      <c r="BF214" s="927"/>
      <c r="BG214" s="927"/>
    </row>
    <row r="215" spans="18:59" x14ac:dyDescent="0.35">
      <c r="R215" s="927"/>
      <c r="S215" s="927"/>
      <c r="W215" s="927"/>
      <c r="X215" s="927"/>
      <c r="AE215" s="927"/>
      <c r="AF215" s="927"/>
      <c r="AV215" s="927"/>
      <c r="AW215" s="927"/>
      <c r="AX215" s="927"/>
      <c r="AY215" s="927"/>
      <c r="AZ215" s="927"/>
      <c r="BA215" s="927"/>
      <c r="BC215" s="927"/>
      <c r="BE215" s="927"/>
      <c r="BF215" s="927"/>
      <c r="BG215" s="927"/>
    </row>
    <row r="216" spans="18:59" x14ac:dyDescent="0.35">
      <c r="R216" s="927"/>
      <c r="S216" s="927"/>
      <c r="W216" s="927"/>
      <c r="X216" s="927"/>
      <c r="AE216" s="927"/>
      <c r="AF216" s="927"/>
      <c r="AV216" s="927"/>
      <c r="AW216" s="927"/>
      <c r="AX216" s="927"/>
      <c r="AY216" s="927"/>
      <c r="AZ216" s="927"/>
      <c r="BA216" s="927"/>
      <c r="BC216" s="927"/>
      <c r="BE216" s="927"/>
      <c r="BF216" s="927"/>
      <c r="BG216" s="927"/>
    </row>
    <row r="217" spans="18:59" x14ac:dyDescent="0.35">
      <c r="R217" s="927"/>
      <c r="S217" s="927"/>
      <c r="W217" s="927"/>
      <c r="X217" s="927"/>
      <c r="AE217" s="927"/>
      <c r="AF217" s="927"/>
      <c r="AV217" s="927"/>
      <c r="AW217" s="927"/>
      <c r="AX217" s="927"/>
      <c r="AY217" s="927"/>
      <c r="AZ217" s="927"/>
      <c r="BA217" s="927"/>
      <c r="BC217" s="927"/>
      <c r="BE217" s="927"/>
      <c r="BF217" s="927"/>
      <c r="BG217" s="927"/>
    </row>
    <row r="218" spans="18:59" x14ac:dyDescent="0.35">
      <c r="R218" s="927"/>
      <c r="S218" s="927"/>
      <c r="W218" s="927"/>
      <c r="X218" s="927"/>
      <c r="AE218" s="927"/>
      <c r="AF218" s="927"/>
      <c r="AV218" s="927"/>
      <c r="AW218" s="927"/>
      <c r="AX218" s="927"/>
      <c r="AY218" s="927"/>
      <c r="AZ218" s="927"/>
      <c r="BA218" s="927"/>
      <c r="BC218" s="927"/>
      <c r="BE218" s="927"/>
      <c r="BF218" s="927"/>
      <c r="BG218" s="927"/>
    </row>
    <row r="219" spans="18:59" x14ac:dyDescent="0.35">
      <c r="R219" s="927"/>
      <c r="S219" s="927"/>
      <c r="W219" s="927"/>
      <c r="X219" s="927"/>
      <c r="AE219" s="927"/>
      <c r="AF219" s="927"/>
      <c r="AV219" s="927"/>
      <c r="AW219" s="927"/>
      <c r="AX219" s="927"/>
      <c r="AY219" s="927"/>
      <c r="AZ219" s="927"/>
      <c r="BA219" s="927"/>
      <c r="BC219" s="927"/>
      <c r="BE219" s="927"/>
      <c r="BF219" s="927"/>
      <c r="BG219" s="927"/>
    </row>
    <row r="220" spans="18:59" x14ac:dyDescent="0.35">
      <c r="R220" s="927"/>
      <c r="S220" s="927"/>
      <c r="W220" s="927"/>
      <c r="X220" s="927"/>
      <c r="AE220" s="927"/>
      <c r="AF220" s="927"/>
      <c r="AV220" s="927"/>
      <c r="AW220" s="927"/>
      <c r="AX220" s="927"/>
      <c r="AY220" s="927"/>
      <c r="AZ220" s="927"/>
      <c r="BA220" s="927"/>
      <c r="BC220" s="927"/>
      <c r="BE220" s="927"/>
      <c r="BF220" s="927"/>
      <c r="BG220" s="927"/>
    </row>
    <row r="221" spans="18:59" x14ac:dyDescent="0.35">
      <c r="R221" s="927"/>
      <c r="S221" s="927"/>
      <c r="W221" s="927"/>
      <c r="X221" s="927"/>
      <c r="AE221" s="927"/>
      <c r="AF221" s="927"/>
      <c r="AV221" s="927"/>
      <c r="AW221" s="927"/>
      <c r="AX221" s="927"/>
      <c r="AY221" s="927"/>
      <c r="AZ221" s="927"/>
      <c r="BA221" s="927"/>
      <c r="BC221" s="927"/>
      <c r="BE221" s="927"/>
      <c r="BF221" s="927"/>
      <c r="BG221" s="927"/>
    </row>
    <row r="222" spans="18:59" x14ac:dyDescent="0.35">
      <c r="R222" s="927"/>
      <c r="S222" s="927"/>
      <c r="W222" s="927"/>
      <c r="X222" s="927"/>
      <c r="AE222" s="927"/>
      <c r="AF222" s="927"/>
      <c r="AV222" s="927"/>
      <c r="AW222" s="927"/>
      <c r="AX222" s="927"/>
      <c r="AY222" s="927"/>
      <c r="AZ222" s="927"/>
      <c r="BA222" s="927"/>
      <c r="BC222" s="927"/>
      <c r="BE222" s="927"/>
      <c r="BF222" s="927"/>
      <c r="BG222" s="927"/>
    </row>
    <row r="223" spans="18:59" x14ac:dyDescent="0.35">
      <c r="R223" s="927"/>
      <c r="S223" s="927"/>
      <c r="W223" s="927"/>
      <c r="X223" s="927"/>
      <c r="AE223" s="927"/>
      <c r="AF223" s="927"/>
      <c r="AV223" s="927"/>
      <c r="AW223" s="927"/>
      <c r="AX223" s="927"/>
      <c r="AY223" s="927"/>
      <c r="AZ223" s="927"/>
      <c r="BA223" s="927"/>
      <c r="BC223" s="927"/>
      <c r="BE223" s="927"/>
      <c r="BF223" s="927"/>
      <c r="BG223" s="927"/>
    </row>
    <row r="224" spans="18:59" x14ac:dyDescent="0.35">
      <c r="R224" s="927"/>
      <c r="S224" s="927"/>
      <c r="W224" s="927"/>
      <c r="X224" s="927"/>
      <c r="AE224" s="927"/>
      <c r="AF224" s="927"/>
      <c r="AV224" s="927"/>
      <c r="AW224" s="927"/>
      <c r="AX224" s="927"/>
      <c r="AY224" s="927"/>
      <c r="AZ224" s="927"/>
      <c r="BA224" s="927"/>
      <c r="BC224" s="927"/>
      <c r="BE224" s="927"/>
      <c r="BF224" s="927"/>
      <c r="BG224" s="927"/>
    </row>
    <row r="225" spans="18:59" x14ac:dyDescent="0.35">
      <c r="R225" s="927"/>
      <c r="S225" s="927"/>
      <c r="W225" s="927"/>
      <c r="X225" s="927"/>
      <c r="AE225" s="927"/>
      <c r="AF225" s="927"/>
      <c r="AV225" s="927"/>
      <c r="AW225" s="927"/>
      <c r="AX225" s="927"/>
      <c r="AY225" s="927"/>
      <c r="AZ225" s="927"/>
      <c r="BA225" s="927"/>
      <c r="BC225" s="927"/>
      <c r="BE225" s="927"/>
      <c r="BF225" s="927"/>
      <c r="BG225" s="927"/>
    </row>
    <row r="226" spans="18:59" x14ac:dyDescent="0.35">
      <c r="R226" s="927"/>
      <c r="S226" s="927"/>
      <c r="W226" s="927"/>
      <c r="X226" s="927"/>
      <c r="AE226" s="927"/>
      <c r="AF226" s="927"/>
      <c r="AV226" s="927"/>
      <c r="AW226" s="927"/>
      <c r="AX226" s="927"/>
      <c r="AY226" s="927"/>
      <c r="AZ226" s="927"/>
      <c r="BA226" s="927"/>
      <c r="BC226" s="927"/>
      <c r="BE226" s="927"/>
      <c r="BF226" s="927"/>
      <c r="BG226" s="927"/>
    </row>
    <row r="227" spans="18:59" x14ac:dyDescent="0.35">
      <c r="R227" s="927"/>
      <c r="S227" s="927"/>
      <c r="W227" s="927"/>
      <c r="X227" s="927"/>
      <c r="AE227" s="927"/>
      <c r="AF227" s="927"/>
      <c r="AV227" s="927"/>
      <c r="AW227" s="927"/>
      <c r="AX227" s="927"/>
      <c r="AY227" s="927"/>
      <c r="AZ227" s="927"/>
      <c r="BA227" s="927"/>
      <c r="BC227" s="927"/>
      <c r="BE227" s="927"/>
      <c r="BF227" s="927"/>
      <c r="BG227" s="927"/>
    </row>
    <row r="228" spans="18:59" x14ac:dyDescent="0.35">
      <c r="R228" s="927"/>
      <c r="S228" s="927"/>
      <c r="W228" s="927"/>
      <c r="X228" s="927"/>
      <c r="AE228" s="927"/>
      <c r="AF228" s="927"/>
      <c r="AV228" s="927"/>
      <c r="AW228" s="927"/>
      <c r="AX228" s="927"/>
      <c r="AY228" s="927"/>
      <c r="AZ228" s="927"/>
      <c r="BA228" s="927"/>
      <c r="BC228" s="927"/>
      <c r="BE228" s="927"/>
      <c r="BF228" s="927"/>
      <c r="BG228" s="927"/>
    </row>
    <row r="229" spans="18:59" x14ac:dyDescent="0.35">
      <c r="R229" s="927"/>
      <c r="S229" s="927"/>
      <c r="W229" s="927"/>
      <c r="X229" s="927"/>
      <c r="AE229" s="927"/>
      <c r="AF229" s="927"/>
      <c r="AV229" s="927"/>
      <c r="AW229" s="927"/>
      <c r="AX229" s="927"/>
      <c r="AY229" s="927"/>
      <c r="AZ229" s="927"/>
      <c r="BA229" s="927"/>
      <c r="BC229" s="927"/>
      <c r="BE229" s="927"/>
      <c r="BF229" s="927"/>
      <c r="BG229" s="927"/>
    </row>
    <row r="230" spans="18:59" x14ac:dyDescent="0.35">
      <c r="R230" s="927"/>
      <c r="S230" s="927"/>
      <c r="W230" s="927"/>
      <c r="X230" s="927"/>
      <c r="AE230" s="927"/>
      <c r="AF230" s="927"/>
      <c r="AV230" s="927"/>
      <c r="AW230" s="927"/>
      <c r="AX230" s="927"/>
      <c r="AY230" s="927"/>
      <c r="AZ230" s="927"/>
      <c r="BA230" s="927"/>
      <c r="BC230" s="927"/>
      <c r="BE230" s="927"/>
      <c r="BF230" s="927"/>
      <c r="BG230" s="927"/>
    </row>
    <row r="231" spans="18:59" x14ac:dyDescent="0.35">
      <c r="R231" s="927"/>
      <c r="S231" s="927"/>
      <c r="W231" s="927"/>
      <c r="X231" s="927"/>
      <c r="AE231" s="927"/>
      <c r="AF231" s="927"/>
      <c r="AV231" s="927"/>
      <c r="AW231" s="927"/>
      <c r="AX231" s="927"/>
      <c r="AY231" s="927"/>
      <c r="AZ231" s="927"/>
      <c r="BA231" s="927"/>
      <c r="BC231" s="927"/>
      <c r="BE231" s="927"/>
      <c r="BF231" s="927"/>
      <c r="BG231" s="927"/>
    </row>
    <row r="232" spans="18:59" x14ac:dyDescent="0.35">
      <c r="R232" s="927"/>
      <c r="S232" s="927"/>
      <c r="W232" s="927"/>
      <c r="X232" s="927"/>
      <c r="AE232" s="927"/>
      <c r="AF232" s="927"/>
      <c r="AV232" s="927"/>
      <c r="AW232" s="927"/>
      <c r="AX232" s="927"/>
      <c r="AY232" s="927"/>
      <c r="AZ232" s="927"/>
      <c r="BA232" s="927"/>
      <c r="BC232" s="927"/>
      <c r="BE232" s="927"/>
      <c r="BF232" s="927"/>
      <c r="BG232" s="927"/>
    </row>
    <row r="233" spans="18:59" x14ac:dyDescent="0.35">
      <c r="R233" s="927"/>
      <c r="S233" s="927"/>
      <c r="W233" s="927"/>
      <c r="X233" s="927"/>
      <c r="AE233" s="927"/>
      <c r="AF233" s="927"/>
      <c r="AV233" s="927"/>
      <c r="AW233" s="927"/>
      <c r="AX233" s="927"/>
      <c r="AY233" s="927"/>
      <c r="AZ233" s="927"/>
      <c r="BA233" s="927"/>
      <c r="BC233" s="927"/>
      <c r="BE233" s="927"/>
      <c r="BF233" s="927"/>
      <c r="BG233" s="927"/>
    </row>
    <row r="234" spans="18:59" x14ac:dyDescent="0.35">
      <c r="R234" s="927"/>
      <c r="S234" s="927"/>
      <c r="W234" s="927"/>
      <c r="X234" s="927"/>
      <c r="AE234" s="927"/>
      <c r="AF234" s="927"/>
      <c r="AV234" s="927"/>
      <c r="AW234" s="927"/>
      <c r="AX234" s="927"/>
      <c r="AY234" s="927"/>
      <c r="AZ234" s="927"/>
      <c r="BA234" s="927"/>
      <c r="BC234" s="927"/>
      <c r="BE234" s="927"/>
      <c r="BF234" s="927"/>
      <c r="BG234" s="927"/>
    </row>
    <row r="235" spans="18:59" x14ac:dyDescent="0.35">
      <c r="R235" s="927"/>
      <c r="S235" s="927"/>
      <c r="W235" s="927"/>
      <c r="X235" s="927"/>
      <c r="AE235" s="927"/>
      <c r="AF235" s="927"/>
      <c r="AV235" s="927"/>
      <c r="AW235" s="927"/>
      <c r="AX235" s="927"/>
      <c r="AY235" s="927"/>
      <c r="AZ235" s="927"/>
      <c r="BA235" s="927"/>
      <c r="BC235" s="927"/>
      <c r="BE235" s="927"/>
      <c r="BF235" s="927"/>
      <c r="BG235" s="927"/>
    </row>
    <row r="236" spans="18:59" x14ac:dyDescent="0.35">
      <c r="R236" s="927"/>
      <c r="S236" s="927"/>
      <c r="W236" s="927"/>
      <c r="X236" s="927"/>
      <c r="AE236" s="927"/>
      <c r="AF236" s="927"/>
      <c r="AV236" s="927"/>
      <c r="AW236" s="927"/>
      <c r="AX236" s="927"/>
      <c r="AY236" s="927"/>
      <c r="AZ236" s="927"/>
      <c r="BA236" s="927"/>
      <c r="BC236" s="927"/>
      <c r="BE236" s="927"/>
      <c r="BF236" s="927"/>
      <c r="BG236" s="927"/>
    </row>
    <row r="237" spans="18:59" x14ac:dyDescent="0.35">
      <c r="R237" s="927"/>
      <c r="S237" s="927"/>
      <c r="W237" s="927"/>
      <c r="X237" s="927"/>
      <c r="AE237" s="927"/>
      <c r="AF237" s="927"/>
      <c r="AV237" s="927"/>
      <c r="AW237" s="927"/>
      <c r="AX237" s="927"/>
      <c r="AY237" s="927"/>
      <c r="AZ237" s="927"/>
      <c r="BA237" s="927"/>
      <c r="BC237" s="927"/>
      <c r="BE237" s="927"/>
      <c r="BF237" s="927"/>
      <c r="BG237" s="927"/>
    </row>
    <row r="238" spans="18:59" x14ac:dyDescent="0.35">
      <c r="R238" s="927"/>
      <c r="S238" s="927"/>
      <c r="W238" s="927"/>
      <c r="X238" s="927"/>
      <c r="AE238" s="927"/>
      <c r="AF238" s="927"/>
      <c r="AV238" s="927"/>
      <c r="AW238" s="927"/>
      <c r="AX238" s="927"/>
      <c r="AY238" s="927"/>
      <c r="AZ238" s="927"/>
      <c r="BA238" s="927"/>
      <c r="BC238" s="927"/>
      <c r="BE238" s="927"/>
      <c r="BF238" s="927"/>
      <c r="BG238" s="927"/>
    </row>
    <row r="239" spans="18:59" x14ac:dyDescent="0.35">
      <c r="R239" s="927"/>
      <c r="S239" s="927"/>
      <c r="W239" s="927"/>
      <c r="X239" s="927"/>
      <c r="AE239" s="927"/>
      <c r="AF239" s="927"/>
      <c r="AV239" s="927"/>
      <c r="AW239" s="927"/>
      <c r="AX239" s="927"/>
      <c r="AY239" s="927"/>
      <c r="AZ239" s="927"/>
      <c r="BA239" s="927"/>
      <c r="BC239" s="927"/>
      <c r="BE239" s="927"/>
      <c r="BF239" s="927"/>
      <c r="BG239" s="927"/>
    </row>
    <row r="240" spans="18:59" x14ac:dyDescent="0.35">
      <c r="R240" s="927"/>
      <c r="S240" s="927"/>
      <c r="W240" s="927"/>
      <c r="X240" s="927"/>
      <c r="AE240" s="927"/>
      <c r="AF240" s="927"/>
      <c r="AV240" s="927"/>
      <c r="AW240" s="927"/>
      <c r="AX240" s="927"/>
      <c r="AY240" s="927"/>
      <c r="AZ240" s="927"/>
      <c r="BA240" s="927"/>
      <c r="BC240" s="927"/>
      <c r="BE240" s="927"/>
      <c r="BF240" s="927"/>
      <c r="BG240" s="927"/>
    </row>
    <row r="241" spans="18:59" x14ac:dyDescent="0.35">
      <c r="R241" s="927"/>
      <c r="S241" s="927"/>
      <c r="W241" s="927"/>
      <c r="X241" s="927"/>
      <c r="AE241" s="927"/>
      <c r="AF241" s="927"/>
      <c r="AV241" s="927"/>
      <c r="AW241" s="927"/>
      <c r="AX241" s="927"/>
      <c r="AY241" s="927"/>
      <c r="AZ241" s="927"/>
      <c r="BA241" s="927"/>
      <c r="BC241" s="927"/>
      <c r="BE241" s="927"/>
      <c r="BF241" s="927"/>
      <c r="BG241" s="927"/>
    </row>
    <row r="242" spans="18:59" x14ac:dyDescent="0.35">
      <c r="R242" s="927"/>
      <c r="S242" s="927"/>
      <c r="W242" s="927"/>
      <c r="X242" s="927"/>
      <c r="AE242" s="927"/>
      <c r="AF242" s="927"/>
      <c r="AV242" s="927"/>
      <c r="AW242" s="927"/>
      <c r="AX242" s="927"/>
      <c r="AY242" s="927"/>
      <c r="AZ242" s="927"/>
      <c r="BA242" s="927"/>
      <c r="BC242" s="927"/>
      <c r="BE242" s="927"/>
      <c r="BF242" s="927"/>
      <c r="BG242" s="927"/>
    </row>
    <row r="243" spans="18:59" x14ac:dyDescent="0.35">
      <c r="R243" s="927"/>
      <c r="S243" s="927"/>
      <c r="W243" s="927"/>
      <c r="X243" s="927"/>
      <c r="AE243" s="927"/>
      <c r="AF243" s="927"/>
      <c r="AV243" s="927"/>
      <c r="AW243" s="927"/>
      <c r="AX243" s="927"/>
      <c r="AY243" s="927"/>
      <c r="AZ243" s="927"/>
      <c r="BA243" s="927"/>
      <c r="BC243" s="927"/>
      <c r="BE243" s="927"/>
      <c r="BF243" s="927"/>
      <c r="BG243" s="927"/>
    </row>
    <row r="244" spans="18:59" x14ac:dyDescent="0.35">
      <c r="R244" s="927"/>
      <c r="S244" s="927"/>
      <c r="W244" s="927"/>
      <c r="X244" s="927"/>
      <c r="AE244" s="927"/>
      <c r="AF244" s="927"/>
      <c r="AV244" s="927"/>
      <c r="AW244" s="927"/>
      <c r="AX244" s="927"/>
      <c r="AY244" s="927"/>
      <c r="AZ244" s="927"/>
      <c r="BA244" s="927"/>
      <c r="BC244" s="927"/>
      <c r="BE244" s="927"/>
      <c r="BF244" s="927"/>
      <c r="BG244" s="927"/>
    </row>
    <row r="245" spans="18:59" x14ac:dyDescent="0.35">
      <c r="R245" s="927"/>
      <c r="S245" s="927"/>
      <c r="W245" s="927"/>
      <c r="X245" s="927"/>
      <c r="AE245" s="927"/>
      <c r="AF245" s="927"/>
      <c r="AV245" s="927"/>
      <c r="AW245" s="927"/>
      <c r="AX245" s="927"/>
      <c r="AY245" s="927"/>
      <c r="AZ245" s="927"/>
      <c r="BA245" s="927"/>
      <c r="BC245" s="927"/>
      <c r="BE245" s="927"/>
      <c r="BF245" s="927"/>
      <c r="BG245" s="927"/>
    </row>
    <row r="246" spans="18:59" x14ac:dyDescent="0.35">
      <c r="R246" s="927"/>
      <c r="S246" s="927"/>
      <c r="W246" s="927"/>
      <c r="X246" s="927"/>
      <c r="AE246" s="927"/>
      <c r="AF246" s="927"/>
      <c r="AV246" s="927"/>
      <c r="AW246" s="927"/>
      <c r="AX246" s="927"/>
      <c r="AY246" s="927"/>
      <c r="AZ246" s="927"/>
      <c r="BA246" s="927"/>
      <c r="BC246" s="927"/>
      <c r="BE246" s="927"/>
      <c r="BF246" s="927"/>
      <c r="BG246" s="927"/>
    </row>
    <row r="247" spans="18:59" x14ac:dyDescent="0.35">
      <c r="R247" s="927"/>
      <c r="S247" s="927"/>
      <c r="W247" s="927"/>
      <c r="X247" s="927"/>
      <c r="AE247" s="927"/>
      <c r="AF247" s="927"/>
      <c r="AV247" s="927"/>
      <c r="AW247" s="927"/>
      <c r="AX247" s="927"/>
      <c r="AY247" s="927"/>
      <c r="AZ247" s="927"/>
      <c r="BA247" s="927"/>
      <c r="BC247" s="927"/>
      <c r="BE247" s="927"/>
      <c r="BF247" s="927"/>
      <c r="BG247" s="927"/>
    </row>
    <row r="248" spans="18:59" x14ac:dyDescent="0.35">
      <c r="R248" s="927"/>
      <c r="S248" s="927"/>
      <c r="W248" s="927"/>
      <c r="X248" s="927"/>
      <c r="AE248" s="927"/>
      <c r="AF248" s="927"/>
      <c r="AV248" s="927"/>
      <c r="AW248" s="927"/>
      <c r="AX248" s="927"/>
      <c r="AY248" s="927"/>
      <c r="AZ248" s="927"/>
      <c r="BA248" s="927"/>
      <c r="BC248" s="927"/>
      <c r="BE248" s="927"/>
      <c r="BF248" s="927"/>
      <c r="BG248" s="927"/>
    </row>
    <row r="249" spans="18:59" x14ac:dyDescent="0.35">
      <c r="R249" s="927"/>
      <c r="S249" s="927"/>
      <c r="W249" s="927"/>
      <c r="X249" s="927"/>
      <c r="AE249" s="927"/>
      <c r="AF249" s="927"/>
      <c r="AV249" s="927"/>
      <c r="AW249" s="927"/>
      <c r="AX249" s="927"/>
      <c r="AY249" s="927"/>
      <c r="AZ249" s="927"/>
      <c r="BA249" s="927"/>
      <c r="BC249" s="927"/>
      <c r="BE249" s="927"/>
      <c r="BF249" s="927"/>
      <c r="BG249" s="927"/>
    </row>
    <row r="250" spans="18:59" x14ac:dyDescent="0.35">
      <c r="R250" s="927"/>
      <c r="S250" s="927"/>
      <c r="W250" s="927"/>
      <c r="X250" s="927"/>
      <c r="AE250" s="927"/>
      <c r="AF250" s="927"/>
      <c r="AV250" s="927"/>
      <c r="AW250" s="927"/>
      <c r="AX250" s="927"/>
      <c r="AY250" s="927"/>
      <c r="AZ250" s="927"/>
      <c r="BA250" s="927"/>
      <c r="BC250" s="927"/>
      <c r="BE250" s="927"/>
      <c r="BF250" s="927"/>
      <c r="BG250" s="927"/>
    </row>
    <row r="251" spans="18:59" x14ac:dyDescent="0.35">
      <c r="R251" s="927"/>
      <c r="S251" s="927"/>
      <c r="W251" s="927"/>
      <c r="X251" s="927"/>
      <c r="AE251" s="927"/>
      <c r="AF251" s="927"/>
      <c r="AV251" s="927"/>
      <c r="AW251" s="927"/>
      <c r="AX251" s="927"/>
      <c r="AY251" s="927"/>
      <c r="AZ251" s="927"/>
      <c r="BA251" s="927"/>
      <c r="BC251" s="927"/>
      <c r="BE251" s="927"/>
      <c r="BF251" s="927"/>
      <c r="BG251" s="927"/>
    </row>
    <row r="252" spans="18:59" x14ac:dyDescent="0.35">
      <c r="R252" s="927"/>
      <c r="S252" s="927"/>
      <c r="W252" s="927"/>
      <c r="X252" s="927"/>
      <c r="AE252" s="927"/>
      <c r="AF252" s="927"/>
      <c r="AV252" s="927"/>
      <c r="AW252" s="927"/>
      <c r="AX252" s="927"/>
      <c r="AY252" s="927"/>
      <c r="AZ252" s="927"/>
      <c r="BA252" s="927"/>
      <c r="BC252" s="927"/>
      <c r="BE252" s="927"/>
      <c r="BF252" s="927"/>
      <c r="BG252" s="927"/>
    </row>
    <row r="253" spans="18:59" x14ac:dyDescent="0.35">
      <c r="R253" s="927"/>
      <c r="S253" s="927"/>
      <c r="W253" s="927"/>
      <c r="X253" s="927"/>
      <c r="AE253" s="927"/>
      <c r="AF253" s="927"/>
      <c r="AV253" s="927"/>
      <c r="AW253" s="927"/>
      <c r="AX253" s="927"/>
      <c r="AY253" s="927"/>
      <c r="AZ253" s="927"/>
      <c r="BA253" s="927"/>
      <c r="BC253" s="927"/>
      <c r="BE253" s="927"/>
      <c r="BF253" s="927"/>
      <c r="BG253" s="927"/>
    </row>
    <row r="254" spans="18:59" x14ac:dyDescent="0.35">
      <c r="R254" s="927"/>
      <c r="S254" s="927"/>
      <c r="W254" s="927"/>
      <c r="X254" s="927"/>
      <c r="AE254" s="927"/>
      <c r="AF254" s="927"/>
      <c r="AV254" s="927"/>
      <c r="AW254" s="927"/>
      <c r="AX254" s="927"/>
      <c r="AY254" s="927"/>
      <c r="AZ254" s="927"/>
      <c r="BA254" s="927"/>
      <c r="BC254" s="927"/>
      <c r="BE254" s="927"/>
      <c r="BF254" s="927"/>
      <c r="BG254" s="927"/>
    </row>
    <row r="255" spans="18:59" x14ac:dyDescent="0.35">
      <c r="R255" s="927"/>
      <c r="S255" s="927"/>
      <c r="W255" s="927"/>
      <c r="X255" s="927"/>
      <c r="AE255" s="927"/>
      <c r="AF255" s="927"/>
      <c r="AV255" s="927"/>
      <c r="AW255" s="927"/>
      <c r="AX255" s="927"/>
      <c r="AY255" s="927"/>
      <c r="AZ255" s="927"/>
      <c r="BA255" s="927"/>
      <c r="BC255" s="927"/>
      <c r="BE255" s="927"/>
      <c r="BF255" s="927"/>
      <c r="BG255" s="927"/>
    </row>
    <row r="256" spans="18:59" x14ac:dyDescent="0.35">
      <c r="R256" s="927"/>
      <c r="S256" s="927"/>
      <c r="W256" s="927"/>
      <c r="X256" s="927"/>
      <c r="AE256" s="927"/>
      <c r="AF256" s="927"/>
      <c r="AV256" s="927"/>
      <c r="AW256" s="927"/>
      <c r="AX256" s="927"/>
      <c r="AY256" s="927"/>
      <c r="AZ256" s="927"/>
      <c r="BA256" s="927"/>
      <c r="BC256" s="927"/>
      <c r="BE256" s="927"/>
      <c r="BF256" s="927"/>
      <c r="BG256" s="927"/>
    </row>
    <row r="257" spans="18:59" x14ac:dyDescent="0.35">
      <c r="R257" s="927"/>
      <c r="S257" s="927"/>
      <c r="W257" s="927"/>
      <c r="X257" s="927"/>
      <c r="AE257" s="927"/>
      <c r="AF257" s="927"/>
      <c r="AV257" s="927"/>
      <c r="AW257" s="927"/>
      <c r="AX257" s="927"/>
      <c r="AY257" s="927"/>
      <c r="AZ257" s="927"/>
      <c r="BA257" s="927"/>
      <c r="BC257" s="927"/>
      <c r="BE257" s="927"/>
      <c r="BF257" s="927"/>
      <c r="BG257" s="927"/>
    </row>
    <row r="258" spans="18:59" x14ac:dyDescent="0.35">
      <c r="R258" s="927"/>
      <c r="S258" s="927"/>
      <c r="W258" s="927"/>
      <c r="X258" s="927"/>
      <c r="AE258" s="927"/>
      <c r="AF258" s="927"/>
      <c r="AV258" s="927"/>
      <c r="AW258" s="927"/>
      <c r="AX258" s="927"/>
      <c r="AY258" s="927"/>
      <c r="AZ258" s="927"/>
      <c r="BA258" s="927"/>
      <c r="BC258" s="927"/>
      <c r="BE258" s="927"/>
      <c r="BF258" s="927"/>
      <c r="BG258" s="927"/>
    </row>
    <row r="259" spans="18:59" x14ac:dyDescent="0.35">
      <c r="R259" s="927"/>
      <c r="S259" s="927"/>
      <c r="W259" s="927"/>
      <c r="X259" s="927"/>
      <c r="AE259" s="927"/>
      <c r="AF259" s="927"/>
      <c r="AV259" s="927"/>
      <c r="AW259" s="927"/>
      <c r="AX259" s="927"/>
      <c r="AY259" s="927"/>
      <c r="AZ259" s="927"/>
      <c r="BA259" s="927"/>
      <c r="BC259" s="927"/>
      <c r="BE259" s="927"/>
      <c r="BF259" s="927"/>
      <c r="BG259" s="927"/>
    </row>
    <row r="260" spans="18:59" x14ac:dyDescent="0.35">
      <c r="R260" s="927"/>
      <c r="S260" s="927"/>
      <c r="W260" s="927"/>
      <c r="X260" s="927"/>
      <c r="AE260" s="927"/>
      <c r="AF260" s="927"/>
      <c r="AV260" s="927"/>
      <c r="AW260" s="927"/>
      <c r="AX260" s="927"/>
      <c r="AY260" s="927"/>
      <c r="AZ260" s="927"/>
      <c r="BA260" s="927"/>
      <c r="BC260" s="927"/>
      <c r="BE260" s="927"/>
      <c r="BF260" s="927"/>
      <c r="BG260" s="927"/>
    </row>
    <row r="261" spans="18:59" x14ac:dyDescent="0.35">
      <c r="R261" s="927"/>
      <c r="S261" s="927"/>
      <c r="W261" s="927"/>
      <c r="X261" s="927"/>
      <c r="AE261" s="927"/>
      <c r="AF261" s="927"/>
      <c r="AV261" s="927"/>
      <c r="AW261" s="927"/>
      <c r="AX261" s="927"/>
      <c r="AY261" s="927"/>
      <c r="AZ261" s="927"/>
      <c r="BA261" s="927"/>
      <c r="BC261" s="927"/>
      <c r="BE261" s="927"/>
      <c r="BF261" s="927"/>
      <c r="BG261" s="927"/>
    </row>
    <row r="262" spans="18:59" x14ac:dyDescent="0.35">
      <c r="R262" s="927"/>
      <c r="S262" s="927"/>
      <c r="W262" s="927"/>
      <c r="X262" s="927"/>
      <c r="AE262" s="927"/>
      <c r="AF262" s="927"/>
      <c r="AV262" s="927"/>
      <c r="AW262" s="927"/>
      <c r="AX262" s="927"/>
      <c r="AY262" s="927"/>
      <c r="AZ262" s="927"/>
      <c r="BA262" s="927"/>
      <c r="BC262" s="927"/>
      <c r="BE262" s="927"/>
      <c r="BF262" s="927"/>
      <c r="BG262" s="927"/>
    </row>
    <row r="263" spans="18:59" x14ac:dyDescent="0.35">
      <c r="R263" s="927"/>
      <c r="S263" s="927"/>
      <c r="W263" s="927"/>
      <c r="X263" s="927"/>
      <c r="AE263" s="927"/>
      <c r="AF263" s="927"/>
      <c r="AV263" s="927"/>
      <c r="AW263" s="927"/>
      <c r="AX263" s="927"/>
      <c r="AY263" s="927"/>
      <c r="AZ263" s="927"/>
      <c r="BA263" s="927"/>
      <c r="BC263" s="927"/>
      <c r="BE263" s="927"/>
      <c r="BF263" s="927"/>
      <c r="BG263" s="927"/>
    </row>
    <row r="264" spans="18:59" x14ac:dyDescent="0.35">
      <c r="R264" s="927"/>
      <c r="S264" s="927"/>
      <c r="W264" s="927"/>
      <c r="X264" s="927"/>
      <c r="AE264" s="927"/>
      <c r="AF264" s="927"/>
      <c r="AV264" s="927"/>
      <c r="AW264" s="927"/>
      <c r="AX264" s="927"/>
      <c r="AY264" s="927"/>
      <c r="AZ264" s="927"/>
      <c r="BA264" s="927"/>
      <c r="BC264" s="927"/>
      <c r="BE264" s="927"/>
      <c r="BF264" s="927"/>
      <c r="BG264" s="927"/>
    </row>
    <row r="265" spans="18:59" x14ac:dyDescent="0.35">
      <c r="R265" s="927"/>
      <c r="S265" s="927"/>
      <c r="W265" s="927"/>
      <c r="X265" s="927"/>
      <c r="AE265" s="927"/>
      <c r="AF265" s="927"/>
      <c r="AV265" s="927"/>
      <c r="AW265" s="927"/>
      <c r="AX265" s="927"/>
      <c r="AY265" s="927"/>
      <c r="AZ265" s="927"/>
      <c r="BA265" s="927"/>
      <c r="BC265" s="927"/>
      <c r="BE265" s="927"/>
      <c r="BF265" s="927"/>
      <c r="BG265" s="927"/>
    </row>
    <row r="266" spans="18:59" x14ac:dyDescent="0.35">
      <c r="R266" s="927"/>
      <c r="S266" s="927"/>
      <c r="W266" s="927"/>
      <c r="X266" s="927"/>
      <c r="AE266" s="927"/>
      <c r="AF266" s="927"/>
      <c r="AV266" s="927"/>
      <c r="AW266" s="927"/>
      <c r="AX266" s="927"/>
      <c r="AY266" s="927"/>
      <c r="AZ266" s="927"/>
      <c r="BA266" s="927"/>
      <c r="BC266" s="927"/>
      <c r="BE266" s="927"/>
      <c r="BF266" s="927"/>
      <c r="BG266" s="927"/>
    </row>
    <row r="267" spans="18:59" x14ac:dyDescent="0.35">
      <c r="R267" s="927"/>
      <c r="S267" s="927"/>
      <c r="W267" s="927"/>
      <c r="X267" s="927"/>
      <c r="AE267" s="927"/>
      <c r="AF267" s="927"/>
      <c r="AV267" s="927"/>
      <c r="AW267" s="927"/>
      <c r="AX267" s="927"/>
      <c r="AY267" s="927"/>
      <c r="AZ267" s="927"/>
      <c r="BA267" s="927"/>
      <c r="BC267" s="927"/>
      <c r="BE267" s="927"/>
      <c r="BF267" s="927"/>
      <c r="BG267" s="927"/>
    </row>
    <row r="268" spans="18:59" x14ac:dyDescent="0.35">
      <c r="R268" s="927"/>
      <c r="S268" s="927"/>
      <c r="W268" s="927"/>
      <c r="X268" s="927"/>
      <c r="AE268" s="927"/>
      <c r="AF268" s="927"/>
      <c r="AV268" s="927"/>
      <c r="AW268" s="927"/>
      <c r="AX268" s="927"/>
      <c r="AY268" s="927"/>
      <c r="AZ268" s="927"/>
      <c r="BA268" s="927"/>
      <c r="BC268" s="927"/>
      <c r="BE268" s="927"/>
      <c r="BF268" s="927"/>
      <c r="BG268" s="927"/>
    </row>
    <row r="269" spans="18:59" x14ac:dyDescent="0.35">
      <c r="R269" s="927"/>
      <c r="S269" s="927"/>
      <c r="W269" s="927"/>
      <c r="X269" s="927"/>
      <c r="AE269" s="927"/>
      <c r="AF269" s="927"/>
      <c r="AV269" s="927"/>
      <c r="AW269" s="927"/>
      <c r="AX269" s="927"/>
      <c r="AY269" s="927"/>
      <c r="AZ269" s="927"/>
      <c r="BA269" s="927"/>
      <c r="BC269" s="927"/>
      <c r="BE269" s="927"/>
      <c r="BF269" s="927"/>
      <c r="BG269" s="927"/>
    </row>
    <row r="270" spans="18:59" x14ac:dyDescent="0.35">
      <c r="R270" s="927"/>
      <c r="S270" s="927"/>
      <c r="W270" s="927"/>
      <c r="X270" s="927"/>
      <c r="AE270" s="927"/>
      <c r="AF270" s="927"/>
      <c r="AV270" s="927"/>
      <c r="AW270" s="927"/>
      <c r="AX270" s="927"/>
      <c r="AY270" s="927"/>
      <c r="AZ270" s="927"/>
      <c r="BA270" s="927"/>
      <c r="BC270" s="927"/>
      <c r="BE270" s="927"/>
      <c r="BF270" s="927"/>
      <c r="BG270" s="927"/>
    </row>
    <row r="271" spans="18:59" x14ac:dyDescent="0.35">
      <c r="R271" s="927"/>
      <c r="S271" s="927"/>
      <c r="W271" s="927"/>
      <c r="X271" s="927"/>
      <c r="AE271" s="927"/>
      <c r="AF271" s="927"/>
      <c r="AV271" s="927"/>
      <c r="AW271" s="927"/>
      <c r="AX271" s="927"/>
      <c r="AY271" s="927"/>
      <c r="AZ271" s="927"/>
      <c r="BA271" s="927"/>
      <c r="BC271" s="927"/>
      <c r="BE271" s="927"/>
      <c r="BF271" s="927"/>
      <c r="BG271" s="927"/>
    </row>
    <row r="272" spans="18:59" x14ac:dyDescent="0.35">
      <c r="R272" s="927"/>
      <c r="S272" s="927"/>
      <c r="W272" s="927"/>
      <c r="X272" s="927"/>
      <c r="AE272" s="927"/>
      <c r="AF272" s="927"/>
      <c r="AV272" s="927"/>
      <c r="AW272" s="927"/>
      <c r="AX272" s="927"/>
      <c r="AY272" s="927"/>
      <c r="AZ272" s="927"/>
      <c r="BA272" s="927"/>
      <c r="BC272" s="927"/>
      <c r="BE272" s="927"/>
      <c r="BF272" s="927"/>
      <c r="BG272" s="927"/>
    </row>
    <row r="273" spans="18:59" x14ac:dyDescent="0.35">
      <c r="R273" s="927"/>
      <c r="S273" s="927"/>
      <c r="W273" s="927"/>
      <c r="X273" s="927"/>
      <c r="AE273" s="927"/>
      <c r="AF273" s="927"/>
      <c r="AV273" s="927"/>
      <c r="AW273" s="927"/>
      <c r="AX273" s="927"/>
      <c r="AY273" s="927"/>
      <c r="AZ273" s="927"/>
      <c r="BA273" s="927"/>
      <c r="BC273" s="927"/>
      <c r="BE273" s="927"/>
      <c r="BF273" s="927"/>
      <c r="BG273" s="927"/>
    </row>
    <row r="274" spans="18:59" x14ac:dyDescent="0.35">
      <c r="R274" s="927"/>
      <c r="S274" s="927"/>
      <c r="W274" s="927"/>
      <c r="X274" s="927"/>
      <c r="AE274" s="927"/>
      <c r="AF274" s="927"/>
      <c r="AV274" s="927"/>
      <c r="AW274" s="927"/>
      <c r="AX274" s="927"/>
      <c r="AY274" s="927"/>
      <c r="AZ274" s="927"/>
      <c r="BA274" s="927"/>
      <c r="BC274" s="927"/>
      <c r="BE274" s="927"/>
      <c r="BF274" s="927"/>
      <c r="BG274" s="927"/>
    </row>
    <row r="275" spans="18:59" x14ac:dyDescent="0.35">
      <c r="R275" s="927"/>
      <c r="S275" s="927"/>
      <c r="W275" s="927"/>
      <c r="X275" s="927"/>
      <c r="AE275" s="927"/>
      <c r="AF275" s="927"/>
      <c r="AV275" s="927"/>
      <c r="AW275" s="927"/>
      <c r="AX275" s="927"/>
      <c r="AY275" s="927"/>
      <c r="AZ275" s="927"/>
      <c r="BA275" s="927"/>
      <c r="BC275" s="927"/>
      <c r="BE275" s="927"/>
      <c r="BF275" s="927"/>
      <c r="BG275" s="927"/>
    </row>
    <row r="276" spans="18:59" x14ac:dyDescent="0.35">
      <c r="R276" s="927"/>
      <c r="S276" s="927"/>
      <c r="W276" s="927"/>
      <c r="X276" s="927"/>
      <c r="AE276" s="927"/>
      <c r="AF276" s="927"/>
      <c r="AV276" s="927"/>
      <c r="AW276" s="927"/>
      <c r="AX276" s="927"/>
      <c r="AY276" s="927"/>
      <c r="AZ276" s="927"/>
      <c r="BA276" s="927"/>
      <c r="BC276" s="927"/>
      <c r="BE276" s="927"/>
      <c r="BF276" s="927"/>
      <c r="BG276" s="927"/>
    </row>
    <row r="277" spans="18:59" x14ac:dyDescent="0.35">
      <c r="R277" s="927"/>
      <c r="S277" s="927"/>
      <c r="W277" s="927"/>
      <c r="X277" s="927"/>
      <c r="AE277" s="927"/>
      <c r="AF277" s="927"/>
      <c r="AV277" s="927"/>
      <c r="AW277" s="927"/>
      <c r="AX277" s="927"/>
      <c r="AY277" s="927"/>
      <c r="AZ277" s="927"/>
      <c r="BA277" s="927"/>
      <c r="BC277" s="927"/>
      <c r="BE277" s="927"/>
      <c r="BF277" s="927"/>
      <c r="BG277" s="927"/>
    </row>
    <row r="278" spans="18:59" x14ac:dyDescent="0.35">
      <c r="R278" s="927"/>
      <c r="S278" s="927"/>
      <c r="W278" s="927"/>
      <c r="X278" s="927"/>
      <c r="AE278" s="927"/>
      <c r="AF278" s="927"/>
      <c r="AV278" s="927"/>
      <c r="AW278" s="927"/>
      <c r="AX278" s="927"/>
      <c r="AY278" s="927"/>
      <c r="AZ278" s="927"/>
      <c r="BA278" s="927"/>
      <c r="BC278" s="927"/>
      <c r="BE278" s="927"/>
      <c r="BF278" s="927"/>
      <c r="BG278" s="927"/>
    </row>
    <row r="279" spans="18:59" x14ac:dyDescent="0.35">
      <c r="R279" s="927"/>
      <c r="S279" s="927"/>
      <c r="W279" s="927"/>
      <c r="X279" s="927"/>
      <c r="AE279" s="927"/>
      <c r="AF279" s="927"/>
      <c r="AV279" s="927"/>
      <c r="AW279" s="927"/>
      <c r="AX279" s="927"/>
      <c r="AY279" s="927"/>
      <c r="AZ279" s="927"/>
      <c r="BA279" s="927"/>
      <c r="BC279" s="927"/>
      <c r="BE279" s="927"/>
      <c r="BF279" s="927"/>
      <c r="BG279" s="927"/>
    </row>
    <row r="280" spans="18:59" x14ac:dyDescent="0.35">
      <c r="R280" s="927"/>
      <c r="S280" s="927"/>
      <c r="W280" s="927"/>
      <c r="X280" s="927"/>
      <c r="AE280" s="927"/>
      <c r="AF280" s="927"/>
      <c r="AV280" s="927"/>
      <c r="AW280" s="927"/>
      <c r="AX280" s="927"/>
      <c r="AY280" s="927"/>
      <c r="AZ280" s="927"/>
      <c r="BA280" s="927"/>
      <c r="BC280" s="927"/>
      <c r="BE280" s="927"/>
      <c r="BF280" s="927"/>
      <c r="BG280" s="927"/>
    </row>
    <row r="281" spans="18:59" x14ac:dyDescent="0.35">
      <c r="R281" s="927"/>
      <c r="S281" s="927"/>
      <c r="W281" s="927"/>
      <c r="X281" s="927"/>
      <c r="AE281" s="927"/>
      <c r="AF281" s="927"/>
      <c r="AV281" s="927"/>
      <c r="AW281" s="927"/>
      <c r="AX281" s="927"/>
      <c r="AY281" s="927"/>
      <c r="AZ281" s="927"/>
      <c r="BA281" s="927"/>
      <c r="BC281" s="927"/>
      <c r="BE281" s="927"/>
      <c r="BF281" s="927"/>
      <c r="BG281" s="927"/>
    </row>
    <row r="282" spans="18:59" x14ac:dyDescent="0.35">
      <c r="R282" s="927"/>
      <c r="S282" s="927"/>
      <c r="W282" s="927"/>
      <c r="X282" s="927"/>
      <c r="AE282" s="927"/>
      <c r="AF282" s="927"/>
      <c r="AV282" s="927"/>
      <c r="AW282" s="927"/>
      <c r="AX282" s="927"/>
      <c r="AY282" s="927"/>
      <c r="AZ282" s="927"/>
      <c r="BA282" s="927"/>
      <c r="BC282" s="927"/>
      <c r="BE282" s="927"/>
      <c r="BF282" s="927"/>
      <c r="BG282" s="927"/>
    </row>
    <row r="283" spans="18:59" x14ac:dyDescent="0.35">
      <c r="R283" s="927"/>
      <c r="S283" s="927"/>
      <c r="W283" s="927"/>
      <c r="X283" s="927"/>
      <c r="AE283" s="927"/>
      <c r="AF283" s="927"/>
      <c r="AV283" s="927"/>
      <c r="AW283" s="927"/>
      <c r="AX283" s="927"/>
      <c r="AY283" s="927"/>
      <c r="AZ283" s="927"/>
      <c r="BA283" s="927"/>
      <c r="BC283" s="927"/>
      <c r="BE283" s="927"/>
      <c r="BF283" s="927"/>
      <c r="BG283" s="927"/>
    </row>
    <row r="284" spans="18:59" x14ac:dyDescent="0.35">
      <c r="R284" s="927"/>
      <c r="S284" s="927"/>
      <c r="W284" s="927"/>
      <c r="X284" s="927"/>
      <c r="AE284" s="927"/>
      <c r="AF284" s="927"/>
      <c r="AV284" s="927"/>
      <c r="AW284" s="927"/>
      <c r="AX284" s="927"/>
      <c r="AY284" s="927"/>
      <c r="AZ284" s="927"/>
      <c r="BA284" s="927"/>
      <c r="BC284" s="927"/>
      <c r="BE284" s="927"/>
      <c r="BF284" s="927"/>
      <c r="BG284" s="927"/>
    </row>
    <row r="285" spans="18:59" x14ac:dyDescent="0.35">
      <c r="R285" s="927"/>
      <c r="S285" s="927"/>
      <c r="W285" s="927"/>
      <c r="X285" s="927"/>
      <c r="AE285" s="927"/>
      <c r="AF285" s="927"/>
      <c r="AV285" s="927"/>
      <c r="AW285" s="927"/>
      <c r="AX285" s="927"/>
      <c r="AY285" s="927"/>
      <c r="AZ285" s="927"/>
      <c r="BA285" s="927"/>
      <c r="BC285" s="927"/>
      <c r="BE285" s="927"/>
      <c r="BF285" s="927"/>
      <c r="BG285" s="927"/>
    </row>
    <row r="286" spans="18:59" x14ac:dyDescent="0.35">
      <c r="R286" s="927"/>
      <c r="S286" s="927"/>
      <c r="W286" s="927"/>
      <c r="X286" s="927"/>
      <c r="AE286" s="927"/>
      <c r="AF286" s="927"/>
      <c r="AV286" s="927"/>
      <c r="AW286" s="927"/>
      <c r="AX286" s="927"/>
      <c r="AY286" s="927"/>
      <c r="AZ286" s="927"/>
      <c r="BA286" s="927"/>
      <c r="BC286" s="927"/>
      <c r="BE286" s="927"/>
      <c r="BF286" s="927"/>
      <c r="BG286" s="927"/>
    </row>
    <row r="287" spans="18:59" x14ac:dyDescent="0.35">
      <c r="R287" s="927"/>
      <c r="S287" s="927"/>
      <c r="W287" s="927"/>
      <c r="X287" s="927"/>
      <c r="AE287" s="927"/>
      <c r="AF287" s="927"/>
      <c r="AV287" s="927"/>
      <c r="AW287" s="927"/>
      <c r="AX287" s="927"/>
      <c r="AY287" s="927"/>
      <c r="AZ287" s="927"/>
      <c r="BA287" s="927"/>
      <c r="BC287" s="927"/>
      <c r="BE287" s="927"/>
      <c r="BF287" s="927"/>
      <c r="BG287" s="927"/>
    </row>
    <row r="288" spans="18:59" x14ac:dyDescent="0.35">
      <c r="R288" s="927"/>
      <c r="S288" s="927"/>
      <c r="W288" s="927"/>
      <c r="X288" s="927"/>
      <c r="AE288" s="927"/>
      <c r="AF288" s="927"/>
      <c r="AV288" s="927"/>
      <c r="AW288" s="927"/>
      <c r="AX288" s="927"/>
      <c r="AY288" s="927"/>
      <c r="AZ288" s="927"/>
      <c r="BA288" s="927"/>
      <c r="BC288" s="927"/>
      <c r="BE288" s="927"/>
      <c r="BF288" s="927"/>
      <c r="BG288" s="927"/>
    </row>
    <row r="289" spans="18:59" x14ac:dyDescent="0.35">
      <c r="R289" s="927"/>
      <c r="S289" s="927"/>
      <c r="W289" s="927"/>
      <c r="X289" s="927"/>
      <c r="AE289" s="927"/>
      <c r="AF289" s="927"/>
      <c r="AV289" s="927"/>
      <c r="AW289" s="927"/>
      <c r="AX289" s="927"/>
      <c r="AY289" s="927"/>
      <c r="AZ289" s="927"/>
      <c r="BA289" s="927"/>
      <c r="BC289" s="927"/>
      <c r="BE289" s="927"/>
      <c r="BF289" s="927"/>
      <c r="BG289" s="927"/>
    </row>
    <row r="290" spans="18:59" x14ac:dyDescent="0.35">
      <c r="R290" s="927"/>
      <c r="S290" s="927"/>
      <c r="W290" s="927"/>
      <c r="X290" s="927"/>
      <c r="AE290" s="927"/>
      <c r="AF290" s="927"/>
      <c r="AV290" s="927"/>
      <c r="AW290" s="927"/>
      <c r="AX290" s="927"/>
      <c r="AY290" s="927"/>
      <c r="AZ290" s="927"/>
      <c r="BA290" s="927"/>
      <c r="BC290" s="927"/>
      <c r="BE290" s="927"/>
      <c r="BF290" s="927"/>
      <c r="BG290" s="927"/>
    </row>
    <row r="291" spans="18:59" x14ac:dyDescent="0.35">
      <c r="R291" s="927"/>
      <c r="S291" s="927"/>
      <c r="W291" s="927"/>
      <c r="X291" s="927"/>
      <c r="AE291" s="927"/>
      <c r="AF291" s="927"/>
      <c r="AV291" s="927"/>
      <c r="AW291" s="927"/>
      <c r="AX291" s="927"/>
      <c r="AY291" s="927"/>
      <c r="AZ291" s="927"/>
      <c r="BA291" s="927"/>
      <c r="BC291" s="927"/>
      <c r="BE291" s="927"/>
      <c r="BF291" s="927"/>
      <c r="BG291" s="927"/>
    </row>
    <row r="292" spans="18:59" x14ac:dyDescent="0.35">
      <c r="R292" s="927"/>
      <c r="S292" s="927"/>
      <c r="W292" s="927"/>
      <c r="X292" s="927"/>
      <c r="AE292" s="927"/>
      <c r="AF292" s="927"/>
      <c r="AV292" s="927"/>
      <c r="AW292" s="927"/>
      <c r="AX292" s="927"/>
      <c r="AY292" s="927"/>
      <c r="AZ292" s="927"/>
      <c r="BA292" s="927"/>
      <c r="BC292" s="927"/>
      <c r="BE292" s="927"/>
      <c r="BF292" s="927"/>
      <c r="BG292" s="927"/>
    </row>
    <row r="293" spans="18:59" x14ac:dyDescent="0.35">
      <c r="R293" s="927"/>
      <c r="S293" s="927"/>
      <c r="W293" s="927"/>
      <c r="X293" s="927"/>
      <c r="AE293" s="927"/>
      <c r="AF293" s="927"/>
      <c r="AV293" s="927"/>
      <c r="AW293" s="927"/>
      <c r="AX293" s="927"/>
      <c r="AY293" s="927"/>
      <c r="AZ293" s="927"/>
      <c r="BA293" s="927"/>
      <c r="BC293" s="927"/>
      <c r="BE293" s="927"/>
      <c r="BF293" s="927"/>
      <c r="BG293" s="927"/>
    </row>
    <row r="294" spans="18:59" x14ac:dyDescent="0.35">
      <c r="R294" s="927"/>
      <c r="S294" s="927"/>
      <c r="W294" s="927"/>
      <c r="X294" s="927"/>
      <c r="AE294" s="927"/>
      <c r="AF294" s="927"/>
      <c r="AV294" s="927"/>
      <c r="AW294" s="927"/>
      <c r="AX294" s="927"/>
      <c r="AY294" s="927"/>
      <c r="AZ294" s="927"/>
      <c r="BA294" s="927"/>
      <c r="BC294" s="927"/>
      <c r="BE294" s="927"/>
      <c r="BF294" s="927"/>
      <c r="BG294" s="927"/>
    </row>
    <row r="295" spans="18:59" x14ac:dyDescent="0.35">
      <c r="R295" s="927"/>
      <c r="S295" s="927"/>
      <c r="W295" s="927"/>
      <c r="X295" s="927"/>
      <c r="AE295" s="927"/>
      <c r="AF295" s="927"/>
      <c r="AV295" s="927"/>
      <c r="AW295" s="927"/>
      <c r="AX295" s="927"/>
      <c r="AY295" s="927"/>
      <c r="AZ295" s="927"/>
      <c r="BA295" s="927"/>
      <c r="BC295" s="927"/>
      <c r="BE295" s="927"/>
      <c r="BF295" s="927"/>
      <c r="BG295" s="927"/>
    </row>
    <row r="296" spans="18:59" x14ac:dyDescent="0.35">
      <c r="R296" s="927"/>
      <c r="S296" s="927"/>
      <c r="W296" s="927"/>
      <c r="X296" s="927"/>
      <c r="AE296" s="927"/>
      <c r="AF296" s="927"/>
      <c r="AV296" s="927"/>
      <c r="AW296" s="927"/>
      <c r="AX296" s="927"/>
      <c r="AY296" s="927"/>
      <c r="AZ296" s="927"/>
      <c r="BA296" s="927"/>
      <c r="BC296" s="927"/>
      <c r="BE296" s="927"/>
      <c r="BF296" s="927"/>
      <c r="BG296" s="927"/>
    </row>
    <row r="297" spans="18:59" x14ac:dyDescent="0.35">
      <c r="R297" s="927"/>
      <c r="S297" s="927"/>
      <c r="W297" s="927"/>
      <c r="X297" s="927"/>
      <c r="AE297" s="927"/>
      <c r="AF297" s="927"/>
      <c r="AV297" s="927"/>
      <c r="AW297" s="927"/>
      <c r="AX297" s="927"/>
      <c r="AY297" s="927"/>
      <c r="AZ297" s="927"/>
      <c r="BA297" s="927"/>
      <c r="BC297" s="927"/>
      <c r="BE297" s="927"/>
      <c r="BF297" s="927"/>
      <c r="BG297" s="927"/>
    </row>
    <row r="298" spans="18:59" x14ac:dyDescent="0.35">
      <c r="R298" s="927"/>
      <c r="S298" s="927"/>
      <c r="W298" s="927"/>
      <c r="X298" s="927"/>
      <c r="AE298" s="927"/>
      <c r="AF298" s="927"/>
      <c r="AV298" s="927"/>
      <c r="AW298" s="927"/>
      <c r="AX298" s="927"/>
      <c r="AY298" s="927"/>
      <c r="AZ298" s="927"/>
      <c r="BA298" s="927"/>
      <c r="BC298" s="927"/>
      <c r="BE298" s="927"/>
      <c r="BF298" s="927"/>
      <c r="BG298" s="927"/>
    </row>
    <row r="299" spans="18:59" x14ac:dyDescent="0.35">
      <c r="R299" s="927"/>
      <c r="S299" s="927"/>
      <c r="W299" s="927"/>
      <c r="X299" s="927"/>
      <c r="AE299" s="927"/>
      <c r="AF299" s="927"/>
      <c r="AV299" s="927"/>
      <c r="AW299" s="927"/>
      <c r="AX299" s="927"/>
      <c r="AY299" s="927"/>
      <c r="AZ299" s="927"/>
      <c r="BA299" s="927"/>
      <c r="BC299" s="927"/>
      <c r="BE299" s="927"/>
      <c r="BF299" s="927"/>
      <c r="BG299" s="927"/>
    </row>
    <row r="300" spans="18:59" x14ac:dyDescent="0.35">
      <c r="R300" s="927"/>
      <c r="S300" s="927"/>
      <c r="W300" s="927"/>
      <c r="X300" s="927"/>
      <c r="AE300" s="927"/>
      <c r="AF300" s="927"/>
      <c r="AV300" s="927"/>
      <c r="AW300" s="927"/>
      <c r="AX300" s="927"/>
      <c r="AY300" s="927"/>
      <c r="AZ300" s="927"/>
      <c r="BA300" s="927"/>
      <c r="BC300" s="927"/>
      <c r="BE300" s="927"/>
      <c r="BF300" s="927"/>
      <c r="BG300" s="927"/>
    </row>
    <row r="301" spans="18:59" x14ac:dyDescent="0.35">
      <c r="R301" s="927"/>
      <c r="S301" s="927"/>
      <c r="W301" s="927"/>
      <c r="X301" s="927"/>
      <c r="AE301" s="927"/>
      <c r="AF301" s="927"/>
      <c r="AV301" s="927"/>
      <c r="AW301" s="927"/>
      <c r="AX301" s="927"/>
      <c r="AY301" s="927"/>
      <c r="AZ301" s="927"/>
      <c r="BA301" s="927"/>
      <c r="BC301" s="927"/>
      <c r="BE301" s="927"/>
      <c r="BF301" s="927"/>
      <c r="BG301" s="927"/>
    </row>
    <row r="302" spans="18:59" x14ac:dyDescent="0.35">
      <c r="R302" s="927"/>
      <c r="S302" s="927"/>
      <c r="W302" s="927"/>
      <c r="X302" s="927"/>
      <c r="AE302" s="927"/>
      <c r="AF302" s="927"/>
      <c r="AV302" s="927"/>
      <c r="AW302" s="927"/>
      <c r="AX302" s="927"/>
      <c r="AY302" s="927"/>
      <c r="AZ302" s="927"/>
      <c r="BA302" s="927"/>
      <c r="BC302" s="927"/>
      <c r="BE302" s="927"/>
      <c r="BF302" s="927"/>
      <c r="BG302" s="927"/>
    </row>
    <row r="303" spans="18:59" x14ac:dyDescent="0.35">
      <c r="R303" s="927"/>
      <c r="S303" s="927"/>
      <c r="W303" s="927"/>
      <c r="X303" s="927"/>
      <c r="AE303" s="927"/>
      <c r="AF303" s="927"/>
      <c r="AV303" s="927"/>
      <c r="AW303" s="927"/>
      <c r="AX303" s="927"/>
      <c r="AY303" s="927"/>
      <c r="AZ303" s="927"/>
      <c r="BA303" s="927"/>
      <c r="BC303" s="927"/>
      <c r="BE303" s="927"/>
      <c r="BF303" s="927"/>
      <c r="BG303" s="927"/>
    </row>
    <row r="304" spans="18:59" x14ac:dyDescent="0.35">
      <c r="R304" s="927"/>
      <c r="S304" s="927"/>
      <c r="W304" s="927"/>
      <c r="X304" s="927"/>
      <c r="AE304" s="927"/>
      <c r="AF304" s="927"/>
      <c r="AV304" s="927"/>
      <c r="AW304" s="927"/>
      <c r="AX304" s="927"/>
      <c r="AY304" s="927"/>
      <c r="AZ304" s="927"/>
      <c r="BA304" s="927"/>
      <c r="BC304" s="927"/>
      <c r="BE304" s="927"/>
      <c r="BF304" s="927"/>
      <c r="BG304" s="927"/>
    </row>
    <row r="305" spans="18:59" x14ac:dyDescent="0.35">
      <c r="R305" s="927"/>
      <c r="S305" s="927"/>
      <c r="W305" s="927"/>
      <c r="X305" s="927"/>
      <c r="AE305" s="927"/>
      <c r="AF305" s="927"/>
      <c r="AV305" s="927"/>
      <c r="AW305" s="927"/>
      <c r="AX305" s="927"/>
      <c r="AY305" s="927"/>
      <c r="AZ305" s="927"/>
      <c r="BA305" s="927"/>
      <c r="BC305" s="927"/>
      <c r="BE305" s="927"/>
      <c r="BF305" s="927"/>
      <c r="BG305" s="927"/>
    </row>
    <row r="306" spans="18:59" x14ac:dyDescent="0.35">
      <c r="R306" s="927"/>
      <c r="S306" s="927"/>
      <c r="W306" s="927"/>
      <c r="X306" s="927"/>
      <c r="AE306" s="927"/>
      <c r="AF306" s="927"/>
      <c r="AV306" s="927"/>
      <c r="AW306" s="927"/>
      <c r="AX306" s="927"/>
      <c r="AY306" s="927"/>
      <c r="AZ306" s="927"/>
      <c r="BA306" s="927"/>
      <c r="BC306" s="927"/>
      <c r="BE306" s="927"/>
      <c r="BF306" s="927"/>
      <c r="BG306" s="927"/>
    </row>
    <row r="307" spans="18:59" x14ac:dyDescent="0.35">
      <c r="R307" s="927"/>
      <c r="S307" s="927"/>
      <c r="W307" s="927"/>
      <c r="X307" s="927"/>
      <c r="AE307" s="927"/>
      <c r="AF307" s="927"/>
      <c r="AV307" s="927"/>
      <c r="AW307" s="927"/>
      <c r="AX307" s="927"/>
      <c r="AY307" s="927"/>
      <c r="AZ307" s="927"/>
      <c r="BA307" s="927"/>
      <c r="BC307" s="927"/>
      <c r="BE307" s="927"/>
      <c r="BF307" s="927"/>
      <c r="BG307" s="927"/>
    </row>
    <row r="308" spans="18:59" x14ac:dyDescent="0.35">
      <c r="R308" s="927"/>
      <c r="S308" s="927"/>
      <c r="W308" s="927"/>
      <c r="X308" s="927"/>
      <c r="AE308" s="927"/>
      <c r="AF308" s="927"/>
      <c r="AV308" s="927"/>
      <c r="AW308" s="927"/>
      <c r="AX308" s="927"/>
      <c r="AY308" s="927"/>
      <c r="AZ308" s="927"/>
      <c r="BA308" s="927"/>
      <c r="BC308" s="927"/>
      <c r="BE308" s="927"/>
      <c r="BF308" s="927"/>
      <c r="BG308" s="927"/>
    </row>
    <row r="309" spans="18:59" x14ac:dyDescent="0.35">
      <c r="R309" s="927"/>
      <c r="S309" s="927"/>
      <c r="W309" s="927"/>
      <c r="X309" s="927"/>
      <c r="AE309" s="927"/>
      <c r="AF309" s="927"/>
      <c r="AV309" s="927"/>
      <c r="AW309" s="927"/>
      <c r="AX309" s="927"/>
      <c r="AY309" s="927"/>
      <c r="AZ309" s="927"/>
      <c r="BA309" s="927"/>
      <c r="BC309" s="927"/>
      <c r="BE309" s="927"/>
      <c r="BF309" s="927"/>
      <c r="BG309" s="927"/>
    </row>
    <row r="310" spans="18:59" x14ac:dyDescent="0.35">
      <c r="R310" s="927"/>
      <c r="S310" s="927"/>
      <c r="W310" s="927"/>
      <c r="X310" s="927"/>
      <c r="AE310" s="927"/>
      <c r="AF310" s="927"/>
      <c r="AV310" s="927"/>
      <c r="AW310" s="927"/>
      <c r="AX310" s="927"/>
      <c r="AY310" s="927"/>
      <c r="AZ310" s="927"/>
      <c r="BA310" s="927"/>
      <c r="BC310" s="927"/>
      <c r="BE310" s="927"/>
      <c r="BF310" s="927"/>
      <c r="BG310" s="927"/>
    </row>
    <row r="311" spans="18:59" x14ac:dyDescent="0.35">
      <c r="R311" s="927"/>
      <c r="S311" s="927"/>
      <c r="W311" s="927"/>
      <c r="X311" s="927"/>
      <c r="AE311" s="927"/>
      <c r="AF311" s="927"/>
      <c r="AV311" s="927"/>
      <c r="AW311" s="927"/>
      <c r="AX311" s="927"/>
      <c r="AY311" s="927"/>
      <c r="AZ311" s="927"/>
      <c r="BA311" s="927"/>
      <c r="BC311" s="927"/>
      <c r="BE311" s="927"/>
      <c r="BF311" s="927"/>
      <c r="BG311" s="927"/>
    </row>
    <row r="312" spans="18:59" x14ac:dyDescent="0.35">
      <c r="R312" s="927"/>
      <c r="S312" s="927"/>
      <c r="W312" s="927"/>
      <c r="X312" s="927"/>
      <c r="AE312" s="927"/>
      <c r="AF312" s="927"/>
      <c r="AV312" s="927"/>
      <c r="AW312" s="927"/>
      <c r="AX312" s="927"/>
      <c r="AY312" s="927"/>
      <c r="AZ312" s="927"/>
      <c r="BA312" s="927"/>
      <c r="BC312" s="927"/>
      <c r="BE312" s="927"/>
      <c r="BF312" s="927"/>
      <c r="BG312" s="927"/>
    </row>
    <row r="313" spans="18:59" x14ac:dyDescent="0.35">
      <c r="R313" s="927"/>
      <c r="S313" s="927"/>
      <c r="W313" s="927"/>
      <c r="X313" s="927"/>
      <c r="AE313" s="927"/>
      <c r="AF313" s="927"/>
      <c r="AV313" s="927"/>
      <c r="AW313" s="927"/>
      <c r="AX313" s="927"/>
      <c r="AY313" s="927"/>
      <c r="AZ313" s="927"/>
      <c r="BA313" s="927"/>
      <c r="BC313" s="927"/>
      <c r="BE313" s="927"/>
      <c r="BF313" s="927"/>
      <c r="BG313" s="927"/>
    </row>
    <row r="314" spans="18:59" x14ac:dyDescent="0.35">
      <c r="R314" s="927"/>
      <c r="S314" s="927"/>
      <c r="W314" s="927"/>
      <c r="X314" s="927"/>
      <c r="AE314" s="927"/>
      <c r="AF314" s="927"/>
      <c r="AV314" s="927"/>
      <c r="AW314" s="927"/>
      <c r="AX314" s="927"/>
      <c r="AY314" s="927"/>
      <c r="AZ314" s="927"/>
      <c r="BA314" s="927"/>
      <c r="BC314" s="927"/>
      <c r="BE314" s="927"/>
      <c r="BF314" s="927"/>
      <c r="BG314" s="927"/>
    </row>
    <row r="315" spans="18:59" x14ac:dyDescent="0.35">
      <c r="R315" s="927"/>
      <c r="S315" s="927"/>
      <c r="W315" s="927"/>
      <c r="X315" s="927"/>
      <c r="AE315" s="927"/>
      <c r="AF315" s="927"/>
      <c r="AV315" s="927"/>
      <c r="AW315" s="927"/>
      <c r="AX315" s="927"/>
      <c r="AY315" s="927"/>
      <c r="AZ315" s="927"/>
      <c r="BA315" s="927"/>
      <c r="BC315" s="927"/>
      <c r="BE315" s="927"/>
      <c r="BF315" s="927"/>
      <c r="BG315" s="927"/>
    </row>
    <row r="316" spans="18:59" x14ac:dyDescent="0.35">
      <c r="R316" s="927"/>
      <c r="S316" s="927"/>
      <c r="W316" s="927"/>
      <c r="X316" s="927"/>
      <c r="AE316" s="927"/>
      <c r="AF316" s="927"/>
      <c r="AV316" s="927"/>
      <c r="AW316" s="927"/>
      <c r="AX316" s="927"/>
      <c r="AY316" s="927"/>
      <c r="AZ316" s="927"/>
      <c r="BA316" s="927"/>
      <c r="BC316" s="927"/>
      <c r="BE316" s="927"/>
      <c r="BF316" s="927"/>
      <c r="BG316" s="927"/>
    </row>
    <row r="317" spans="18:59" x14ac:dyDescent="0.35">
      <c r="R317" s="927"/>
      <c r="S317" s="927"/>
      <c r="W317" s="927"/>
      <c r="X317" s="927"/>
      <c r="AE317" s="927"/>
      <c r="AF317" s="927"/>
      <c r="AV317" s="927"/>
      <c r="AW317" s="927"/>
      <c r="AX317" s="927"/>
      <c r="AY317" s="927"/>
      <c r="AZ317" s="927"/>
      <c r="BA317" s="927"/>
      <c r="BC317" s="927"/>
      <c r="BE317" s="927"/>
      <c r="BF317" s="927"/>
      <c r="BG317" s="927"/>
    </row>
    <row r="318" spans="18:59" x14ac:dyDescent="0.35">
      <c r="R318" s="927"/>
      <c r="S318" s="927"/>
      <c r="W318" s="927"/>
      <c r="X318" s="927"/>
      <c r="AE318" s="927"/>
      <c r="AF318" s="927"/>
      <c r="AV318" s="927"/>
      <c r="AW318" s="927"/>
      <c r="AX318" s="927"/>
      <c r="AY318" s="927"/>
      <c r="AZ318" s="927"/>
      <c r="BA318" s="927"/>
      <c r="BC318" s="927"/>
      <c r="BE318" s="927"/>
      <c r="BF318" s="927"/>
      <c r="BG318" s="927"/>
    </row>
    <row r="319" spans="18:59" x14ac:dyDescent="0.35">
      <c r="R319" s="927"/>
      <c r="S319" s="927"/>
      <c r="W319" s="927"/>
      <c r="X319" s="927"/>
      <c r="AE319" s="927"/>
      <c r="AF319" s="927"/>
      <c r="AV319" s="927"/>
      <c r="AW319" s="927"/>
      <c r="AX319" s="927"/>
      <c r="AY319" s="927"/>
      <c r="AZ319" s="927"/>
      <c r="BA319" s="927"/>
      <c r="BC319" s="927"/>
      <c r="BE319" s="927"/>
      <c r="BF319" s="927"/>
      <c r="BG319" s="927"/>
    </row>
    <row r="320" spans="18:59" x14ac:dyDescent="0.35">
      <c r="R320" s="927"/>
      <c r="S320" s="927"/>
      <c r="W320" s="927"/>
      <c r="X320" s="927"/>
      <c r="AE320" s="927"/>
      <c r="AF320" s="927"/>
      <c r="AV320" s="927"/>
      <c r="AW320" s="927"/>
      <c r="AX320" s="927"/>
      <c r="AY320" s="927"/>
      <c r="AZ320" s="927"/>
      <c r="BA320" s="927"/>
      <c r="BC320" s="927"/>
      <c r="BE320" s="927"/>
      <c r="BF320" s="927"/>
      <c r="BG320" s="927"/>
    </row>
    <row r="321" spans="18:59" x14ac:dyDescent="0.35">
      <c r="R321" s="927"/>
      <c r="S321" s="927"/>
      <c r="W321" s="927"/>
      <c r="X321" s="927"/>
      <c r="AE321" s="927"/>
      <c r="AF321" s="927"/>
      <c r="AV321" s="927"/>
      <c r="AW321" s="927"/>
      <c r="AX321" s="927"/>
      <c r="AY321" s="927"/>
      <c r="AZ321" s="927"/>
      <c r="BA321" s="927"/>
      <c r="BC321" s="927"/>
      <c r="BE321" s="927"/>
      <c r="BF321" s="927"/>
      <c r="BG321" s="927"/>
    </row>
    <row r="322" spans="18:59" x14ac:dyDescent="0.35">
      <c r="R322" s="927"/>
      <c r="S322" s="927"/>
      <c r="W322" s="927"/>
      <c r="X322" s="927"/>
      <c r="AE322" s="927"/>
      <c r="AF322" s="927"/>
      <c r="AV322" s="927"/>
      <c r="AW322" s="927"/>
      <c r="AX322" s="927"/>
      <c r="AY322" s="927"/>
      <c r="AZ322" s="927"/>
      <c r="BA322" s="927"/>
      <c r="BC322" s="927"/>
      <c r="BE322" s="927"/>
      <c r="BF322" s="927"/>
      <c r="BG322" s="927"/>
    </row>
    <row r="323" spans="18:59" x14ac:dyDescent="0.35">
      <c r="R323" s="927"/>
      <c r="S323" s="927"/>
      <c r="W323" s="927"/>
      <c r="X323" s="927"/>
      <c r="AE323" s="927"/>
      <c r="AF323" s="927"/>
      <c r="AV323" s="927"/>
      <c r="AW323" s="927"/>
      <c r="AX323" s="927"/>
      <c r="AY323" s="927"/>
      <c r="AZ323" s="927"/>
      <c r="BA323" s="927"/>
      <c r="BC323" s="927"/>
      <c r="BE323" s="927"/>
      <c r="BF323" s="927"/>
      <c r="BG323" s="927"/>
    </row>
    <row r="324" spans="18:59" x14ac:dyDescent="0.35">
      <c r="R324" s="927"/>
      <c r="S324" s="927"/>
      <c r="W324" s="927"/>
      <c r="X324" s="927"/>
      <c r="AE324" s="927"/>
      <c r="AF324" s="927"/>
      <c r="AV324" s="927"/>
      <c r="AW324" s="927"/>
      <c r="AX324" s="927"/>
      <c r="AY324" s="927"/>
      <c r="AZ324" s="927"/>
      <c r="BA324" s="927"/>
      <c r="BC324" s="927"/>
      <c r="BE324" s="927"/>
      <c r="BF324" s="927"/>
      <c r="BG324" s="927"/>
    </row>
    <row r="325" spans="18:59" x14ac:dyDescent="0.35">
      <c r="R325" s="927"/>
      <c r="S325" s="927"/>
      <c r="W325" s="927"/>
      <c r="X325" s="927"/>
      <c r="AE325" s="927"/>
      <c r="AF325" s="927"/>
      <c r="AV325" s="927"/>
      <c r="AW325" s="927"/>
      <c r="AX325" s="927"/>
      <c r="AY325" s="927"/>
      <c r="AZ325" s="927"/>
      <c r="BA325" s="927"/>
      <c r="BC325" s="927"/>
      <c r="BE325" s="927"/>
      <c r="BF325" s="927"/>
      <c r="BG325" s="927"/>
    </row>
    <row r="326" spans="18:59" x14ac:dyDescent="0.35">
      <c r="R326" s="927"/>
      <c r="S326" s="927"/>
      <c r="W326" s="927"/>
      <c r="X326" s="927"/>
      <c r="AE326" s="927"/>
      <c r="AF326" s="927"/>
      <c r="AV326" s="927"/>
      <c r="AW326" s="927"/>
      <c r="AX326" s="927"/>
      <c r="AY326" s="927"/>
      <c r="AZ326" s="927"/>
      <c r="BA326" s="927"/>
      <c r="BC326" s="927"/>
      <c r="BE326" s="927"/>
      <c r="BF326" s="927"/>
      <c r="BG326" s="927"/>
    </row>
    <row r="327" spans="18:59" x14ac:dyDescent="0.35">
      <c r="R327" s="927"/>
      <c r="S327" s="927"/>
      <c r="W327" s="927"/>
      <c r="X327" s="927"/>
      <c r="AE327" s="927"/>
      <c r="AF327" s="927"/>
      <c r="AV327" s="927"/>
      <c r="AW327" s="927"/>
      <c r="AX327" s="927"/>
      <c r="AY327" s="927"/>
      <c r="AZ327" s="927"/>
      <c r="BA327" s="927"/>
      <c r="BC327" s="927"/>
      <c r="BE327" s="927"/>
      <c r="BF327" s="927"/>
      <c r="BG327" s="927"/>
    </row>
    <row r="328" spans="18:59" x14ac:dyDescent="0.35">
      <c r="R328" s="927"/>
      <c r="S328" s="927"/>
      <c r="W328" s="927"/>
      <c r="X328" s="927"/>
      <c r="AE328" s="927"/>
      <c r="AF328" s="927"/>
      <c r="AV328" s="927"/>
      <c r="AW328" s="927"/>
      <c r="AX328" s="927"/>
      <c r="AY328" s="927"/>
      <c r="AZ328" s="927"/>
      <c r="BA328" s="927"/>
      <c r="BC328" s="927"/>
      <c r="BE328" s="927"/>
      <c r="BF328" s="927"/>
      <c r="BG328" s="927"/>
    </row>
    <row r="329" spans="18:59" x14ac:dyDescent="0.35">
      <c r="R329" s="927"/>
      <c r="S329" s="927"/>
      <c r="W329" s="927"/>
      <c r="X329" s="927"/>
      <c r="AE329" s="927"/>
      <c r="AF329" s="927"/>
      <c r="AV329" s="927"/>
      <c r="AW329" s="927"/>
      <c r="AX329" s="927"/>
      <c r="AY329" s="927"/>
      <c r="AZ329" s="927"/>
      <c r="BA329" s="927"/>
      <c r="BC329" s="927"/>
      <c r="BE329" s="927"/>
      <c r="BF329" s="927"/>
      <c r="BG329" s="927"/>
    </row>
    <row r="330" spans="18:59" x14ac:dyDescent="0.35">
      <c r="R330" s="927"/>
      <c r="S330" s="927"/>
      <c r="W330" s="927"/>
      <c r="X330" s="927"/>
      <c r="AE330" s="927"/>
      <c r="AF330" s="927"/>
      <c r="AV330" s="927"/>
      <c r="AW330" s="927"/>
      <c r="AX330" s="927"/>
      <c r="AY330" s="927"/>
      <c r="AZ330" s="927"/>
      <c r="BA330" s="927"/>
      <c r="BC330" s="927"/>
      <c r="BE330" s="927"/>
      <c r="BF330" s="927"/>
      <c r="BG330" s="927"/>
    </row>
    <row r="331" spans="18:59" x14ac:dyDescent="0.35">
      <c r="R331" s="927"/>
      <c r="S331" s="927"/>
      <c r="W331" s="927"/>
      <c r="X331" s="927"/>
      <c r="AE331" s="927"/>
      <c r="AF331" s="927"/>
      <c r="AV331" s="927"/>
      <c r="AW331" s="927"/>
      <c r="AX331" s="927"/>
      <c r="AY331" s="927"/>
      <c r="AZ331" s="927"/>
      <c r="BA331" s="927"/>
      <c r="BC331" s="927"/>
      <c r="BE331" s="927"/>
      <c r="BF331" s="927"/>
      <c r="BG331" s="927"/>
    </row>
    <row r="332" spans="18:59" x14ac:dyDescent="0.35">
      <c r="R332" s="927"/>
      <c r="S332" s="927"/>
      <c r="W332" s="927"/>
      <c r="X332" s="927"/>
      <c r="AE332" s="927"/>
      <c r="AF332" s="927"/>
      <c r="AV332" s="927"/>
      <c r="AW332" s="927"/>
      <c r="AX332" s="927"/>
      <c r="AY332" s="927"/>
      <c r="AZ332" s="927"/>
      <c r="BA332" s="927"/>
      <c r="BC332" s="927"/>
      <c r="BE332" s="927"/>
      <c r="BF332" s="927"/>
      <c r="BG332" s="927"/>
    </row>
    <row r="333" spans="18:59" x14ac:dyDescent="0.35">
      <c r="R333" s="927"/>
      <c r="S333" s="927"/>
      <c r="W333" s="927"/>
      <c r="X333" s="927"/>
      <c r="AE333" s="927"/>
      <c r="AF333" s="927"/>
      <c r="AV333" s="927"/>
      <c r="AW333" s="927"/>
      <c r="AX333" s="927"/>
      <c r="AY333" s="927"/>
      <c r="AZ333" s="927"/>
      <c r="BA333" s="927"/>
      <c r="BC333" s="927"/>
      <c r="BE333" s="927"/>
      <c r="BF333" s="927"/>
      <c r="BG333" s="927"/>
    </row>
    <row r="334" spans="18:59" x14ac:dyDescent="0.35">
      <c r="R334" s="927"/>
      <c r="S334" s="927"/>
      <c r="W334" s="927"/>
      <c r="X334" s="927"/>
      <c r="AE334" s="927"/>
      <c r="AF334" s="927"/>
      <c r="AV334" s="927"/>
      <c r="AW334" s="927"/>
      <c r="AX334" s="927"/>
      <c r="AY334" s="927"/>
      <c r="AZ334" s="927"/>
      <c r="BA334" s="927"/>
      <c r="BC334" s="927"/>
      <c r="BE334" s="927"/>
      <c r="BF334" s="927"/>
      <c r="BG334" s="927"/>
    </row>
    <row r="335" spans="18:59" x14ac:dyDescent="0.35">
      <c r="R335" s="927"/>
      <c r="S335" s="927"/>
      <c r="W335" s="927"/>
      <c r="X335" s="927"/>
      <c r="AE335" s="927"/>
      <c r="AF335" s="927"/>
      <c r="AV335" s="927"/>
      <c r="AW335" s="927"/>
      <c r="AX335" s="927"/>
      <c r="AY335" s="927"/>
      <c r="AZ335" s="927"/>
      <c r="BA335" s="927"/>
      <c r="BC335" s="927"/>
      <c r="BE335" s="927"/>
      <c r="BF335" s="927"/>
      <c r="BG335" s="927"/>
    </row>
    <row r="336" spans="18:59" x14ac:dyDescent="0.35">
      <c r="R336" s="927"/>
      <c r="S336" s="927"/>
      <c r="W336" s="927"/>
      <c r="X336" s="927"/>
      <c r="AE336" s="927"/>
      <c r="AF336" s="927"/>
      <c r="AV336" s="927"/>
      <c r="AW336" s="927"/>
      <c r="AX336" s="927"/>
      <c r="AY336" s="927"/>
      <c r="AZ336" s="927"/>
      <c r="BA336" s="927"/>
      <c r="BC336" s="927"/>
      <c r="BE336" s="927"/>
      <c r="BF336" s="927"/>
      <c r="BG336" s="927"/>
    </row>
    <row r="337" spans="18:59" x14ac:dyDescent="0.35">
      <c r="R337" s="927"/>
      <c r="S337" s="927"/>
      <c r="W337" s="927"/>
      <c r="X337" s="927"/>
      <c r="AE337" s="927"/>
      <c r="AF337" s="927"/>
      <c r="AV337" s="927"/>
      <c r="AW337" s="927"/>
      <c r="AX337" s="927"/>
      <c r="AY337" s="927"/>
      <c r="AZ337" s="927"/>
      <c r="BA337" s="927"/>
      <c r="BC337" s="927"/>
      <c r="BE337" s="927"/>
      <c r="BF337" s="927"/>
      <c r="BG337" s="927"/>
    </row>
    <row r="338" spans="18:59" x14ac:dyDescent="0.35">
      <c r="R338" s="927"/>
      <c r="S338" s="927"/>
      <c r="W338" s="927"/>
      <c r="X338" s="927"/>
      <c r="AE338" s="927"/>
      <c r="AF338" s="927"/>
      <c r="AV338" s="927"/>
      <c r="AW338" s="927"/>
      <c r="AX338" s="927"/>
      <c r="AY338" s="927"/>
      <c r="AZ338" s="927"/>
      <c r="BA338" s="927"/>
      <c r="BC338" s="927"/>
      <c r="BE338" s="927"/>
      <c r="BF338" s="927"/>
      <c r="BG338" s="927"/>
    </row>
    <row r="339" spans="18:59" x14ac:dyDescent="0.35">
      <c r="R339" s="927"/>
      <c r="S339" s="927"/>
      <c r="W339" s="927"/>
      <c r="X339" s="927"/>
      <c r="AE339" s="927"/>
      <c r="AF339" s="927"/>
      <c r="AV339" s="927"/>
      <c r="AW339" s="927"/>
      <c r="AX339" s="927"/>
      <c r="AY339" s="927"/>
      <c r="AZ339" s="927"/>
      <c r="BA339" s="927"/>
      <c r="BC339" s="927"/>
      <c r="BE339" s="927"/>
      <c r="BF339" s="927"/>
      <c r="BG339" s="927"/>
    </row>
    <row r="340" spans="18:59" x14ac:dyDescent="0.35">
      <c r="R340" s="927"/>
      <c r="S340" s="927"/>
      <c r="W340" s="927"/>
      <c r="X340" s="927"/>
      <c r="AE340" s="927"/>
      <c r="AF340" s="927"/>
      <c r="AV340" s="927"/>
      <c r="AW340" s="927"/>
      <c r="AX340" s="927"/>
      <c r="AY340" s="927"/>
      <c r="AZ340" s="927"/>
      <c r="BA340" s="927"/>
      <c r="BC340" s="927"/>
      <c r="BE340" s="927"/>
      <c r="BF340" s="927"/>
      <c r="BG340" s="927"/>
    </row>
    <row r="341" spans="18:59" x14ac:dyDescent="0.35">
      <c r="R341" s="927"/>
      <c r="S341" s="927"/>
      <c r="W341" s="927"/>
      <c r="X341" s="927"/>
      <c r="AE341" s="927"/>
      <c r="AF341" s="927"/>
      <c r="AV341" s="927"/>
      <c r="AW341" s="927"/>
      <c r="AX341" s="927"/>
      <c r="AY341" s="927"/>
      <c r="AZ341" s="927"/>
      <c r="BA341" s="927"/>
      <c r="BC341" s="927"/>
      <c r="BE341" s="927"/>
      <c r="BF341" s="927"/>
      <c r="BG341" s="927"/>
    </row>
    <row r="342" spans="18:59" x14ac:dyDescent="0.35">
      <c r="R342" s="927"/>
      <c r="S342" s="927"/>
      <c r="W342" s="927"/>
      <c r="X342" s="927"/>
      <c r="AE342" s="927"/>
      <c r="AF342" s="927"/>
      <c r="AV342" s="927"/>
      <c r="AW342" s="927"/>
      <c r="AX342" s="927"/>
      <c r="AY342" s="927"/>
      <c r="AZ342" s="927"/>
      <c r="BA342" s="927"/>
      <c r="BC342" s="927"/>
      <c r="BE342" s="927"/>
      <c r="BF342" s="927"/>
      <c r="BG342" s="927"/>
    </row>
    <row r="343" spans="18:59" x14ac:dyDescent="0.35">
      <c r="R343" s="927"/>
      <c r="S343" s="927"/>
      <c r="W343" s="927"/>
      <c r="X343" s="927"/>
      <c r="AE343" s="927"/>
      <c r="AF343" s="927"/>
      <c r="AV343" s="927"/>
      <c r="AW343" s="927"/>
      <c r="AX343" s="927"/>
      <c r="AY343" s="927"/>
      <c r="AZ343" s="927"/>
      <c r="BA343" s="927"/>
      <c r="BC343" s="927"/>
      <c r="BE343" s="927"/>
      <c r="BF343" s="927"/>
      <c r="BG343" s="927"/>
    </row>
    <row r="344" spans="18:59" x14ac:dyDescent="0.35">
      <c r="R344" s="927"/>
      <c r="S344" s="927"/>
      <c r="W344" s="927"/>
      <c r="X344" s="927"/>
      <c r="AE344" s="927"/>
      <c r="AF344" s="927"/>
      <c r="AV344" s="927"/>
      <c r="AW344" s="927"/>
      <c r="AX344" s="927"/>
      <c r="AY344" s="927"/>
      <c r="AZ344" s="927"/>
      <c r="BA344" s="927"/>
      <c r="BC344" s="927"/>
      <c r="BE344" s="927"/>
      <c r="BF344" s="927"/>
      <c r="BG344" s="927"/>
    </row>
    <row r="345" spans="18:59" x14ac:dyDescent="0.35">
      <c r="R345" s="927"/>
      <c r="S345" s="927"/>
      <c r="W345" s="927"/>
      <c r="X345" s="927"/>
      <c r="AE345" s="927"/>
      <c r="AF345" s="927"/>
      <c r="AV345" s="927"/>
      <c r="AW345" s="927"/>
      <c r="AX345" s="927"/>
      <c r="AY345" s="927"/>
      <c r="AZ345" s="927"/>
      <c r="BA345" s="927"/>
      <c r="BC345" s="927"/>
      <c r="BE345" s="927"/>
      <c r="BF345" s="927"/>
      <c r="BG345" s="927"/>
    </row>
    <row r="346" spans="18:59" x14ac:dyDescent="0.35">
      <c r="R346" s="927"/>
      <c r="S346" s="927"/>
      <c r="W346" s="927"/>
      <c r="X346" s="927"/>
      <c r="AE346" s="927"/>
      <c r="AF346" s="927"/>
      <c r="AV346" s="927"/>
      <c r="AW346" s="927"/>
      <c r="AX346" s="927"/>
      <c r="AY346" s="927"/>
      <c r="AZ346" s="927"/>
      <c r="BA346" s="927"/>
      <c r="BC346" s="927"/>
      <c r="BE346" s="927"/>
      <c r="BF346" s="927"/>
      <c r="BG346" s="927"/>
    </row>
    <row r="347" spans="18:59" x14ac:dyDescent="0.35">
      <c r="R347" s="927"/>
      <c r="S347" s="927"/>
      <c r="W347" s="927"/>
      <c r="X347" s="927"/>
      <c r="AE347" s="927"/>
      <c r="AF347" s="927"/>
      <c r="AV347" s="927"/>
      <c r="AW347" s="927"/>
      <c r="AX347" s="927"/>
      <c r="AY347" s="927"/>
      <c r="AZ347" s="927"/>
      <c r="BA347" s="927"/>
      <c r="BC347" s="927"/>
      <c r="BE347" s="927"/>
      <c r="BF347" s="927"/>
      <c r="BG347" s="927"/>
    </row>
    <row r="348" spans="18:59" x14ac:dyDescent="0.35">
      <c r="R348" s="927"/>
      <c r="S348" s="927"/>
      <c r="W348" s="927"/>
      <c r="X348" s="927"/>
      <c r="AE348" s="927"/>
      <c r="AF348" s="927"/>
      <c r="AV348" s="927"/>
      <c r="AW348" s="927"/>
      <c r="AX348" s="927"/>
      <c r="AY348" s="927"/>
      <c r="AZ348" s="927"/>
      <c r="BA348" s="927"/>
      <c r="BC348" s="927"/>
      <c r="BE348" s="927"/>
      <c r="BF348" s="927"/>
      <c r="BG348" s="927"/>
    </row>
    <row r="349" spans="18:59" x14ac:dyDescent="0.35">
      <c r="R349" s="927"/>
      <c r="S349" s="927"/>
      <c r="W349" s="927"/>
      <c r="X349" s="927"/>
      <c r="AE349" s="927"/>
      <c r="AF349" s="927"/>
      <c r="AV349" s="927"/>
      <c r="AW349" s="927"/>
      <c r="AX349" s="927"/>
      <c r="AY349" s="927"/>
      <c r="AZ349" s="927"/>
      <c r="BA349" s="927"/>
      <c r="BC349" s="927"/>
      <c r="BE349" s="927"/>
      <c r="BF349" s="927"/>
      <c r="BG349" s="927"/>
    </row>
    <row r="350" spans="18:59" x14ac:dyDescent="0.35">
      <c r="R350" s="927"/>
      <c r="S350" s="927"/>
      <c r="W350" s="927"/>
      <c r="X350" s="927"/>
      <c r="AE350" s="927"/>
      <c r="AF350" s="927"/>
      <c r="AV350" s="927"/>
      <c r="AW350" s="927"/>
      <c r="AX350" s="927"/>
      <c r="AY350" s="927"/>
      <c r="AZ350" s="927"/>
      <c r="BA350" s="927"/>
      <c r="BC350" s="927"/>
      <c r="BE350" s="927"/>
      <c r="BF350" s="927"/>
      <c r="BG350" s="927"/>
    </row>
    <row r="351" spans="18:59" x14ac:dyDescent="0.35">
      <c r="R351" s="927"/>
      <c r="S351" s="927"/>
      <c r="W351" s="927"/>
      <c r="X351" s="927"/>
      <c r="AE351" s="927"/>
      <c r="AF351" s="927"/>
      <c r="AV351" s="927"/>
      <c r="AW351" s="927"/>
      <c r="AX351" s="927"/>
      <c r="AY351" s="927"/>
      <c r="AZ351" s="927"/>
      <c r="BA351" s="927"/>
      <c r="BC351" s="927"/>
      <c r="BE351" s="927"/>
      <c r="BF351" s="927"/>
      <c r="BG351" s="927"/>
    </row>
    <row r="352" spans="18:59" x14ac:dyDescent="0.35">
      <c r="R352" s="927"/>
      <c r="S352" s="927"/>
      <c r="W352" s="927"/>
      <c r="X352" s="927"/>
      <c r="AE352" s="927"/>
      <c r="AF352" s="927"/>
      <c r="AV352" s="927"/>
      <c r="AW352" s="927"/>
      <c r="AX352" s="927"/>
      <c r="AY352" s="927"/>
      <c r="AZ352" s="927"/>
      <c r="BA352" s="927"/>
      <c r="BC352" s="927"/>
      <c r="BE352" s="927"/>
      <c r="BF352" s="927"/>
      <c r="BG352" s="927"/>
    </row>
    <row r="353" spans="18:59" x14ac:dyDescent="0.35">
      <c r="R353" s="927"/>
      <c r="S353" s="927"/>
      <c r="W353" s="927"/>
      <c r="X353" s="927"/>
      <c r="AE353" s="927"/>
      <c r="AF353" s="927"/>
      <c r="AV353" s="927"/>
      <c r="AW353" s="927"/>
      <c r="AX353" s="927"/>
      <c r="AY353" s="927"/>
      <c r="AZ353" s="927"/>
      <c r="BA353" s="927"/>
      <c r="BC353" s="927"/>
      <c r="BE353" s="927"/>
      <c r="BF353" s="927"/>
      <c r="BG353" s="927"/>
    </row>
    <row r="354" spans="18:59" x14ac:dyDescent="0.35">
      <c r="R354" s="927"/>
      <c r="S354" s="927"/>
      <c r="W354" s="927"/>
      <c r="X354" s="927"/>
      <c r="AE354" s="927"/>
      <c r="AF354" s="927"/>
      <c r="AV354" s="927"/>
      <c r="AW354" s="927"/>
      <c r="AX354" s="927"/>
      <c r="AY354" s="927"/>
      <c r="AZ354" s="927"/>
      <c r="BA354" s="927"/>
      <c r="BC354" s="927"/>
      <c r="BE354" s="927"/>
      <c r="BF354" s="927"/>
      <c r="BG354" s="927"/>
    </row>
    <row r="355" spans="18:59" x14ac:dyDescent="0.35">
      <c r="R355" s="927"/>
      <c r="S355" s="927"/>
      <c r="W355" s="927"/>
      <c r="X355" s="927"/>
      <c r="AE355" s="927"/>
      <c r="AF355" s="927"/>
      <c r="AV355" s="927"/>
      <c r="AW355" s="927"/>
      <c r="AX355" s="927"/>
      <c r="AY355" s="927"/>
      <c r="AZ355" s="927"/>
      <c r="BA355" s="927"/>
      <c r="BC355" s="927"/>
      <c r="BE355" s="927"/>
      <c r="BF355" s="927"/>
      <c r="BG355" s="927"/>
    </row>
    <row r="356" spans="18:59" x14ac:dyDescent="0.35">
      <c r="R356" s="927"/>
      <c r="S356" s="927"/>
      <c r="W356" s="927"/>
      <c r="X356" s="927"/>
      <c r="AE356" s="927"/>
      <c r="AF356" s="927"/>
      <c r="AV356" s="927"/>
      <c r="AW356" s="927"/>
      <c r="AX356" s="927"/>
      <c r="AY356" s="927"/>
      <c r="AZ356" s="927"/>
      <c r="BA356" s="927"/>
      <c r="BC356" s="927"/>
      <c r="BE356" s="927"/>
      <c r="BF356" s="927"/>
      <c r="BG356" s="927"/>
    </row>
    <row r="357" spans="18:59" x14ac:dyDescent="0.35">
      <c r="R357" s="927"/>
      <c r="S357" s="927"/>
      <c r="W357" s="927"/>
      <c r="X357" s="927"/>
      <c r="AE357" s="927"/>
      <c r="AF357" s="927"/>
      <c r="AV357" s="927"/>
      <c r="AW357" s="927"/>
      <c r="AX357" s="927"/>
      <c r="AY357" s="927"/>
      <c r="AZ357" s="927"/>
      <c r="BA357" s="927"/>
      <c r="BC357" s="927"/>
      <c r="BE357" s="927"/>
      <c r="BF357" s="927"/>
      <c r="BG357" s="927"/>
    </row>
    <row r="358" spans="18:59" x14ac:dyDescent="0.35">
      <c r="R358" s="927"/>
      <c r="S358" s="927"/>
      <c r="W358" s="927"/>
      <c r="X358" s="927"/>
      <c r="AE358" s="927"/>
      <c r="AF358" s="927"/>
      <c r="AV358" s="927"/>
      <c r="AW358" s="927"/>
      <c r="AX358" s="927"/>
      <c r="AY358" s="927"/>
      <c r="AZ358" s="927"/>
      <c r="BA358" s="927"/>
      <c r="BC358" s="927"/>
      <c r="BE358" s="927"/>
      <c r="BF358" s="927"/>
      <c r="BG358" s="927"/>
    </row>
    <row r="359" spans="18:59" x14ac:dyDescent="0.35">
      <c r="R359" s="927"/>
      <c r="S359" s="927"/>
      <c r="W359" s="927"/>
      <c r="X359" s="927"/>
      <c r="AE359" s="927"/>
      <c r="AF359" s="927"/>
      <c r="AV359" s="927"/>
      <c r="AW359" s="927"/>
      <c r="AX359" s="927"/>
      <c r="AY359" s="927"/>
      <c r="AZ359" s="927"/>
      <c r="BA359" s="927"/>
      <c r="BC359" s="927"/>
      <c r="BE359" s="927"/>
      <c r="BF359" s="927"/>
      <c r="BG359" s="927"/>
    </row>
    <row r="360" spans="18:59" x14ac:dyDescent="0.35">
      <c r="R360" s="927"/>
      <c r="S360" s="927"/>
      <c r="W360" s="927"/>
      <c r="X360" s="927"/>
      <c r="AE360" s="927"/>
      <c r="AF360" s="927"/>
      <c r="AV360" s="927"/>
      <c r="AW360" s="927"/>
      <c r="AX360" s="927"/>
      <c r="AY360" s="927"/>
      <c r="AZ360" s="927"/>
      <c r="BA360" s="927"/>
      <c r="BC360" s="927"/>
      <c r="BE360" s="927"/>
      <c r="BF360" s="927"/>
      <c r="BG360" s="927"/>
    </row>
    <row r="361" spans="18:59" x14ac:dyDescent="0.35">
      <c r="R361" s="927"/>
      <c r="S361" s="927"/>
      <c r="W361" s="927"/>
      <c r="X361" s="927"/>
      <c r="AE361" s="927"/>
      <c r="AF361" s="927"/>
      <c r="AV361" s="927"/>
      <c r="AW361" s="927"/>
      <c r="AX361" s="927"/>
      <c r="AY361" s="927"/>
      <c r="AZ361" s="927"/>
      <c r="BA361" s="927"/>
      <c r="BC361" s="927"/>
      <c r="BE361" s="927"/>
      <c r="BF361" s="927"/>
      <c r="BG361" s="927"/>
    </row>
    <row r="362" spans="18:59" x14ac:dyDescent="0.35">
      <c r="R362" s="927"/>
      <c r="S362" s="927"/>
      <c r="W362" s="927"/>
      <c r="X362" s="927"/>
      <c r="AE362" s="927"/>
      <c r="AF362" s="927"/>
      <c r="AV362" s="927"/>
      <c r="AW362" s="927"/>
      <c r="AX362" s="927"/>
      <c r="AY362" s="927"/>
      <c r="AZ362" s="927"/>
      <c r="BA362" s="927"/>
      <c r="BC362" s="927"/>
      <c r="BE362" s="927"/>
      <c r="BF362" s="927"/>
      <c r="BG362" s="927"/>
    </row>
    <row r="363" spans="18:59" x14ac:dyDescent="0.35">
      <c r="R363" s="927"/>
      <c r="S363" s="927"/>
      <c r="W363" s="927"/>
      <c r="X363" s="927"/>
      <c r="AE363" s="927"/>
      <c r="AF363" s="927"/>
      <c r="AV363" s="927"/>
      <c r="AW363" s="927"/>
      <c r="AX363" s="927"/>
      <c r="AY363" s="927"/>
      <c r="AZ363" s="927"/>
      <c r="BA363" s="927"/>
      <c r="BC363" s="927"/>
      <c r="BE363" s="927"/>
      <c r="BF363" s="927"/>
      <c r="BG363" s="927"/>
    </row>
    <row r="364" spans="18:59" x14ac:dyDescent="0.35">
      <c r="R364" s="927"/>
      <c r="S364" s="927"/>
      <c r="W364" s="927"/>
      <c r="X364" s="927"/>
      <c r="AE364" s="927"/>
      <c r="AF364" s="927"/>
      <c r="AV364" s="927"/>
      <c r="AW364" s="927"/>
      <c r="AX364" s="927"/>
      <c r="AY364" s="927"/>
      <c r="AZ364" s="927"/>
      <c r="BA364" s="927"/>
      <c r="BC364" s="927"/>
      <c r="BE364" s="927"/>
      <c r="BF364" s="927"/>
      <c r="BG364" s="927"/>
    </row>
    <row r="365" spans="18:59" x14ac:dyDescent="0.35">
      <c r="R365" s="927"/>
      <c r="S365" s="927"/>
      <c r="W365" s="927"/>
      <c r="X365" s="927"/>
      <c r="AE365" s="927"/>
      <c r="AF365" s="927"/>
      <c r="AV365" s="927"/>
      <c r="AW365" s="927"/>
      <c r="AX365" s="927"/>
      <c r="AY365" s="927"/>
      <c r="AZ365" s="927"/>
      <c r="BA365" s="927"/>
      <c r="BC365" s="927"/>
      <c r="BE365" s="927"/>
      <c r="BF365" s="927"/>
      <c r="BG365" s="927"/>
    </row>
    <row r="366" spans="18:59" x14ac:dyDescent="0.35">
      <c r="R366" s="927"/>
      <c r="S366" s="927"/>
      <c r="W366" s="927"/>
      <c r="X366" s="927"/>
      <c r="AE366" s="927"/>
      <c r="AF366" s="927"/>
      <c r="AV366" s="927"/>
      <c r="AW366" s="927"/>
      <c r="AX366" s="927"/>
      <c r="AY366" s="927"/>
      <c r="AZ366" s="927"/>
      <c r="BA366" s="927"/>
      <c r="BC366" s="927"/>
      <c r="BE366" s="927"/>
      <c r="BF366" s="927"/>
      <c r="BG366" s="927"/>
    </row>
    <row r="367" spans="18:59" x14ac:dyDescent="0.35">
      <c r="R367" s="927"/>
      <c r="S367" s="927"/>
      <c r="W367" s="927"/>
      <c r="X367" s="927"/>
      <c r="AE367" s="927"/>
      <c r="AF367" s="927"/>
      <c r="AV367" s="927"/>
      <c r="AW367" s="927"/>
      <c r="AX367" s="927"/>
      <c r="AY367" s="927"/>
      <c r="AZ367" s="927"/>
      <c r="BA367" s="927"/>
      <c r="BC367" s="927"/>
      <c r="BE367" s="927"/>
      <c r="BF367" s="927"/>
      <c r="BG367" s="927"/>
    </row>
    <row r="368" spans="18:59" x14ac:dyDescent="0.35">
      <c r="R368" s="927"/>
      <c r="S368" s="927"/>
      <c r="W368" s="927"/>
      <c r="X368" s="927"/>
      <c r="AE368" s="927"/>
      <c r="AF368" s="927"/>
      <c r="AV368" s="927"/>
      <c r="AW368" s="927"/>
      <c r="AX368" s="927"/>
      <c r="AY368" s="927"/>
      <c r="AZ368" s="927"/>
      <c r="BA368" s="927"/>
      <c r="BC368" s="927"/>
      <c r="BE368" s="927"/>
      <c r="BF368" s="927"/>
      <c r="BG368" s="927"/>
    </row>
    <row r="369" spans="18:59" x14ac:dyDescent="0.35">
      <c r="R369" s="927"/>
      <c r="S369" s="927"/>
      <c r="W369" s="927"/>
      <c r="X369" s="927"/>
      <c r="AE369" s="927"/>
      <c r="AF369" s="927"/>
      <c r="AV369" s="927"/>
      <c r="AW369" s="927"/>
      <c r="AX369" s="927"/>
      <c r="AY369" s="927"/>
      <c r="AZ369" s="927"/>
      <c r="BA369" s="927"/>
      <c r="BC369" s="927"/>
      <c r="BE369" s="927"/>
      <c r="BF369" s="927"/>
      <c r="BG369" s="927"/>
    </row>
    <row r="370" spans="18:59" x14ac:dyDescent="0.35">
      <c r="R370" s="927"/>
      <c r="S370" s="927"/>
      <c r="W370" s="927"/>
      <c r="X370" s="927"/>
      <c r="AE370" s="927"/>
      <c r="AF370" s="927"/>
      <c r="AV370" s="927"/>
      <c r="AW370" s="927"/>
      <c r="AX370" s="927"/>
      <c r="AY370" s="927"/>
      <c r="AZ370" s="927"/>
      <c r="BA370" s="927"/>
      <c r="BC370" s="927"/>
      <c r="BE370" s="927"/>
      <c r="BF370" s="927"/>
      <c r="BG370" s="927"/>
    </row>
    <row r="371" spans="18:59" x14ac:dyDescent="0.35">
      <c r="R371" s="927"/>
      <c r="S371" s="927"/>
      <c r="W371" s="927"/>
      <c r="X371" s="927"/>
      <c r="AE371" s="927"/>
      <c r="AF371" s="927"/>
      <c r="AV371" s="927"/>
      <c r="AW371" s="927"/>
      <c r="AX371" s="927"/>
      <c r="AY371" s="927"/>
      <c r="AZ371" s="927"/>
      <c r="BA371" s="927"/>
      <c r="BC371" s="927"/>
      <c r="BE371" s="927"/>
      <c r="BF371" s="927"/>
      <c r="BG371" s="927"/>
    </row>
    <row r="372" spans="18:59" x14ac:dyDescent="0.35">
      <c r="R372" s="927"/>
      <c r="S372" s="927"/>
      <c r="W372" s="927"/>
      <c r="X372" s="927"/>
      <c r="AE372" s="927"/>
      <c r="AF372" s="927"/>
      <c r="AV372" s="927"/>
      <c r="AW372" s="927"/>
      <c r="AX372" s="927"/>
      <c r="AY372" s="927"/>
      <c r="AZ372" s="927"/>
      <c r="BA372" s="927"/>
      <c r="BC372" s="927"/>
      <c r="BE372" s="927"/>
      <c r="BF372" s="927"/>
      <c r="BG372" s="927"/>
    </row>
    <row r="373" spans="18:59" x14ac:dyDescent="0.35">
      <c r="R373" s="927"/>
      <c r="S373" s="927"/>
      <c r="W373" s="927"/>
      <c r="X373" s="927"/>
      <c r="AE373" s="927"/>
      <c r="AF373" s="927"/>
      <c r="AV373" s="927"/>
      <c r="AW373" s="927"/>
      <c r="AX373" s="927"/>
      <c r="AY373" s="927"/>
      <c r="AZ373" s="927"/>
      <c r="BA373" s="927"/>
      <c r="BC373" s="927"/>
      <c r="BE373" s="927"/>
      <c r="BF373" s="927"/>
      <c r="BG373" s="927"/>
    </row>
    <row r="374" spans="18:59" x14ac:dyDescent="0.35">
      <c r="R374" s="927"/>
      <c r="S374" s="927"/>
      <c r="W374" s="927"/>
      <c r="X374" s="927"/>
      <c r="AE374" s="927"/>
      <c r="AF374" s="927"/>
      <c r="AV374" s="927"/>
      <c r="AW374" s="927"/>
      <c r="AX374" s="927"/>
      <c r="AY374" s="927"/>
      <c r="AZ374" s="927"/>
      <c r="BA374" s="927"/>
      <c r="BC374" s="927"/>
      <c r="BE374" s="927"/>
      <c r="BF374" s="927"/>
      <c r="BG374" s="927"/>
    </row>
    <row r="375" spans="18:59" x14ac:dyDescent="0.35">
      <c r="R375" s="927"/>
      <c r="S375" s="927"/>
      <c r="W375" s="927"/>
      <c r="X375" s="927"/>
      <c r="AE375" s="927"/>
      <c r="AF375" s="927"/>
      <c r="AV375" s="927"/>
      <c r="AW375" s="927"/>
      <c r="AX375" s="927"/>
      <c r="AY375" s="927"/>
      <c r="AZ375" s="927"/>
      <c r="BA375" s="927"/>
      <c r="BC375" s="927"/>
      <c r="BE375" s="927"/>
      <c r="BF375" s="927"/>
      <c r="BG375" s="927"/>
    </row>
    <row r="376" spans="18:59" x14ac:dyDescent="0.35">
      <c r="R376" s="927"/>
      <c r="S376" s="927"/>
      <c r="W376" s="927"/>
      <c r="X376" s="927"/>
      <c r="AE376" s="927"/>
      <c r="AF376" s="927"/>
      <c r="AV376" s="927"/>
      <c r="AW376" s="927"/>
      <c r="AX376" s="927"/>
      <c r="AY376" s="927"/>
      <c r="AZ376" s="927"/>
      <c r="BA376" s="927"/>
      <c r="BC376" s="927"/>
      <c r="BE376" s="927"/>
      <c r="BF376" s="927"/>
      <c r="BG376" s="927"/>
    </row>
    <row r="377" spans="18:59" x14ac:dyDescent="0.35">
      <c r="R377" s="927"/>
      <c r="S377" s="927"/>
      <c r="W377" s="927"/>
      <c r="X377" s="927"/>
      <c r="AE377" s="927"/>
      <c r="AF377" s="927"/>
      <c r="AV377" s="927"/>
      <c r="AW377" s="927"/>
      <c r="AX377" s="927"/>
      <c r="AY377" s="927"/>
      <c r="AZ377" s="927"/>
      <c r="BA377" s="927"/>
      <c r="BC377" s="927"/>
      <c r="BE377" s="927"/>
      <c r="BF377" s="927"/>
      <c r="BG377" s="927"/>
    </row>
    <row r="378" spans="18:59" x14ac:dyDescent="0.35">
      <c r="R378" s="927"/>
      <c r="S378" s="927"/>
      <c r="W378" s="927"/>
      <c r="X378" s="927"/>
      <c r="AE378" s="927"/>
      <c r="AF378" s="927"/>
      <c r="AV378" s="927"/>
      <c r="AW378" s="927"/>
      <c r="AX378" s="927"/>
      <c r="AY378" s="927"/>
      <c r="AZ378" s="927"/>
      <c r="BA378" s="927"/>
      <c r="BC378" s="927"/>
      <c r="BE378" s="927"/>
      <c r="BF378" s="927"/>
      <c r="BG378" s="927"/>
    </row>
    <row r="379" spans="18:59" x14ac:dyDescent="0.35">
      <c r="R379" s="927"/>
      <c r="S379" s="927"/>
      <c r="W379" s="927"/>
      <c r="X379" s="927"/>
      <c r="AE379" s="927"/>
      <c r="AF379" s="927"/>
      <c r="AV379" s="927"/>
      <c r="AW379" s="927"/>
      <c r="AX379" s="927"/>
      <c r="AY379" s="927"/>
      <c r="AZ379" s="927"/>
      <c r="BA379" s="927"/>
      <c r="BC379" s="927"/>
      <c r="BE379" s="927"/>
      <c r="BF379" s="927"/>
      <c r="BG379" s="927"/>
    </row>
    <row r="380" spans="18:59" x14ac:dyDescent="0.35">
      <c r="R380" s="927"/>
      <c r="S380" s="927"/>
      <c r="W380" s="927"/>
      <c r="X380" s="927"/>
      <c r="AE380" s="927"/>
      <c r="AF380" s="927"/>
      <c r="AV380" s="927"/>
      <c r="AW380" s="927"/>
      <c r="AX380" s="927"/>
      <c r="AY380" s="927"/>
      <c r="AZ380" s="927"/>
      <c r="BA380" s="927"/>
      <c r="BC380" s="927"/>
      <c r="BE380" s="927"/>
      <c r="BF380" s="927"/>
      <c r="BG380" s="927"/>
    </row>
    <row r="381" spans="18:59" x14ac:dyDescent="0.35">
      <c r="R381" s="927"/>
      <c r="S381" s="927"/>
      <c r="W381" s="927"/>
      <c r="X381" s="927"/>
      <c r="AE381" s="927"/>
      <c r="AF381" s="927"/>
      <c r="AV381" s="927"/>
      <c r="AW381" s="927"/>
      <c r="AX381" s="927"/>
      <c r="AY381" s="927"/>
      <c r="AZ381" s="927"/>
      <c r="BA381" s="927"/>
      <c r="BC381" s="927"/>
      <c r="BE381" s="927"/>
      <c r="BF381" s="927"/>
      <c r="BG381" s="927"/>
    </row>
    <row r="382" spans="18:59" x14ac:dyDescent="0.35">
      <c r="R382" s="927"/>
      <c r="S382" s="927"/>
      <c r="W382" s="927"/>
      <c r="X382" s="927"/>
      <c r="AE382" s="927"/>
      <c r="AF382" s="927"/>
      <c r="AV382" s="927"/>
      <c r="AW382" s="927"/>
      <c r="AX382" s="927"/>
      <c r="AY382" s="927"/>
      <c r="AZ382" s="927"/>
      <c r="BA382" s="927"/>
      <c r="BC382" s="927"/>
      <c r="BE382" s="927"/>
      <c r="BF382" s="927"/>
      <c r="BG382" s="927"/>
    </row>
    <row r="383" spans="18:59" x14ac:dyDescent="0.35">
      <c r="R383" s="927"/>
      <c r="S383" s="927"/>
      <c r="W383" s="927"/>
      <c r="X383" s="927"/>
      <c r="AE383" s="927"/>
      <c r="AF383" s="927"/>
      <c r="AV383" s="927"/>
      <c r="AW383" s="927"/>
      <c r="AX383" s="927"/>
      <c r="AY383" s="927"/>
      <c r="AZ383" s="927"/>
      <c r="BA383" s="927"/>
      <c r="BC383" s="927"/>
      <c r="BE383" s="927"/>
      <c r="BF383" s="927"/>
      <c r="BG383" s="927"/>
    </row>
    <row r="384" spans="18:59" x14ac:dyDescent="0.35">
      <c r="R384" s="927"/>
      <c r="S384" s="927"/>
      <c r="W384" s="927"/>
      <c r="X384" s="927"/>
      <c r="AE384" s="927"/>
      <c r="AF384" s="927"/>
      <c r="AV384" s="927"/>
      <c r="AW384" s="927"/>
      <c r="AX384" s="927"/>
      <c r="AY384" s="927"/>
      <c r="AZ384" s="927"/>
      <c r="BA384" s="927"/>
      <c r="BC384" s="927"/>
      <c r="BE384" s="927"/>
      <c r="BF384" s="927"/>
      <c r="BG384" s="927"/>
    </row>
    <row r="385" spans="18:59" x14ac:dyDescent="0.35">
      <c r="R385" s="927"/>
      <c r="S385" s="927"/>
      <c r="W385" s="927"/>
      <c r="X385" s="927"/>
      <c r="AE385" s="927"/>
      <c r="AF385" s="927"/>
      <c r="AV385" s="927"/>
      <c r="AW385" s="927"/>
      <c r="AX385" s="927"/>
      <c r="AY385" s="927"/>
      <c r="AZ385" s="927"/>
      <c r="BA385" s="927"/>
      <c r="BC385" s="927"/>
      <c r="BE385" s="927"/>
      <c r="BF385" s="927"/>
      <c r="BG385" s="927"/>
    </row>
    <row r="386" spans="18:59" x14ac:dyDescent="0.35">
      <c r="R386" s="927"/>
      <c r="S386" s="927"/>
      <c r="W386" s="927"/>
      <c r="X386" s="927"/>
      <c r="AE386" s="927"/>
      <c r="AF386" s="927"/>
      <c r="AV386" s="927"/>
      <c r="AW386" s="927"/>
      <c r="AX386" s="927"/>
      <c r="AY386" s="927"/>
      <c r="AZ386" s="927"/>
      <c r="BA386" s="927"/>
      <c r="BC386" s="927"/>
      <c r="BE386" s="927"/>
      <c r="BF386" s="927"/>
      <c r="BG386" s="927"/>
    </row>
    <row r="387" spans="18:59" x14ac:dyDescent="0.35">
      <c r="R387" s="927"/>
      <c r="S387" s="927"/>
      <c r="W387" s="927"/>
      <c r="X387" s="927"/>
      <c r="AE387" s="927"/>
      <c r="AF387" s="927"/>
      <c r="AV387" s="927"/>
      <c r="AW387" s="927"/>
      <c r="AX387" s="927"/>
      <c r="AY387" s="927"/>
      <c r="AZ387" s="927"/>
      <c r="BA387" s="927"/>
      <c r="BC387" s="927"/>
      <c r="BE387" s="927"/>
      <c r="BF387" s="927"/>
      <c r="BG387" s="927"/>
    </row>
    <row r="388" spans="18:59" x14ac:dyDescent="0.35">
      <c r="R388" s="927"/>
      <c r="S388" s="927"/>
      <c r="W388" s="927"/>
      <c r="X388" s="927"/>
      <c r="AE388" s="927"/>
      <c r="AF388" s="927"/>
      <c r="AV388" s="927"/>
      <c r="AW388" s="927"/>
      <c r="AX388" s="927"/>
      <c r="AY388" s="927"/>
      <c r="AZ388" s="927"/>
      <c r="BA388" s="927"/>
      <c r="BC388" s="927"/>
      <c r="BE388" s="927"/>
      <c r="BF388" s="927"/>
      <c r="BG388" s="927"/>
    </row>
    <row r="389" spans="18:59" x14ac:dyDescent="0.35">
      <c r="R389" s="927"/>
      <c r="S389" s="927"/>
      <c r="W389" s="927"/>
      <c r="X389" s="927"/>
      <c r="AE389" s="927"/>
      <c r="AF389" s="927"/>
      <c r="AV389" s="927"/>
      <c r="AW389" s="927"/>
      <c r="AX389" s="927"/>
      <c r="AY389" s="927"/>
      <c r="AZ389" s="927"/>
      <c r="BA389" s="927"/>
      <c r="BC389" s="927"/>
      <c r="BE389" s="927"/>
      <c r="BF389" s="927"/>
      <c r="BG389" s="927"/>
    </row>
    <row r="390" spans="18:59" x14ac:dyDescent="0.35">
      <c r="R390" s="927"/>
      <c r="S390" s="927"/>
      <c r="W390" s="927"/>
      <c r="X390" s="927"/>
      <c r="AE390" s="927"/>
      <c r="AF390" s="927"/>
      <c r="AV390" s="927"/>
      <c r="AW390" s="927"/>
      <c r="AX390" s="927"/>
      <c r="AY390" s="927"/>
      <c r="AZ390" s="927"/>
      <c r="BA390" s="927"/>
      <c r="BC390" s="927"/>
      <c r="BE390" s="927"/>
      <c r="BF390" s="927"/>
      <c r="BG390" s="927"/>
    </row>
    <row r="391" spans="18:59" x14ac:dyDescent="0.35">
      <c r="R391" s="927"/>
      <c r="S391" s="927"/>
      <c r="W391" s="927"/>
      <c r="X391" s="927"/>
      <c r="AE391" s="927"/>
      <c r="AF391" s="927"/>
      <c r="AV391" s="927"/>
      <c r="AW391" s="927"/>
      <c r="AX391" s="927"/>
      <c r="AY391" s="927"/>
      <c r="AZ391" s="927"/>
      <c r="BA391" s="927"/>
      <c r="BC391" s="927"/>
      <c r="BE391" s="927"/>
      <c r="BF391" s="927"/>
      <c r="BG391" s="927"/>
    </row>
    <row r="392" spans="18:59" x14ac:dyDescent="0.35">
      <c r="R392" s="927"/>
      <c r="S392" s="927"/>
      <c r="W392" s="927"/>
      <c r="X392" s="927"/>
      <c r="AE392" s="927"/>
      <c r="AF392" s="927"/>
      <c r="AV392" s="927"/>
      <c r="AW392" s="927"/>
      <c r="AX392" s="927"/>
      <c r="AY392" s="927"/>
      <c r="AZ392" s="927"/>
      <c r="BA392" s="927"/>
      <c r="BC392" s="927"/>
      <c r="BE392" s="927"/>
      <c r="BF392" s="927"/>
      <c r="BG392" s="927"/>
    </row>
    <row r="393" spans="18:59" x14ac:dyDescent="0.35">
      <c r="R393" s="927"/>
      <c r="S393" s="927"/>
      <c r="W393" s="927"/>
      <c r="X393" s="927"/>
      <c r="AE393" s="927"/>
      <c r="AF393" s="927"/>
      <c r="AV393" s="927"/>
      <c r="AW393" s="927"/>
      <c r="AX393" s="927"/>
      <c r="AY393" s="927"/>
      <c r="AZ393" s="927"/>
      <c r="BA393" s="927"/>
      <c r="BC393" s="927"/>
      <c r="BE393" s="927"/>
      <c r="BF393" s="927"/>
      <c r="BG393" s="927"/>
    </row>
    <row r="394" spans="18:59" x14ac:dyDescent="0.35">
      <c r="R394" s="927"/>
      <c r="S394" s="927"/>
      <c r="W394" s="927"/>
      <c r="X394" s="927"/>
      <c r="AE394" s="927"/>
      <c r="AF394" s="927"/>
      <c r="AV394" s="927"/>
      <c r="AW394" s="927"/>
      <c r="AX394" s="927"/>
      <c r="AY394" s="927"/>
      <c r="AZ394" s="927"/>
      <c r="BA394" s="927"/>
      <c r="BC394" s="927"/>
      <c r="BE394" s="927"/>
      <c r="BF394" s="927"/>
      <c r="BG394" s="927"/>
    </row>
    <row r="395" spans="18:59" x14ac:dyDescent="0.35">
      <c r="R395" s="927"/>
      <c r="S395" s="927"/>
      <c r="W395" s="927"/>
      <c r="X395" s="927"/>
      <c r="AE395" s="927"/>
      <c r="AF395" s="927"/>
      <c r="AV395" s="927"/>
      <c r="AW395" s="927"/>
      <c r="AX395" s="927"/>
      <c r="AY395" s="927"/>
      <c r="AZ395" s="927"/>
      <c r="BA395" s="927"/>
      <c r="BC395" s="927"/>
      <c r="BE395" s="927"/>
      <c r="BF395" s="927"/>
      <c r="BG395" s="927"/>
    </row>
    <row r="396" spans="18:59" x14ac:dyDescent="0.35">
      <c r="R396" s="927"/>
      <c r="S396" s="927"/>
      <c r="W396" s="927"/>
      <c r="X396" s="927"/>
      <c r="AE396" s="927"/>
      <c r="AF396" s="927"/>
      <c r="AV396" s="927"/>
      <c r="AW396" s="927"/>
      <c r="AX396" s="927"/>
      <c r="AY396" s="927"/>
      <c r="AZ396" s="927"/>
      <c r="BA396" s="927"/>
      <c r="BC396" s="927"/>
      <c r="BE396" s="927"/>
      <c r="BF396" s="927"/>
      <c r="BG396" s="927"/>
    </row>
    <row r="397" spans="18:59" x14ac:dyDescent="0.35">
      <c r="R397" s="927"/>
      <c r="S397" s="927"/>
      <c r="W397" s="927"/>
      <c r="X397" s="927"/>
      <c r="AE397" s="927"/>
      <c r="AF397" s="927"/>
      <c r="AV397" s="927"/>
      <c r="AW397" s="927"/>
      <c r="AX397" s="927"/>
      <c r="AY397" s="927"/>
      <c r="AZ397" s="927"/>
      <c r="BA397" s="927"/>
      <c r="BC397" s="927"/>
      <c r="BE397" s="927"/>
      <c r="BF397" s="927"/>
      <c r="BG397" s="927"/>
    </row>
    <row r="398" spans="18:59" x14ac:dyDescent="0.35">
      <c r="R398" s="927"/>
      <c r="S398" s="927"/>
      <c r="W398" s="927"/>
      <c r="X398" s="927"/>
      <c r="AE398" s="927"/>
      <c r="AF398" s="927"/>
      <c r="AV398" s="927"/>
      <c r="AW398" s="927"/>
      <c r="AX398" s="927"/>
      <c r="AY398" s="927"/>
      <c r="AZ398" s="927"/>
      <c r="BA398" s="927"/>
      <c r="BC398" s="927"/>
      <c r="BE398" s="927"/>
      <c r="BF398" s="927"/>
      <c r="BG398" s="927"/>
    </row>
    <row r="399" spans="18:59" x14ac:dyDescent="0.35">
      <c r="R399" s="927"/>
      <c r="S399" s="927"/>
      <c r="W399" s="927"/>
      <c r="X399" s="927"/>
      <c r="AE399" s="927"/>
      <c r="AF399" s="927"/>
      <c r="AV399" s="927"/>
      <c r="AW399" s="927"/>
      <c r="AX399" s="927"/>
      <c r="AY399" s="927"/>
      <c r="AZ399" s="927"/>
      <c r="BA399" s="927"/>
      <c r="BC399" s="927"/>
      <c r="BE399" s="927"/>
      <c r="BF399" s="927"/>
      <c r="BG399" s="927"/>
    </row>
    <row r="400" spans="18:59" x14ac:dyDescent="0.35">
      <c r="R400" s="927"/>
      <c r="S400" s="927"/>
      <c r="W400" s="927"/>
      <c r="X400" s="927"/>
      <c r="AE400" s="927"/>
      <c r="AF400" s="927"/>
      <c r="AV400" s="927"/>
      <c r="AW400" s="927"/>
      <c r="AX400" s="927"/>
      <c r="AY400" s="927"/>
      <c r="AZ400" s="927"/>
      <c r="BA400" s="927"/>
      <c r="BC400" s="927"/>
      <c r="BE400" s="927"/>
      <c r="BF400" s="927"/>
      <c r="BG400" s="927"/>
    </row>
    <row r="401" spans="18:59" x14ac:dyDescent="0.35">
      <c r="R401" s="927"/>
      <c r="S401" s="927"/>
      <c r="W401" s="927"/>
      <c r="X401" s="927"/>
      <c r="AE401" s="927"/>
      <c r="AF401" s="927"/>
      <c r="AV401" s="927"/>
      <c r="AW401" s="927"/>
      <c r="AX401" s="927"/>
      <c r="AY401" s="927"/>
      <c r="AZ401" s="927"/>
      <c r="BA401" s="927"/>
      <c r="BC401" s="927"/>
      <c r="BE401" s="927"/>
      <c r="BF401" s="927"/>
      <c r="BG401" s="927"/>
    </row>
    <row r="402" spans="18:59" x14ac:dyDescent="0.35">
      <c r="R402" s="927"/>
      <c r="S402" s="927"/>
      <c r="W402" s="927"/>
      <c r="X402" s="927"/>
      <c r="AE402" s="927"/>
      <c r="AF402" s="927"/>
      <c r="AV402" s="927"/>
      <c r="AW402" s="927"/>
      <c r="AX402" s="927"/>
      <c r="AY402" s="927"/>
      <c r="AZ402" s="927"/>
      <c r="BA402" s="927"/>
      <c r="BC402" s="927"/>
      <c r="BE402" s="927"/>
      <c r="BF402" s="927"/>
      <c r="BG402" s="927"/>
    </row>
    <row r="403" spans="18:59" x14ac:dyDescent="0.35">
      <c r="R403" s="927"/>
      <c r="S403" s="927"/>
      <c r="W403" s="927"/>
      <c r="X403" s="927"/>
      <c r="AE403" s="927"/>
      <c r="AF403" s="927"/>
      <c r="AV403" s="927"/>
      <c r="AW403" s="927"/>
      <c r="AX403" s="927"/>
      <c r="AY403" s="927"/>
      <c r="AZ403" s="927"/>
      <c r="BA403" s="927"/>
      <c r="BC403" s="927"/>
      <c r="BE403" s="927"/>
      <c r="BF403" s="927"/>
      <c r="BG403" s="927"/>
    </row>
    <row r="404" spans="18:59" x14ac:dyDescent="0.35">
      <c r="R404" s="927"/>
      <c r="S404" s="927"/>
      <c r="W404" s="927"/>
      <c r="X404" s="927"/>
      <c r="AE404" s="927"/>
      <c r="AF404" s="927"/>
      <c r="AV404" s="927"/>
      <c r="AW404" s="927"/>
      <c r="AX404" s="927"/>
      <c r="AY404" s="927"/>
      <c r="AZ404" s="927"/>
      <c r="BA404" s="927"/>
      <c r="BC404" s="927"/>
      <c r="BE404" s="927"/>
      <c r="BF404" s="927"/>
      <c r="BG404" s="927"/>
    </row>
    <row r="405" spans="18:59" x14ac:dyDescent="0.35">
      <c r="R405" s="927"/>
      <c r="S405" s="927"/>
      <c r="W405" s="927"/>
      <c r="X405" s="927"/>
      <c r="AE405" s="927"/>
      <c r="AF405" s="927"/>
      <c r="AV405" s="927"/>
      <c r="AW405" s="927"/>
      <c r="AX405" s="927"/>
      <c r="AY405" s="927"/>
      <c r="AZ405" s="927"/>
      <c r="BA405" s="927"/>
      <c r="BC405" s="927"/>
      <c r="BE405" s="927"/>
      <c r="BF405" s="927"/>
      <c r="BG405" s="927"/>
    </row>
    <row r="406" spans="18:59" x14ac:dyDescent="0.35">
      <c r="R406" s="927"/>
      <c r="S406" s="927"/>
      <c r="W406" s="927"/>
      <c r="X406" s="927"/>
      <c r="AE406" s="927"/>
      <c r="AF406" s="927"/>
      <c r="AV406" s="927"/>
      <c r="AW406" s="927"/>
      <c r="AX406" s="927"/>
      <c r="AY406" s="927"/>
      <c r="AZ406" s="927"/>
      <c r="BA406" s="927"/>
      <c r="BC406" s="927"/>
      <c r="BE406" s="927"/>
      <c r="BF406" s="927"/>
      <c r="BG406" s="927"/>
    </row>
    <row r="407" spans="18:59" x14ac:dyDescent="0.35">
      <c r="R407" s="927"/>
      <c r="S407" s="927"/>
      <c r="W407" s="927"/>
      <c r="X407" s="927"/>
      <c r="AE407" s="927"/>
      <c r="AF407" s="927"/>
      <c r="AV407" s="927"/>
      <c r="AW407" s="927"/>
      <c r="AX407" s="927"/>
      <c r="AY407" s="927"/>
      <c r="AZ407" s="927"/>
      <c r="BA407" s="927"/>
      <c r="BC407" s="927"/>
      <c r="BE407" s="927"/>
      <c r="BF407" s="927"/>
      <c r="BG407" s="927"/>
    </row>
    <row r="408" spans="18:59" x14ac:dyDescent="0.35">
      <c r="R408" s="927"/>
      <c r="S408" s="927"/>
      <c r="W408" s="927"/>
      <c r="X408" s="927"/>
      <c r="AE408" s="927"/>
      <c r="AF408" s="927"/>
      <c r="AV408" s="927"/>
      <c r="AW408" s="927"/>
      <c r="AX408" s="927"/>
      <c r="AY408" s="927"/>
      <c r="AZ408" s="927"/>
      <c r="BA408" s="927"/>
      <c r="BC408" s="927"/>
      <c r="BE408" s="927"/>
      <c r="BF408" s="927"/>
      <c r="BG408" s="927"/>
    </row>
    <row r="409" spans="18:59" x14ac:dyDescent="0.35">
      <c r="R409" s="927"/>
      <c r="S409" s="927"/>
      <c r="W409" s="927"/>
      <c r="X409" s="927"/>
      <c r="AE409" s="927"/>
      <c r="AF409" s="927"/>
      <c r="AV409" s="927"/>
      <c r="AW409" s="927"/>
      <c r="AX409" s="927"/>
      <c r="AY409" s="927"/>
      <c r="AZ409" s="927"/>
      <c r="BA409" s="927"/>
      <c r="BC409" s="927"/>
      <c r="BE409" s="927"/>
      <c r="BF409" s="927"/>
      <c r="BG409" s="927"/>
    </row>
    <row r="410" spans="18:59" x14ac:dyDescent="0.35">
      <c r="R410" s="927"/>
      <c r="S410" s="927"/>
      <c r="W410" s="927"/>
      <c r="X410" s="927"/>
      <c r="AE410" s="927"/>
      <c r="AF410" s="927"/>
      <c r="AV410" s="927"/>
      <c r="AW410" s="927"/>
      <c r="AX410" s="927"/>
      <c r="AY410" s="927"/>
      <c r="AZ410" s="927"/>
      <c r="BA410" s="927"/>
      <c r="BC410" s="927"/>
      <c r="BE410" s="927"/>
      <c r="BF410" s="927"/>
      <c r="BG410" s="927"/>
    </row>
    <row r="411" spans="18:59" x14ac:dyDescent="0.35">
      <c r="R411" s="927"/>
      <c r="S411" s="927"/>
      <c r="W411" s="927"/>
      <c r="X411" s="927"/>
      <c r="AE411" s="927"/>
      <c r="AF411" s="927"/>
      <c r="AV411" s="927"/>
      <c r="AW411" s="927"/>
      <c r="AX411" s="927"/>
      <c r="AY411" s="927"/>
      <c r="AZ411" s="927"/>
      <c r="BA411" s="927"/>
      <c r="BC411" s="927"/>
      <c r="BE411" s="927"/>
      <c r="BF411" s="927"/>
      <c r="BG411" s="927"/>
    </row>
    <row r="412" spans="18:59" x14ac:dyDescent="0.35">
      <c r="R412" s="927"/>
      <c r="S412" s="927"/>
      <c r="W412" s="927"/>
      <c r="X412" s="927"/>
      <c r="AE412" s="927"/>
      <c r="AF412" s="927"/>
      <c r="AV412" s="927"/>
      <c r="AW412" s="927"/>
      <c r="AX412" s="927"/>
      <c r="AY412" s="927"/>
      <c r="AZ412" s="927"/>
      <c r="BA412" s="927"/>
      <c r="BC412" s="927"/>
      <c r="BE412" s="927"/>
      <c r="BF412" s="927"/>
      <c r="BG412" s="927"/>
    </row>
    <row r="413" spans="18:59" x14ac:dyDescent="0.35">
      <c r="R413" s="927"/>
      <c r="S413" s="927"/>
      <c r="W413" s="927"/>
      <c r="X413" s="927"/>
      <c r="AE413" s="927"/>
      <c r="AF413" s="927"/>
      <c r="AV413" s="927"/>
      <c r="AW413" s="927"/>
      <c r="AX413" s="927"/>
      <c r="AY413" s="927"/>
      <c r="AZ413" s="927"/>
      <c r="BA413" s="927"/>
      <c r="BC413" s="927"/>
      <c r="BE413" s="927"/>
      <c r="BF413" s="927"/>
      <c r="BG413" s="927"/>
    </row>
    <row r="414" spans="18:59" x14ac:dyDescent="0.35">
      <c r="R414" s="927"/>
      <c r="S414" s="927"/>
      <c r="W414" s="927"/>
      <c r="X414" s="927"/>
      <c r="AE414" s="927"/>
      <c r="AF414" s="927"/>
      <c r="AV414" s="927"/>
      <c r="AW414" s="927"/>
      <c r="AX414" s="927"/>
      <c r="AY414" s="927"/>
      <c r="AZ414" s="927"/>
      <c r="BA414" s="927"/>
      <c r="BC414" s="927"/>
      <c r="BE414" s="927"/>
      <c r="BF414" s="927"/>
      <c r="BG414" s="927"/>
    </row>
    <row r="415" spans="18:59" x14ac:dyDescent="0.35">
      <c r="R415" s="927"/>
      <c r="S415" s="927"/>
      <c r="W415" s="927"/>
      <c r="X415" s="927"/>
      <c r="AE415" s="927"/>
      <c r="AF415" s="927"/>
      <c r="AV415" s="927"/>
      <c r="AW415" s="927"/>
      <c r="AX415" s="927"/>
      <c r="AY415" s="927"/>
      <c r="AZ415" s="927"/>
      <c r="BA415" s="927"/>
      <c r="BC415" s="927"/>
      <c r="BE415" s="927"/>
      <c r="BF415" s="927"/>
      <c r="BG415" s="927"/>
    </row>
    <row r="416" spans="18:59" x14ac:dyDescent="0.35">
      <c r="R416" s="927"/>
      <c r="S416" s="927"/>
      <c r="W416" s="927"/>
      <c r="X416" s="927"/>
      <c r="AE416" s="927"/>
      <c r="AF416" s="927"/>
      <c r="AV416" s="927"/>
      <c r="AW416" s="927"/>
      <c r="AX416" s="927"/>
      <c r="AY416" s="927"/>
      <c r="AZ416" s="927"/>
      <c r="BA416" s="927"/>
      <c r="BC416" s="927"/>
      <c r="BE416" s="927"/>
      <c r="BF416" s="927"/>
      <c r="BG416" s="927"/>
    </row>
    <row r="417" spans="18:59" x14ac:dyDescent="0.35">
      <c r="R417" s="927"/>
      <c r="S417" s="927"/>
      <c r="W417" s="927"/>
      <c r="X417" s="927"/>
      <c r="AE417" s="927"/>
      <c r="AF417" s="927"/>
      <c r="AV417" s="927"/>
      <c r="AW417" s="927"/>
      <c r="AX417" s="927"/>
      <c r="AY417" s="927"/>
      <c r="AZ417" s="927"/>
      <c r="BA417" s="927"/>
      <c r="BC417" s="927"/>
      <c r="BE417" s="927"/>
      <c r="BF417" s="927"/>
      <c r="BG417" s="927"/>
    </row>
    <row r="418" spans="18:59" x14ac:dyDescent="0.35">
      <c r="R418" s="927"/>
      <c r="S418" s="927"/>
      <c r="W418" s="927"/>
      <c r="X418" s="927"/>
      <c r="AE418" s="927"/>
      <c r="AF418" s="927"/>
      <c r="AV418" s="927"/>
      <c r="AW418" s="927"/>
      <c r="AX418" s="927"/>
      <c r="AY418" s="927"/>
      <c r="AZ418" s="927"/>
      <c r="BA418" s="927"/>
      <c r="BC418" s="927"/>
      <c r="BE418" s="927"/>
      <c r="BF418" s="927"/>
      <c r="BG418" s="927"/>
    </row>
    <row r="419" spans="18:59" x14ac:dyDescent="0.35">
      <c r="R419" s="927"/>
      <c r="S419" s="927"/>
      <c r="W419" s="927"/>
      <c r="X419" s="927"/>
      <c r="AE419" s="927"/>
      <c r="AF419" s="927"/>
      <c r="AV419" s="927"/>
      <c r="AW419" s="927"/>
      <c r="AX419" s="927"/>
      <c r="AY419" s="927"/>
      <c r="AZ419" s="927"/>
      <c r="BA419" s="927"/>
      <c r="BC419" s="927"/>
      <c r="BE419" s="927"/>
      <c r="BF419" s="927"/>
      <c r="BG419" s="927"/>
    </row>
    <row r="420" spans="18:59" x14ac:dyDescent="0.35">
      <c r="R420" s="927"/>
      <c r="S420" s="927"/>
      <c r="W420" s="927"/>
      <c r="X420" s="927"/>
      <c r="AE420" s="927"/>
      <c r="AF420" s="927"/>
      <c r="AV420" s="927"/>
      <c r="AW420" s="927"/>
      <c r="AX420" s="927"/>
      <c r="AY420" s="927"/>
      <c r="AZ420" s="927"/>
      <c r="BA420" s="927"/>
      <c r="BC420" s="927"/>
      <c r="BE420" s="927"/>
      <c r="BF420" s="927"/>
      <c r="BG420" s="927"/>
    </row>
    <row r="421" spans="18:59" x14ac:dyDescent="0.35">
      <c r="R421" s="927"/>
      <c r="S421" s="927"/>
      <c r="W421" s="927"/>
      <c r="X421" s="927"/>
      <c r="AE421" s="927"/>
      <c r="AF421" s="927"/>
      <c r="AV421" s="927"/>
      <c r="AW421" s="927"/>
      <c r="AX421" s="927"/>
      <c r="AY421" s="927"/>
      <c r="AZ421" s="927"/>
      <c r="BA421" s="927"/>
      <c r="BC421" s="927"/>
      <c r="BE421" s="927"/>
      <c r="BF421" s="927"/>
      <c r="BG421" s="927"/>
    </row>
    <row r="422" spans="18:59" x14ac:dyDescent="0.35">
      <c r="R422" s="927"/>
      <c r="S422" s="927"/>
      <c r="W422" s="927"/>
      <c r="X422" s="927"/>
      <c r="AE422" s="927"/>
      <c r="AF422" s="927"/>
      <c r="AV422" s="927"/>
      <c r="AW422" s="927"/>
      <c r="AX422" s="927"/>
      <c r="AY422" s="927"/>
      <c r="AZ422" s="927"/>
      <c r="BA422" s="927"/>
      <c r="BC422" s="927"/>
      <c r="BE422" s="927"/>
      <c r="BF422" s="927"/>
      <c r="BG422" s="927"/>
    </row>
    <row r="423" spans="18:59" x14ac:dyDescent="0.35">
      <c r="R423" s="927"/>
      <c r="S423" s="927"/>
      <c r="W423" s="927"/>
      <c r="X423" s="927"/>
      <c r="AE423" s="927"/>
      <c r="AF423" s="927"/>
      <c r="AV423" s="927"/>
      <c r="AW423" s="927"/>
      <c r="AX423" s="927"/>
      <c r="AY423" s="927"/>
      <c r="AZ423" s="927"/>
      <c r="BA423" s="927"/>
      <c r="BC423" s="927"/>
      <c r="BE423" s="927"/>
      <c r="BF423" s="927"/>
      <c r="BG423" s="927"/>
    </row>
    <row r="424" spans="18:59" x14ac:dyDescent="0.35">
      <c r="R424" s="927"/>
      <c r="S424" s="927"/>
      <c r="W424" s="927"/>
      <c r="X424" s="927"/>
      <c r="AE424" s="927"/>
      <c r="AF424" s="927"/>
      <c r="AV424" s="927"/>
      <c r="AW424" s="927"/>
      <c r="AX424" s="927"/>
      <c r="AY424" s="927"/>
      <c r="AZ424" s="927"/>
      <c r="BA424" s="927"/>
      <c r="BC424" s="927"/>
      <c r="BE424" s="927"/>
      <c r="BF424" s="927"/>
      <c r="BG424" s="927"/>
    </row>
    <row r="425" spans="18:59" x14ac:dyDescent="0.35">
      <c r="R425" s="927"/>
      <c r="S425" s="927"/>
      <c r="W425" s="927"/>
      <c r="X425" s="927"/>
      <c r="AE425" s="927"/>
      <c r="AF425" s="927"/>
      <c r="AV425" s="927"/>
      <c r="AW425" s="927"/>
      <c r="AX425" s="927"/>
      <c r="AY425" s="927"/>
      <c r="AZ425" s="927"/>
      <c r="BA425" s="927"/>
      <c r="BC425" s="927"/>
      <c r="BE425" s="927"/>
      <c r="BF425" s="927"/>
      <c r="BG425" s="927"/>
    </row>
    <row r="426" spans="18:59" x14ac:dyDescent="0.35">
      <c r="R426" s="927"/>
      <c r="S426" s="927"/>
      <c r="W426" s="927"/>
      <c r="X426" s="927"/>
      <c r="AE426" s="927"/>
      <c r="AF426" s="927"/>
      <c r="AV426" s="927"/>
      <c r="AW426" s="927"/>
      <c r="AX426" s="927"/>
      <c r="AY426" s="927"/>
      <c r="AZ426" s="927"/>
      <c r="BA426" s="927"/>
      <c r="BC426" s="927"/>
      <c r="BE426" s="927"/>
      <c r="BF426" s="927"/>
      <c r="BG426" s="927"/>
    </row>
    <row r="427" spans="18:59" x14ac:dyDescent="0.35">
      <c r="R427" s="927"/>
      <c r="S427" s="927"/>
      <c r="W427" s="927"/>
      <c r="X427" s="927"/>
      <c r="AE427" s="927"/>
      <c r="AF427" s="927"/>
      <c r="AV427" s="927"/>
      <c r="AW427" s="927"/>
      <c r="AX427" s="927"/>
      <c r="AY427" s="927"/>
      <c r="AZ427" s="927"/>
      <c r="BA427" s="927"/>
      <c r="BC427" s="927"/>
      <c r="BE427" s="927"/>
      <c r="BF427" s="927"/>
      <c r="BG427" s="927"/>
    </row>
    <row r="428" spans="18:59" x14ac:dyDescent="0.35">
      <c r="R428" s="927"/>
      <c r="S428" s="927"/>
      <c r="W428" s="927"/>
      <c r="X428" s="927"/>
      <c r="AE428" s="927"/>
      <c r="AF428" s="927"/>
      <c r="AV428" s="927"/>
      <c r="AW428" s="927"/>
      <c r="AX428" s="927"/>
      <c r="AY428" s="927"/>
      <c r="AZ428" s="927"/>
      <c r="BA428" s="927"/>
      <c r="BC428" s="927"/>
      <c r="BE428" s="927"/>
      <c r="BF428" s="927"/>
      <c r="BG428" s="927"/>
    </row>
    <row r="429" spans="18:59" x14ac:dyDescent="0.35">
      <c r="R429" s="927"/>
      <c r="S429" s="927"/>
      <c r="W429" s="927"/>
      <c r="X429" s="927"/>
      <c r="AE429" s="927"/>
      <c r="AF429" s="927"/>
      <c r="AV429" s="927"/>
      <c r="AW429" s="927"/>
      <c r="AX429" s="927"/>
      <c r="AY429" s="927"/>
      <c r="AZ429" s="927"/>
      <c r="BA429" s="927"/>
      <c r="BC429" s="927"/>
      <c r="BE429" s="927"/>
      <c r="BF429" s="927"/>
      <c r="BG429" s="927"/>
    </row>
    <row r="430" spans="18:59" x14ac:dyDescent="0.35">
      <c r="R430" s="927"/>
      <c r="S430" s="927"/>
      <c r="W430" s="927"/>
      <c r="X430" s="927"/>
      <c r="AE430" s="927"/>
      <c r="AF430" s="927"/>
      <c r="AV430" s="927"/>
      <c r="AW430" s="927"/>
      <c r="AX430" s="927"/>
      <c r="AY430" s="927"/>
      <c r="AZ430" s="927"/>
      <c r="BA430" s="927"/>
      <c r="BC430" s="927"/>
      <c r="BE430" s="927"/>
      <c r="BF430" s="927"/>
      <c r="BG430" s="927"/>
    </row>
    <row r="431" spans="18:59" x14ac:dyDescent="0.35">
      <c r="R431" s="927"/>
      <c r="S431" s="927"/>
      <c r="W431" s="927"/>
      <c r="X431" s="927"/>
      <c r="AE431" s="927"/>
      <c r="AF431" s="927"/>
      <c r="AV431" s="927"/>
      <c r="AW431" s="927"/>
      <c r="AX431" s="927"/>
      <c r="AY431" s="927"/>
      <c r="AZ431" s="927"/>
      <c r="BA431" s="927"/>
      <c r="BC431" s="927"/>
      <c r="BE431" s="927"/>
      <c r="BF431" s="927"/>
      <c r="BG431" s="927"/>
    </row>
    <row r="432" spans="18:59" x14ac:dyDescent="0.35">
      <c r="R432" s="927"/>
      <c r="S432" s="927"/>
      <c r="W432" s="927"/>
      <c r="X432" s="927"/>
      <c r="AE432" s="927"/>
      <c r="AF432" s="927"/>
      <c r="AV432" s="927"/>
      <c r="AW432" s="927"/>
      <c r="AX432" s="927"/>
      <c r="AY432" s="927"/>
      <c r="AZ432" s="927"/>
      <c r="BA432" s="927"/>
      <c r="BC432" s="927"/>
      <c r="BE432" s="927"/>
      <c r="BF432" s="927"/>
      <c r="BG432" s="927"/>
    </row>
    <row r="433" spans="18:59" x14ac:dyDescent="0.35">
      <c r="R433" s="927"/>
      <c r="S433" s="927"/>
      <c r="W433" s="927"/>
      <c r="X433" s="927"/>
      <c r="AE433" s="927"/>
      <c r="AF433" s="927"/>
      <c r="AV433" s="927"/>
      <c r="AW433" s="927"/>
      <c r="AX433" s="927"/>
      <c r="AY433" s="927"/>
      <c r="AZ433" s="927"/>
      <c r="BA433" s="927"/>
      <c r="BC433" s="927"/>
      <c r="BE433" s="927"/>
      <c r="BF433" s="927"/>
      <c r="BG433" s="927"/>
    </row>
    <row r="434" spans="18:59" x14ac:dyDescent="0.35">
      <c r="R434" s="927"/>
      <c r="S434" s="927"/>
      <c r="W434" s="927"/>
      <c r="X434" s="927"/>
      <c r="AE434" s="927"/>
      <c r="AF434" s="927"/>
      <c r="AV434" s="927"/>
      <c r="AW434" s="927"/>
      <c r="AX434" s="927"/>
      <c r="AY434" s="927"/>
      <c r="AZ434" s="927"/>
      <c r="BA434" s="927"/>
      <c r="BC434" s="927"/>
      <c r="BE434" s="927"/>
      <c r="BF434" s="927"/>
      <c r="BG434" s="927"/>
    </row>
    <row r="435" spans="18:59" x14ac:dyDescent="0.35">
      <c r="R435" s="927"/>
      <c r="S435" s="927"/>
      <c r="W435" s="927"/>
      <c r="X435" s="927"/>
      <c r="AE435" s="927"/>
      <c r="AF435" s="927"/>
      <c r="AV435" s="927"/>
      <c r="AW435" s="927"/>
      <c r="AX435" s="927"/>
      <c r="AY435" s="927"/>
      <c r="AZ435" s="927"/>
      <c r="BA435" s="927"/>
      <c r="BC435" s="927"/>
      <c r="BE435" s="927"/>
      <c r="BF435" s="927"/>
      <c r="BG435" s="927"/>
    </row>
    <row r="436" spans="18:59" x14ac:dyDescent="0.35">
      <c r="R436" s="927"/>
      <c r="S436" s="927"/>
      <c r="W436" s="927"/>
      <c r="X436" s="927"/>
      <c r="AE436" s="927"/>
      <c r="AF436" s="927"/>
      <c r="AV436" s="927"/>
      <c r="AW436" s="927"/>
      <c r="AX436" s="927"/>
      <c r="AY436" s="927"/>
      <c r="AZ436" s="927"/>
      <c r="BA436" s="927"/>
      <c r="BC436" s="927"/>
      <c r="BE436" s="927"/>
      <c r="BF436" s="927"/>
      <c r="BG436" s="927"/>
    </row>
    <row r="437" spans="18:59" x14ac:dyDescent="0.35">
      <c r="R437" s="927"/>
      <c r="S437" s="927"/>
      <c r="W437" s="927"/>
      <c r="X437" s="927"/>
      <c r="AE437" s="927"/>
      <c r="AF437" s="927"/>
      <c r="AV437" s="927"/>
      <c r="AW437" s="927"/>
      <c r="AX437" s="927"/>
      <c r="AY437" s="927"/>
      <c r="AZ437" s="927"/>
      <c r="BA437" s="927"/>
      <c r="BC437" s="927"/>
      <c r="BE437" s="927"/>
      <c r="BF437" s="927"/>
      <c r="BG437" s="927"/>
    </row>
    <row r="438" spans="18:59" x14ac:dyDescent="0.35">
      <c r="R438" s="927"/>
      <c r="S438" s="927"/>
      <c r="W438" s="927"/>
      <c r="X438" s="927"/>
      <c r="AE438" s="927"/>
      <c r="AF438" s="927"/>
      <c r="AV438" s="927"/>
      <c r="AW438" s="927"/>
      <c r="AX438" s="927"/>
      <c r="AY438" s="927"/>
      <c r="AZ438" s="927"/>
      <c r="BA438" s="927"/>
      <c r="BC438" s="927"/>
      <c r="BE438" s="927"/>
      <c r="BF438" s="927"/>
      <c r="BG438" s="927"/>
    </row>
    <row r="439" spans="18:59" x14ac:dyDescent="0.35">
      <c r="R439" s="927"/>
      <c r="S439" s="927"/>
      <c r="W439" s="927"/>
      <c r="X439" s="927"/>
      <c r="AE439" s="927"/>
      <c r="AF439" s="927"/>
      <c r="AV439" s="927"/>
      <c r="AW439" s="927"/>
      <c r="AX439" s="927"/>
      <c r="AY439" s="927"/>
      <c r="AZ439" s="927"/>
      <c r="BA439" s="927"/>
      <c r="BC439" s="927"/>
      <c r="BE439" s="927"/>
      <c r="BF439" s="927"/>
      <c r="BG439" s="927"/>
    </row>
    <row r="440" spans="18:59" x14ac:dyDescent="0.35">
      <c r="R440" s="927"/>
      <c r="S440" s="927"/>
      <c r="W440" s="927"/>
      <c r="X440" s="927"/>
      <c r="AE440" s="927"/>
      <c r="AF440" s="927"/>
      <c r="AV440" s="927"/>
      <c r="AW440" s="927"/>
      <c r="AX440" s="927"/>
      <c r="AY440" s="927"/>
      <c r="AZ440" s="927"/>
      <c r="BA440" s="927"/>
      <c r="BC440" s="927"/>
      <c r="BE440" s="927"/>
      <c r="BF440" s="927"/>
      <c r="BG440" s="927"/>
    </row>
    <row r="441" spans="18:59" x14ac:dyDescent="0.35">
      <c r="R441" s="927"/>
      <c r="S441" s="927"/>
      <c r="W441" s="927"/>
      <c r="X441" s="927"/>
      <c r="AE441" s="927"/>
      <c r="AF441" s="927"/>
      <c r="AV441" s="927"/>
      <c r="AW441" s="927"/>
      <c r="AX441" s="927"/>
      <c r="AY441" s="927"/>
      <c r="AZ441" s="927"/>
      <c r="BA441" s="927"/>
      <c r="BC441" s="927"/>
      <c r="BE441" s="927"/>
      <c r="BF441" s="927"/>
      <c r="BG441" s="927"/>
    </row>
    <row r="442" spans="18:59" x14ac:dyDescent="0.35">
      <c r="R442" s="927"/>
      <c r="S442" s="927"/>
      <c r="W442" s="927"/>
      <c r="X442" s="927"/>
      <c r="AE442" s="927"/>
      <c r="AF442" s="927"/>
      <c r="AV442" s="927"/>
      <c r="AW442" s="927"/>
      <c r="AX442" s="927"/>
      <c r="AY442" s="927"/>
      <c r="AZ442" s="927"/>
      <c r="BA442" s="927"/>
      <c r="BC442" s="927"/>
      <c r="BE442" s="927"/>
      <c r="BF442" s="927"/>
      <c r="BG442" s="927"/>
    </row>
    <row r="443" spans="18:59" x14ac:dyDescent="0.35">
      <c r="R443" s="927"/>
      <c r="S443" s="927"/>
      <c r="W443" s="927"/>
      <c r="X443" s="927"/>
      <c r="AE443" s="927"/>
      <c r="AF443" s="927"/>
      <c r="AV443" s="927"/>
      <c r="AW443" s="927"/>
      <c r="AX443" s="927"/>
      <c r="AY443" s="927"/>
      <c r="AZ443" s="927"/>
      <c r="BA443" s="927"/>
      <c r="BC443" s="927"/>
      <c r="BE443" s="927"/>
      <c r="BF443" s="927"/>
      <c r="BG443" s="927"/>
    </row>
    <row r="444" spans="18:59" x14ac:dyDescent="0.35">
      <c r="R444" s="927"/>
      <c r="S444" s="927"/>
      <c r="W444" s="927"/>
      <c r="X444" s="927"/>
      <c r="AE444" s="927"/>
      <c r="AF444" s="927"/>
      <c r="AV444" s="927"/>
      <c r="AW444" s="927"/>
      <c r="AX444" s="927"/>
      <c r="AY444" s="927"/>
      <c r="AZ444" s="927"/>
      <c r="BA444" s="927"/>
      <c r="BC444" s="927"/>
      <c r="BE444" s="927"/>
      <c r="BF444" s="927"/>
      <c r="BG444" s="927"/>
    </row>
    <row r="445" spans="18:59" x14ac:dyDescent="0.35">
      <c r="R445" s="927"/>
      <c r="S445" s="927"/>
      <c r="W445" s="927"/>
      <c r="X445" s="927"/>
      <c r="AE445" s="927"/>
      <c r="AF445" s="927"/>
      <c r="AV445" s="927"/>
      <c r="AW445" s="927"/>
      <c r="AX445" s="927"/>
      <c r="AY445" s="927"/>
      <c r="AZ445" s="927"/>
      <c r="BA445" s="927"/>
      <c r="BC445" s="927"/>
      <c r="BE445" s="927"/>
      <c r="BF445" s="927"/>
      <c r="BG445" s="927"/>
    </row>
    <row r="446" spans="18:59" x14ac:dyDescent="0.35">
      <c r="R446" s="927"/>
      <c r="S446" s="927"/>
      <c r="W446" s="927"/>
      <c r="X446" s="927"/>
      <c r="AE446" s="927"/>
      <c r="AF446" s="927"/>
      <c r="AV446" s="927"/>
      <c r="AW446" s="927"/>
      <c r="AX446" s="927"/>
      <c r="AY446" s="927"/>
      <c r="AZ446" s="927"/>
      <c r="BA446" s="927"/>
      <c r="BC446" s="927"/>
      <c r="BE446" s="927"/>
      <c r="BF446" s="927"/>
      <c r="BG446" s="927"/>
    </row>
    <row r="447" spans="18:59" x14ac:dyDescent="0.35">
      <c r="R447" s="927"/>
      <c r="S447" s="927"/>
      <c r="W447" s="927"/>
      <c r="X447" s="927"/>
      <c r="AE447" s="927"/>
      <c r="AF447" s="927"/>
      <c r="AV447" s="927"/>
      <c r="AW447" s="927"/>
      <c r="AX447" s="927"/>
      <c r="AY447" s="927"/>
      <c r="AZ447" s="927"/>
      <c r="BA447" s="927"/>
      <c r="BC447" s="927"/>
      <c r="BE447" s="927"/>
      <c r="BF447" s="927"/>
      <c r="BG447" s="927"/>
    </row>
    <row r="448" spans="18:59" x14ac:dyDescent="0.35">
      <c r="R448" s="927"/>
      <c r="S448" s="927"/>
      <c r="W448" s="927"/>
      <c r="X448" s="927"/>
      <c r="AE448" s="927"/>
      <c r="AF448" s="927"/>
      <c r="AV448" s="927"/>
      <c r="AW448" s="927"/>
      <c r="AX448" s="927"/>
      <c r="AY448" s="927"/>
      <c r="AZ448" s="927"/>
      <c r="BA448" s="927"/>
      <c r="BC448" s="927"/>
      <c r="BE448" s="927"/>
      <c r="BF448" s="927"/>
      <c r="BG448" s="927"/>
    </row>
    <row r="449" spans="18:59" x14ac:dyDescent="0.35">
      <c r="R449" s="927"/>
      <c r="S449" s="927"/>
      <c r="W449" s="927"/>
      <c r="X449" s="927"/>
      <c r="AE449" s="927"/>
      <c r="AF449" s="927"/>
      <c r="AV449" s="927"/>
      <c r="AW449" s="927"/>
      <c r="AX449" s="927"/>
      <c r="AY449" s="927"/>
      <c r="AZ449" s="927"/>
      <c r="BA449" s="927"/>
      <c r="BC449" s="927"/>
      <c r="BE449" s="927"/>
      <c r="BF449" s="927"/>
      <c r="BG449" s="927"/>
    </row>
    <row r="450" spans="18:59" x14ac:dyDescent="0.35">
      <c r="R450" s="927"/>
      <c r="S450" s="927"/>
      <c r="W450" s="927"/>
      <c r="X450" s="927"/>
      <c r="AE450" s="927"/>
      <c r="AF450" s="927"/>
      <c r="AV450" s="927"/>
      <c r="AW450" s="927"/>
      <c r="AX450" s="927"/>
      <c r="AY450" s="927"/>
      <c r="AZ450" s="927"/>
      <c r="BA450" s="927"/>
      <c r="BC450" s="927"/>
      <c r="BE450" s="927"/>
      <c r="BF450" s="927"/>
      <c r="BG450" s="927"/>
    </row>
    <row r="451" spans="18:59" x14ac:dyDescent="0.35">
      <c r="R451" s="927"/>
      <c r="S451" s="927"/>
      <c r="W451" s="927"/>
      <c r="X451" s="927"/>
      <c r="AE451" s="927"/>
      <c r="AF451" s="927"/>
      <c r="AV451" s="927"/>
      <c r="AW451" s="927"/>
      <c r="AX451" s="927"/>
      <c r="AY451" s="927"/>
      <c r="AZ451" s="927"/>
      <c r="BA451" s="927"/>
      <c r="BC451" s="927"/>
      <c r="BE451" s="927"/>
      <c r="BF451" s="927"/>
      <c r="BG451" s="927"/>
    </row>
    <row r="452" spans="18:59" x14ac:dyDescent="0.35">
      <c r="R452" s="927"/>
      <c r="S452" s="927"/>
      <c r="W452" s="927"/>
      <c r="X452" s="927"/>
      <c r="AE452" s="927"/>
      <c r="AF452" s="927"/>
      <c r="AV452" s="927"/>
      <c r="AW452" s="927"/>
      <c r="AX452" s="927"/>
      <c r="AY452" s="927"/>
      <c r="AZ452" s="927"/>
      <c r="BA452" s="927"/>
      <c r="BC452" s="927"/>
      <c r="BE452" s="927"/>
      <c r="BF452" s="927"/>
      <c r="BG452" s="927"/>
    </row>
    <row r="453" spans="18:59" x14ac:dyDescent="0.35">
      <c r="R453" s="927"/>
      <c r="S453" s="927"/>
      <c r="W453" s="927"/>
      <c r="X453" s="927"/>
      <c r="AE453" s="927"/>
      <c r="AF453" s="927"/>
      <c r="AV453" s="927"/>
      <c r="AW453" s="927"/>
      <c r="AX453" s="927"/>
      <c r="AY453" s="927"/>
      <c r="AZ453" s="927"/>
      <c r="BA453" s="927"/>
      <c r="BC453" s="927"/>
      <c r="BE453" s="927"/>
      <c r="BF453" s="927"/>
      <c r="BG453" s="927"/>
    </row>
    <row r="454" spans="18:59" x14ac:dyDescent="0.35">
      <c r="R454" s="927"/>
      <c r="S454" s="927"/>
      <c r="W454" s="927"/>
      <c r="X454" s="927"/>
      <c r="AE454" s="927"/>
      <c r="AF454" s="927"/>
      <c r="AV454" s="927"/>
      <c r="AW454" s="927"/>
      <c r="AX454" s="927"/>
      <c r="AY454" s="927"/>
      <c r="AZ454" s="927"/>
      <c r="BA454" s="927"/>
      <c r="BC454" s="927"/>
      <c r="BE454" s="927"/>
      <c r="BF454" s="927"/>
      <c r="BG454" s="927"/>
    </row>
    <row r="455" spans="18:59" x14ac:dyDescent="0.35">
      <c r="R455" s="927"/>
      <c r="S455" s="927"/>
      <c r="W455" s="927"/>
      <c r="X455" s="927"/>
      <c r="AE455" s="927"/>
      <c r="AF455" s="927"/>
      <c r="AV455" s="927"/>
      <c r="AW455" s="927"/>
      <c r="AX455" s="927"/>
      <c r="AY455" s="927"/>
      <c r="AZ455" s="927"/>
      <c r="BA455" s="927"/>
      <c r="BC455" s="927"/>
      <c r="BE455" s="927"/>
      <c r="BF455" s="927"/>
      <c r="BG455" s="927"/>
    </row>
    <row r="456" spans="18:59" x14ac:dyDescent="0.35">
      <c r="R456" s="927"/>
      <c r="S456" s="927"/>
      <c r="W456" s="927"/>
      <c r="X456" s="927"/>
      <c r="AE456" s="927"/>
      <c r="AF456" s="927"/>
      <c r="AV456" s="927"/>
      <c r="AW456" s="927"/>
      <c r="AX456" s="927"/>
      <c r="AY456" s="927"/>
      <c r="AZ456" s="927"/>
      <c r="BA456" s="927"/>
      <c r="BC456" s="927"/>
      <c r="BE456" s="927"/>
      <c r="BF456" s="927"/>
      <c r="BG456" s="927"/>
    </row>
    <row r="457" spans="18:59" x14ac:dyDescent="0.35">
      <c r="R457" s="927"/>
      <c r="S457" s="927"/>
      <c r="W457" s="927"/>
      <c r="X457" s="927"/>
      <c r="AE457" s="927"/>
      <c r="AF457" s="927"/>
      <c r="AV457" s="927"/>
      <c r="AW457" s="927"/>
      <c r="AX457" s="927"/>
      <c r="AY457" s="927"/>
      <c r="AZ457" s="927"/>
      <c r="BA457" s="927"/>
      <c r="BC457" s="927"/>
      <c r="BE457" s="927"/>
      <c r="BF457" s="927"/>
      <c r="BG457" s="927"/>
    </row>
    <row r="458" spans="18:59" x14ac:dyDescent="0.35">
      <c r="R458" s="927"/>
      <c r="S458" s="927"/>
      <c r="W458" s="927"/>
      <c r="X458" s="927"/>
      <c r="AE458" s="927"/>
      <c r="AF458" s="927"/>
      <c r="AV458" s="927"/>
      <c r="AW458" s="927"/>
      <c r="AX458" s="927"/>
      <c r="AY458" s="927"/>
      <c r="AZ458" s="927"/>
      <c r="BA458" s="927"/>
      <c r="BC458" s="927"/>
      <c r="BE458" s="927"/>
      <c r="BF458" s="927"/>
      <c r="BG458" s="927"/>
    </row>
    <row r="459" spans="18:59" x14ac:dyDescent="0.35">
      <c r="R459" s="927"/>
      <c r="S459" s="927"/>
      <c r="W459" s="927"/>
      <c r="X459" s="927"/>
      <c r="AE459" s="927"/>
      <c r="AF459" s="927"/>
      <c r="AV459" s="927"/>
      <c r="AW459" s="927"/>
      <c r="AX459" s="927"/>
      <c r="AY459" s="927"/>
      <c r="AZ459" s="927"/>
      <c r="BA459" s="927"/>
      <c r="BC459" s="927"/>
      <c r="BE459" s="927"/>
      <c r="BF459" s="927"/>
      <c r="BG459" s="927"/>
    </row>
    <row r="460" spans="18:59" x14ac:dyDescent="0.35">
      <c r="R460" s="927"/>
      <c r="S460" s="927"/>
      <c r="W460" s="927"/>
      <c r="X460" s="927"/>
      <c r="AE460" s="927"/>
      <c r="AF460" s="927"/>
      <c r="AV460" s="927"/>
      <c r="AW460" s="927"/>
      <c r="AX460" s="927"/>
      <c r="AY460" s="927"/>
      <c r="AZ460" s="927"/>
      <c r="BA460" s="927"/>
      <c r="BC460" s="927"/>
      <c r="BE460" s="927"/>
      <c r="BF460" s="927"/>
      <c r="BG460" s="927"/>
    </row>
    <row r="461" spans="18:59" x14ac:dyDescent="0.35">
      <c r="R461" s="927"/>
      <c r="S461" s="927"/>
      <c r="W461" s="927"/>
      <c r="X461" s="927"/>
      <c r="AE461" s="927"/>
      <c r="AF461" s="927"/>
      <c r="AV461" s="927"/>
      <c r="AW461" s="927"/>
      <c r="AX461" s="927"/>
      <c r="AY461" s="927"/>
      <c r="AZ461" s="927"/>
      <c r="BA461" s="927"/>
      <c r="BC461" s="927"/>
      <c r="BE461" s="927"/>
      <c r="BF461" s="927"/>
      <c r="BG461" s="927"/>
    </row>
    <row r="462" spans="18:59" x14ac:dyDescent="0.35">
      <c r="R462" s="927"/>
      <c r="S462" s="927"/>
      <c r="W462" s="927"/>
      <c r="X462" s="927"/>
      <c r="AE462" s="927"/>
      <c r="AF462" s="927"/>
      <c r="AV462" s="927"/>
      <c r="AW462" s="927"/>
      <c r="AX462" s="927"/>
      <c r="AY462" s="927"/>
      <c r="AZ462" s="927"/>
      <c r="BA462" s="927"/>
      <c r="BC462" s="927"/>
      <c r="BE462" s="927"/>
      <c r="BF462" s="927"/>
      <c r="BG462" s="927"/>
    </row>
    <row r="463" spans="18:59" x14ac:dyDescent="0.35">
      <c r="R463" s="927"/>
      <c r="S463" s="927"/>
      <c r="W463" s="927"/>
      <c r="X463" s="927"/>
      <c r="AE463" s="927"/>
      <c r="AF463" s="927"/>
      <c r="AV463" s="927"/>
      <c r="AW463" s="927"/>
      <c r="AX463" s="927"/>
      <c r="AY463" s="927"/>
      <c r="AZ463" s="927"/>
      <c r="BA463" s="927"/>
      <c r="BC463" s="927"/>
      <c r="BE463" s="927"/>
      <c r="BF463" s="927"/>
      <c r="BG463" s="927"/>
    </row>
    <row r="464" spans="18:59" x14ac:dyDescent="0.35">
      <c r="R464" s="927"/>
      <c r="S464" s="927"/>
      <c r="W464" s="927"/>
      <c r="X464" s="927"/>
      <c r="AE464" s="927"/>
      <c r="AF464" s="927"/>
      <c r="AV464" s="927"/>
      <c r="AW464" s="927"/>
      <c r="AX464" s="927"/>
      <c r="AY464" s="927"/>
      <c r="AZ464" s="927"/>
      <c r="BA464" s="927"/>
      <c r="BC464" s="927"/>
      <c r="BE464" s="927"/>
      <c r="BF464" s="927"/>
      <c r="BG464" s="927"/>
    </row>
    <row r="465" spans="18:59" x14ac:dyDescent="0.35">
      <c r="R465" s="927"/>
      <c r="S465" s="927"/>
      <c r="W465" s="927"/>
      <c r="X465" s="927"/>
      <c r="AE465" s="927"/>
      <c r="AF465" s="927"/>
      <c r="AV465" s="927"/>
      <c r="AW465" s="927"/>
      <c r="AX465" s="927"/>
      <c r="AY465" s="927"/>
      <c r="AZ465" s="927"/>
      <c r="BA465" s="927"/>
      <c r="BC465" s="927"/>
      <c r="BE465" s="927"/>
      <c r="BF465" s="927"/>
      <c r="BG465" s="927"/>
    </row>
    <row r="466" spans="18:59" x14ac:dyDescent="0.35">
      <c r="R466" s="927"/>
      <c r="S466" s="927"/>
      <c r="W466" s="927"/>
      <c r="X466" s="927"/>
      <c r="AE466" s="927"/>
      <c r="AF466" s="927"/>
      <c r="AV466" s="927"/>
      <c r="AW466" s="927"/>
      <c r="AX466" s="927"/>
      <c r="AY466" s="927"/>
      <c r="AZ466" s="927"/>
      <c r="BA466" s="927"/>
      <c r="BC466" s="927"/>
      <c r="BE466" s="927"/>
      <c r="BF466" s="927"/>
      <c r="BG466" s="927"/>
    </row>
    <row r="467" spans="18:59" x14ac:dyDescent="0.35">
      <c r="R467" s="927"/>
      <c r="S467" s="927"/>
      <c r="W467" s="927"/>
      <c r="X467" s="927"/>
      <c r="AE467" s="927"/>
      <c r="AF467" s="927"/>
      <c r="AV467" s="927"/>
      <c r="AW467" s="927"/>
      <c r="AX467" s="927"/>
      <c r="AY467" s="927"/>
      <c r="AZ467" s="927"/>
      <c r="BA467" s="927"/>
      <c r="BC467" s="927"/>
      <c r="BE467" s="927"/>
      <c r="BF467" s="927"/>
      <c r="BG467" s="927"/>
    </row>
    <row r="468" spans="18:59" x14ac:dyDescent="0.35">
      <c r="R468" s="927"/>
      <c r="S468" s="927"/>
      <c r="W468" s="927"/>
      <c r="X468" s="927"/>
      <c r="AE468" s="927"/>
      <c r="AF468" s="927"/>
      <c r="AV468" s="927"/>
      <c r="AW468" s="927"/>
      <c r="AX468" s="927"/>
      <c r="AY468" s="927"/>
      <c r="AZ468" s="927"/>
      <c r="BA468" s="927"/>
      <c r="BC468" s="927"/>
      <c r="BE468" s="927"/>
      <c r="BF468" s="927"/>
      <c r="BG468" s="927"/>
    </row>
    <row r="469" spans="18:59" x14ac:dyDescent="0.35">
      <c r="R469" s="927"/>
      <c r="S469" s="927"/>
      <c r="W469" s="927"/>
      <c r="X469" s="927"/>
      <c r="AE469" s="927"/>
      <c r="AF469" s="927"/>
      <c r="AV469" s="927"/>
      <c r="AW469" s="927"/>
      <c r="AX469" s="927"/>
      <c r="AY469" s="927"/>
      <c r="AZ469" s="927"/>
      <c r="BA469" s="927"/>
      <c r="BC469" s="927"/>
      <c r="BE469" s="927"/>
      <c r="BF469" s="927"/>
      <c r="BG469" s="927"/>
    </row>
    <row r="470" spans="18:59" x14ac:dyDescent="0.35">
      <c r="R470" s="927"/>
      <c r="S470" s="927"/>
      <c r="W470" s="927"/>
      <c r="X470" s="927"/>
      <c r="AE470" s="927"/>
      <c r="AF470" s="927"/>
      <c r="AV470" s="927"/>
      <c r="AW470" s="927"/>
      <c r="AX470" s="927"/>
      <c r="AY470" s="927"/>
      <c r="AZ470" s="927"/>
      <c r="BA470" s="927"/>
      <c r="BC470" s="927"/>
      <c r="BE470" s="927"/>
      <c r="BF470" s="927"/>
      <c r="BG470" s="927"/>
    </row>
    <row r="471" spans="18:59" x14ac:dyDescent="0.35">
      <c r="R471" s="927"/>
      <c r="S471" s="927"/>
      <c r="W471" s="927"/>
      <c r="X471" s="927"/>
      <c r="AE471" s="927"/>
      <c r="AF471" s="927"/>
      <c r="AV471" s="927"/>
      <c r="AW471" s="927"/>
      <c r="AX471" s="927"/>
      <c r="AY471" s="927"/>
      <c r="AZ471" s="927"/>
      <c r="BA471" s="927"/>
      <c r="BC471" s="927"/>
      <c r="BE471" s="927"/>
      <c r="BF471" s="927"/>
      <c r="BG471" s="927"/>
    </row>
    <row r="472" spans="18:59" x14ac:dyDescent="0.35">
      <c r="R472" s="927"/>
      <c r="S472" s="927"/>
      <c r="W472" s="927"/>
      <c r="X472" s="927"/>
      <c r="AE472" s="927"/>
      <c r="AF472" s="927"/>
      <c r="AV472" s="927"/>
      <c r="AW472" s="927"/>
      <c r="AX472" s="927"/>
      <c r="AY472" s="927"/>
      <c r="AZ472" s="927"/>
      <c r="BA472" s="927"/>
      <c r="BC472" s="927"/>
      <c r="BE472" s="927"/>
      <c r="BF472" s="927"/>
      <c r="BG472" s="927"/>
    </row>
    <row r="473" spans="18:59" x14ac:dyDescent="0.35">
      <c r="R473" s="927"/>
      <c r="S473" s="927"/>
      <c r="W473" s="927"/>
      <c r="X473" s="927"/>
      <c r="AE473" s="927"/>
      <c r="AF473" s="927"/>
      <c r="AV473" s="927"/>
      <c r="AW473" s="927"/>
      <c r="AX473" s="927"/>
      <c r="AY473" s="927"/>
      <c r="AZ473" s="927"/>
      <c r="BA473" s="927"/>
      <c r="BC473" s="927"/>
      <c r="BE473" s="927"/>
      <c r="BF473" s="927"/>
      <c r="BG473" s="927"/>
    </row>
    <row r="474" spans="18:59" x14ac:dyDescent="0.35">
      <c r="R474" s="927"/>
      <c r="S474" s="927"/>
      <c r="W474" s="927"/>
      <c r="X474" s="927"/>
      <c r="AE474" s="927"/>
      <c r="AF474" s="927"/>
      <c r="AV474" s="927"/>
      <c r="AW474" s="927"/>
      <c r="AX474" s="927"/>
      <c r="AY474" s="927"/>
      <c r="AZ474" s="927"/>
      <c r="BA474" s="927"/>
      <c r="BC474" s="927"/>
      <c r="BE474" s="927"/>
      <c r="BF474" s="927"/>
      <c r="BG474" s="927"/>
    </row>
    <row r="475" spans="18:59" x14ac:dyDescent="0.35">
      <c r="R475" s="927"/>
      <c r="S475" s="927"/>
      <c r="W475" s="927"/>
      <c r="X475" s="927"/>
      <c r="AE475" s="927"/>
      <c r="AF475" s="927"/>
      <c r="AV475" s="927"/>
      <c r="AW475" s="927"/>
      <c r="AX475" s="927"/>
      <c r="AY475" s="927"/>
      <c r="AZ475" s="927"/>
      <c r="BA475" s="927"/>
      <c r="BC475" s="927"/>
      <c r="BE475" s="927"/>
      <c r="BF475" s="927"/>
      <c r="BG475" s="927"/>
    </row>
    <row r="476" spans="18:59" x14ac:dyDescent="0.35">
      <c r="R476" s="927"/>
      <c r="S476" s="927"/>
      <c r="W476" s="927"/>
      <c r="X476" s="927"/>
      <c r="AE476" s="927"/>
      <c r="AF476" s="927"/>
      <c r="AV476" s="927"/>
      <c r="AW476" s="927"/>
      <c r="AX476" s="927"/>
      <c r="AY476" s="927"/>
      <c r="AZ476" s="927"/>
      <c r="BA476" s="927"/>
      <c r="BC476" s="927"/>
      <c r="BE476" s="927"/>
      <c r="BF476" s="927"/>
      <c r="BG476" s="927"/>
    </row>
    <row r="477" spans="18:59" x14ac:dyDescent="0.35">
      <c r="R477" s="927"/>
      <c r="S477" s="927"/>
      <c r="W477" s="927"/>
      <c r="X477" s="927"/>
      <c r="AE477" s="927"/>
      <c r="AF477" s="927"/>
      <c r="AV477" s="927"/>
      <c r="AW477" s="927"/>
      <c r="AX477" s="927"/>
      <c r="AY477" s="927"/>
      <c r="AZ477" s="927"/>
      <c r="BA477" s="927"/>
      <c r="BC477" s="927"/>
      <c r="BE477" s="927"/>
      <c r="BF477" s="927"/>
      <c r="BG477" s="927"/>
    </row>
    <row r="478" spans="18:59" x14ac:dyDescent="0.35">
      <c r="R478" s="927"/>
      <c r="S478" s="927"/>
      <c r="W478" s="927"/>
      <c r="X478" s="927"/>
      <c r="AE478" s="927"/>
      <c r="AF478" s="927"/>
      <c r="AV478" s="927"/>
      <c r="AW478" s="927"/>
      <c r="AX478" s="927"/>
      <c r="AY478" s="927"/>
      <c r="AZ478" s="927"/>
      <c r="BA478" s="927"/>
      <c r="BC478" s="927"/>
      <c r="BE478" s="927"/>
      <c r="BF478" s="927"/>
      <c r="BG478" s="927"/>
    </row>
    <row r="479" spans="18:59" x14ac:dyDescent="0.35">
      <c r="R479" s="927"/>
      <c r="S479" s="927"/>
      <c r="W479" s="927"/>
      <c r="X479" s="927"/>
      <c r="AE479" s="927"/>
      <c r="AF479" s="927"/>
      <c r="AV479" s="927"/>
      <c r="AW479" s="927"/>
      <c r="AX479" s="927"/>
      <c r="AY479" s="927"/>
      <c r="AZ479" s="927"/>
      <c r="BA479" s="927"/>
      <c r="BC479" s="927"/>
      <c r="BE479" s="927"/>
      <c r="BF479" s="927"/>
      <c r="BG479" s="927"/>
    </row>
    <row r="480" spans="18:59" x14ac:dyDescent="0.35">
      <c r="R480" s="927"/>
      <c r="S480" s="927"/>
      <c r="W480" s="927"/>
      <c r="X480" s="927"/>
      <c r="AE480" s="927"/>
      <c r="AF480" s="927"/>
      <c r="AV480" s="927"/>
      <c r="AW480" s="927"/>
      <c r="AX480" s="927"/>
      <c r="AY480" s="927"/>
      <c r="AZ480" s="927"/>
      <c r="BA480" s="927"/>
      <c r="BC480" s="927"/>
      <c r="BE480" s="927"/>
      <c r="BF480" s="927"/>
      <c r="BG480" s="927"/>
    </row>
    <row r="481" spans="18:59" x14ac:dyDescent="0.35">
      <c r="R481" s="927"/>
      <c r="S481" s="927"/>
      <c r="W481" s="927"/>
      <c r="X481" s="927"/>
      <c r="AE481" s="927"/>
      <c r="AF481" s="927"/>
      <c r="AV481" s="927"/>
      <c r="AW481" s="927"/>
      <c r="AX481" s="927"/>
      <c r="AY481" s="927"/>
      <c r="AZ481" s="927"/>
      <c r="BA481" s="927"/>
      <c r="BC481" s="927"/>
      <c r="BE481" s="927"/>
      <c r="BF481" s="927"/>
      <c r="BG481" s="927"/>
    </row>
    <row r="482" spans="18:59" x14ac:dyDescent="0.35">
      <c r="R482" s="927"/>
      <c r="S482" s="927"/>
      <c r="W482" s="927"/>
      <c r="X482" s="927"/>
      <c r="AE482" s="927"/>
      <c r="AF482" s="927"/>
      <c r="AV482" s="927"/>
      <c r="AW482" s="927"/>
      <c r="AX482" s="927"/>
      <c r="AY482" s="927"/>
      <c r="AZ482" s="927"/>
      <c r="BA482" s="927"/>
      <c r="BC482" s="927"/>
      <c r="BE482" s="927"/>
      <c r="BF482" s="927"/>
      <c r="BG482" s="927"/>
    </row>
    <row r="483" spans="18:59" x14ac:dyDescent="0.35">
      <c r="R483" s="927"/>
      <c r="S483" s="927"/>
      <c r="W483" s="927"/>
      <c r="X483" s="927"/>
      <c r="AE483" s="927"/>
      <c r="AF483" s="927"/>
      <c r="AV483" s="927"/>
      <c r="AW483" s="927"/>
      <c r="AX483" s="927"/>
      <c r="AY483" s="927"/>
      <c r="AZ483" s="927"/>
      <c r="BA483" s="927"/>
      <c r="BC483" s="927"/>
      <c r="BE483" s="927"/>
      <c r="BF483" s="927"/>
      <c r="BG483" s="927"/>
    </row>
    <row r="484" spans="18:59" x14ac:dyDescent="0.35">
      <c r="R484" s="927"/>
      <c r="S484" s="927"/>
      <c r="W484" s="927"/>
      <c r="X484" s="927"/>
      <c r="AE484" s="927"/>
      <c r="AF484" s="927"/>
      <c r="AV484" s="927"/>
      <c r="AW484" s="927"/>
      <c r="AX484" s="927"/>
      <c r="AY484" s="927"/>
      <c r="AZ484" s="927"/>
      <c r="BA484" s="927"/>
      <c r="BC484" s="927"/>
      <c r="BE484" s="927"/>
      <c r="BF484" s="927"/>
      <c r="BG484" s="927"/>
    </row>
    <row r="485" spans="18:59" x14ac:dyDescent="0.35">
      <c r="R485" s="927"/>
      <c r="S485" s="927"/>
      <c r="W485" s="927"/>
      <c r="X485" s="927"/>
      <c r="AE485" s="927"/>
      <c r="AF485" s="927"/>
      <c r="AV485" s="927"/>
      <c r="AW485" s="927"/>
      <c r="AX485" s="927"/>
      <c r="AY485" s="927"/>
      <c r="AZ485" s="927"/>
      <c r="BA485" s="927"/>
      <c r="BC485" s="927"/>
      <c r="BE485" s="927"/>
      <c r="BF485" s="927"/>
      <c r="BG485" s="927"/>
    </row>
    <row r="486" spans="18:59" x14ac:dyDescent="0.35">
      <c r="R486" s="927"/>
      <c r="S486" s="927"/>
      <c r="W486" s="927"/>
      <c r="X486" s="927"/>
      <c r="AE486" s="927"/>
      <c r="AF486" s="927"/>
      <c r="AV486" s="927"/>
      <c r="AW486" s="927"/>
      <c r="AX486" s="927"/>
      <c r="AY486" s="927"/>
      <c r="AZ486" s="927"/>
      <c r="BA486" s="927"/>
      <c r="BC486" s="927"/>
      <c r="BE486" s="927"/>
      <c r="BF486" s="927"/>
      <c r="BG486" s="927"/>
    </row>
    <row r="487" spans="18:59" x14ac:dyDescent="0.35">
      <c r="R487" s="927"/>
      <c r="S487" s="927"/>
      <c r="W487" s="927"/>
      <c r="X487" s="927"/>
      <c r="AE487" s="927"/>
      <c r="AF487" s="927"/>
      <c r="AV487" s="927"/>
      <c r="AW487" s="927"/>
      <c r="AX487" s="927"/>
      <c r="AY487" s="927"/>
      <c r="AZ487" s="927"/>
      <c r="BA487" s="927"/>
      <c r="BC487" s="927"/>
      <c r="BE487" s="927"/>
      <c r="BF487" s="927"/>
      <c r="BG487" s="927"/>
    </row>
    <row r="488" spans="18:59" x14ac:dyDescent="0.35">
      <c r="R488" s="927"/>
      <c r="S488" s="927"/>
      <c r="W488" s="927"/>
      <c r="X488" s="927"/>
      <c r="AE488" s="927"/>
      <c r="AF488" s="927"/>
      <c r="AV488" s="927"/>
      <c r="AW488" s="927"/>
      <c r="AX488" s="927"/>
      <c r="AY488" s="927"/>
      <c r="AZ488" s="927"/>
      <c r="BA488" s="927"/>
      <c r="BC488" s="927"/>
      <c r="BE488" s="927"/>
      <c r="BF488" s="927"/>
      <c r="BG488" s="927"/>
    </row>
    <row r="489" spans="18:59" x14ac:dyDescent="0.35">
      <c r="R489" s="927"/>
      <c r="S489" s="927"/>
      <c r="W489" s="927"/>
      <c r="X489" s="927"/>
      <c r="AE489" s="927"/>
      <c r="AF489" s="927"/>
      <c r="AV489" s="927"/>
      <c r="AW489" s="927"/>
      <c r="AX489" s="927"/>
      <c r="AY489" s="927"/>
      <c r="AZ489" s="927"/>
      <c r="BA489" s="927"/>
      <c r="BC489" s="927"/>
      <c r="BE489" s="927"/>
      <c r="BF489" s="927"/>
      <c r="BG489" s="927"/>
    </row>
    <row r="490" spans="18:59" x14ac:dyDescent="0.35">
      <c r="R490" s="927"/>
      <c r="S490" s="927"/>
      <c r="W490" s="927"/>
      <c r="X490" s="927"/>
      <c r="AE490" s="927"/>
      <c r="AF490" s="927"/>
      <c r="AV490" s="927"/>
      <c r="AW490" s="927"/>
      <c r="AX490" s="927"/>
      <c r="AY490" s="927"/>
      <c r="AZ490" s="927"/>
      <c r="BA490" s="927"/>
      <c r="BC490" s="927"/>
      <c r="BE490" s="927"/>
      <c r="BF490" s="927"/>
      <c r="BG490" s="927"/>
    </row>
    <row r="491" spans="18:59" x14ac:dyDescent="0.35">
      <c r="R491" s="927"/>
      <c r="S491" s="927"/>
      <c r="W491" s="927"/>
      <c r="X491" s="927"/>
      <c r="AE491" s="927"/>
      <c r="AF491" s="927"/>
      <c r="AV491" s="927"/>
      <c r="AW491" s="927"/>
      <c r="AX491" s="927"/>
      <c r="AY491" s="927"/>
      <c r="AZ491" s="927"/>
      <c r="BA491" s="927"/>
      <c r="BC491" s="927"/>
      <c r="BE491" s="927"/>
      <c r="BF491" s="927"/>
      <c r="BG491" s="927"/>
    </row>
    <row r="492" spans="18:59" x14ac:dyDescent="0.35">
      <c r="R492" s="927"/>
      <c r="S492" s="927"/>
      <c r="W492" s="927"/>
      <c r="X492" s="927"/>
      <c r="AE492" s="927"/>
      <c r="AF492" s="927"/>
      <c r="AV492" s="927"/>
      <c r="AW492" s="927"/>
      <c r="AX492" s="927"/>
      <c r="AY492" s="927"/>
      <c r="AZ492" s="927"/>
      <c r="BA492" s="927"/>
      <c r="BC492" s="927"/>
      <c r="BE492" s="927"/>
      <c r="BF492" s="927"/>
      <c r="BG492" s="927"/>
    </row>
    <row r="493" spans="18:59" x14ac:dyDescent="0.35">
      <c r="R493" s="927"/>
      <c r="S493" s="927"/>
      <c r="W493" s="927"/>
      <c r="X493" s="927"/>
      <c r="AE493" s="927"/>
      <c r="AF493" s="927"/>
      <c r="AV493" s="927"/>
      <c r="AW493" s="927"/>
      <c r="AX493" s="927"/>
      <c r="AY493" s="927"/>
      <c r="AZ493" s="927"/>
      <c r="BA493" s="927"/>
      <c r="BC493" s="927"/>
      <c r="BE493" s="927"/>
      <c r="BF493" s="927"/>
      <c r="BG493" s="927"/>
    </row>
    <row r="494" spans="18:59" x14ac:dyDescent="0.35">
      <c r="R494" s="927"/>
      <c r="S494" s="927"/>
      <c r="W494" s="927"/>
      <c r="X494" s="927"/>
      <c r="AE494" s="927"/>
      <c r="AF494" s="927"/>
      <c r="AV494" s="927"/>
      <c r="AW494" s="927"/>
      <c r="AX494" s="927"/>
      <c r="AY494" s="927"/>
      <c r="AZ494" s="927"/>
      <c r="BA494" s="927"/>
      <c r="BC494" s="927"/>
      <c r="BE494" s="927"/>
      <c r="BF494" s="927"/>
      <c r="BG494" s="927"/>
    </row>
    <row r="495" spans="18:59" x14ac:dyDescent="0.35">
      <c r="R495" s="927"/>
      <c r="S495" s="927"/>
      <c r="W495" s="927"/>
      <c r="X495" s="927"/>
      <c r="AE495" s="927"/>
      <c r="AF495" s="927"/>
      <c r="AV495" s="927"/>
      <c r="AW495" s="927"/>
      <c r="AX495" s="927"/>
      <c r="AY495" s="927"/>
      <c r="AZ495" s="927"/>
      <c r="BA495" s="927"/>
      <c r="BC495" s="927"/>
      <c r="BE495" s="927"/>
      <c r="BF495" s="927"/>
      <c r="BG495" s="927"/>
    </row>
    <row r="496" spans="18:59" x14ac:dyDescent="0.35">
      <c r="R496" s="927"/>
      <c r="S496" s="927"/>
      <c r="W496" s="927"/>
      <c r="X496" s="927"/>
      <c r="AE496" s="927"/>
      <c r="AF496" s="927"/>
      <c r="AV496" s="927"/>
      <c r="AW496" s="927"/>
      <c r="AX496" s="927"/>
      <c r="AY496" s="927"/>
      <c r="AZ496" s="927"/>
      <c r="BA496" s="927"/>
      <c r="BC496" s="927"/>
      <c r="BE496" s="927"/>
      <c r="BF496" s="927"/>
      <c r="BG496" s="927"/>
    </row>
    <row r="497" spans="18:59" x14ac:dyDescent="0.35">
      <c r="R497" s="927"/>
      <c r="S497" s="927"/>
      <c r="W497" s="927"/>
      <c r="X497" s="927"/>
      <c r="AE497" s="927"/>
      <c r="AF497" s="927"/>
      <c r="AV497" s="927"/>
      <c r="AW497" s="927"/>
      <c r="AX497" s="927"/>
      <c r="AY497" s="927"/>
      <c r="AZ497" s="927"/>
      <c r="BA497" s="927"/>
      <c r="BC497" s="927"/>
      <c r="BE497" s="927"/>
      <c r="BF497" s="927"/>
      <c r="BG497" s="927"/>
    </row>
    <row r="498" spans="18:59" x14ac:dyDescent="0.35">
      <c r="R498" s="927"/>
      <c r="S498" s="927"/>
      <c r="W498" s="927"/>
      <c r="X498" s="927"/>
      <c r="AE498" s="927"/>
      <c r="AF498" s="927"/>
      <c r="AV498" s="927"/>
      <c r="AW498" s="927"/>
      <c r="AX498" s="927"/>
      <c r="AY498" s="927"/>
      <c r="AZ498" s="927"/>
      <c r="BA498" s="927"/>
      <c r="BC498" s="927"/>
      <c r="BE498" s="927"/>
      <c r="BF498" s="927"/>
      <c r="BG498" s="927"/>
    </row>
    <row r="499" spans="18:59" x14ac:dyDescent="0.35">
      <c r="R499" s="927"/>
      <c r="S499" s="927"/>
      <c r="W499" s="927"/>
      <c r="X499" s="927"/>
      <c r="AE499" s="927"/>
      <c r="AF499" s="927"/>
      <c r="AV499" s="927"/>
      <c r="AW499" s="927"/>
      <c r="AX499" s="927"/>
      <c r="AY499" s="927"/>
      <c r="AZ499" s="927"/>
      <c r="BA499" s="927"/>
      <c r="BC499" s="927"/>
      <c r="BE499" s="927"/>
      <c r="BF499" s="927"/>
      <c r="BG499" s="927"/>
    </row>
    <row r="500" spans="18:59" x14ac:dyDescent="0.35">
      <c r="R500" s="927"/>
      <c r="S500" s="927"/>
      <c r="W500" s="927"/>
      <c r="X500" s="927"/>
      <c r="AE500" s="927"/>
      <c r="AF500" s="927"/>
      <c r="AV500" s="927"/>
      <c r="AW500" s="927"/>
      <c r="AX500" s="927"/>
      <c r="AY500" s="927"/>
      <c r="AZ500" s="927"/>
      <c r="BA500" s="927"/>
      <c r="BC500" s="927"/>
      <c r="BE500" s="927"/>
      <c r="BF500" s="927"/>
      <c r="BG500" s="927"/>
    </row>
    <row r="501" spans="18:59" x14ac:dyDescent="0.35">
      <c r="R501" s="927"/>
      <c r="S501" s="927"/>
      <c r="W501" s="927"/>
      <c r="X501" s="927"/>
      <c r="AE501" s="927"/>
      <c r="AF501" s="927"/>
      <c r="AV501" s="927"/>
      <c r="AW501" s="927"/>
      <c r="AX501" s="927"/>
      <c r="AY501" s="927"/>
      <c r="AZ501" s="927"/>
      <c r="BA501" s="927"/>
      <c r="BC501" s="927"/>
      <c r="BE501" s="927"/>
      <c r="BF501" s="927"/>
      <c r="BG501" s="927"/>
    </row>
    <row r="502" spans="18:59" x14ac:dyDescent="0.35">
      <c r="R502" s="927"/>
      <c r="S502" s="927"/>
      <c r="W502" s="927"/>
      <c r="X502" s="927"/>
      <c r="AE502" s="927"/>
      <c r="AF502" s="927"/>
      <c r="AV502" s="927"/>
      <c r="AW502" s="927"/>
      <c r="AX502" s="927"/>
      <c r="AY502" s="927"/>
      <c r="AZ502" s="927"/>
      <c r="BA502" s="927"/>
      <c r="BC502" s="927"/>
      <c r="BE502" s="927"/>
      <c r="BF502" s="927"/>
      <c r="BG502" s="92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978" t="s">
        <v>793</v>
      </c>
      <c r="B1" s="978"/>
      <c r="C1" s="978"/>
      <c r="D1" s="978"/>
    </row>
    <row r="2" spans="1:22" x14ac:dyDescent="0.35">
      <c r="A2" t="s">
        <v>794</v>
      </c>
      <c r="B2" s="122">
        <v>2021</v>
      </c>
      <c r="C2" s="122">
        <v>2021</v>
      </c>
      <c r="D2" s="122">
        <v>2021</v>
      </c>
      <c r="E2" s="122">
        <v>2022</v>
      </c>
      <c r="F2" s="122">
        <v>2022</v>
      </c>
      <c r="G2" s="122">
        <v>2022</v>
      </c>
      <c r="H2" s="122">
        <v>2022</v>
      </c>
      <c r="I2" s="122">
        <v>2023</v>
      </c>
      <c r="J2" s="122">
        <v>2023</v>
      </c>
      <c r="K2" s="122">
        <v>2023</v>
      </c>
      <c r="L2" s="122">
        <v>2023</v>
      </c>
      <c r="M2" s="122">
        <v>2024</v>
      </c>
      <c r="N2" s="122">
        <v>2024</v>
      </c>
      <c r="O2" s="122">
        <v>2024</v>
      </c>
      <c r="P2" s="122">
        <v>2024</v>
      </c>
      <c r="Q2" s="122">
        <v>2025</v>
      </c>
      <c r="R2" s="122">
        <v>2025</v>
      </c>
      <c r="S2" s="122">
        <v>2025</v>
      </c>
      <c r="T2" s="122">
        <v>2025</v>
      </c>
      <c r="U2" s="122">
        <v>2026</v>
      </c>
    </row>
    <row r="3" spans="1:22" x14ac:dyDescent="0.35">
      <c r="A3" s="954" t="s">
        <v>795</v>
      </c>
      <c r="B3" s="976" t="s">
        <v>796</v>
      </c>
      <c r="C3" s="976" t="s">
        <v>797</v>
      </c>
      <c r="D3" s="976" t="s">
        <v>798</v>
      </c>
      <c r="E3" s="976" t="s">
        <v>799</v>
      </c>
      <c r="F3" s="976" t="s">
        <v>800</v>
      </c>
      <c r="G3" s="976" t="s">
        <v>801</v>
      </c>
      <c r="H3" s="976" t="s">
        <v>802</v>
      </c>
      <c r="I3" s="976" t="s">
        <v>803</v>
      </c>
      <c r="J3" s="976" t="s">
        <v>804</v>
      </c>
      <c r="K3" s="976" t="s">
        <v>805</v>
      </c>
      <c r="L3" s="976" t="s">
        <v>806</v>
      </c>
      <c r="M3" s="976" t="s">
        <v>807</v>
      </c>
      <c r="N3" s="976" t="s">
        <v>808</v>
      </c>
      <c r="O3" s="976" t="s">
        <v>809</v>
      </c>
      <c r="P3" s="976" t="s">
        <v>810</v>
      </c>
      <c r="Q3" s="976" t="s">
        <v>811</v>
      </c>
      <c r="R3" s="976" t="s">
        <v>812</v>
      </c>
      <c r="S3" s="976" t="s">
        <v>813</v>
      </c>
      <c r="T3" s="976" t="s">
        <v>814</v>
      </c>
      <c r="U3" s="976" t="s">
        <v>815</v>
      </c>
    </row>
    <row r="4" spans="1:22" x14ac:dyDescent="0.35">
      <c r="A4" s="954" t="s">
        <v>816</v>
      </c>
      <c r="B4" s="976"/>
      <c r="C4" s="976"/>
      <c r="D4" s="976">
        <v>0</v>
      </c>
      <c r="E4" s="976">
        <v>0</v>
      </c>
      <c r="F4" s="976">
        <v>0.5</v>
      </c>
      <c r="G4" s="976">
        <v>0.5</v>
      </c>
      <c r="H4" s="976">
        <v>0</v>
      </c>
      <c r="I4" s="976">
        <v>0</v>
      </c>
      <c r="J4" s="976">
        <v>0</v>
      </c>
      <c r="K4" s="976">
        <v>0</v>
      </c>
      <c r="L4" s="976">
        <v>0</v>
      </c>
      <c r="M4" s="976">
        <v>0</v>
      </c>
      <c r="N4" s="976">
        <v>0</v>
      </c>
      <c r="O4" s="976">
        <v>0</v>
      </c>
      <c r="P4" s="976">
        <v>0</v>
      </c>
      <c r="Q4" s="976">
        <v>0</v>
      </c>
      <c r="R4" s="976">
        <v>0</v>
      </c>
      <c r="S4" s="976">
        <v>0</v>
      </c>
      <c r="T4" s="976">
        <v>0</v>
      </c>
      <c r="U4" s="976">
        <v>0</v>
      </c>
    </row>
    <row r="5" spans="1:22" x14ac:dyDescent="0.35">
      <c r="A5" s="954" t="s">
        <v>817</v>
      </c>
      <c r="B5" s="976">
        <v>0.04</v>
      </c>
      <c r="C5" s="976">
        <v>0.48</v>
      </c>
      <c r="D5" s="976">
        <v>0.48</v>
      </c>
      <c r="E5" s="976">
        <v>0</v>
      </c>
      <c r="F5" s="976">
        <v>0</v>
      </c>
      <c r="G5" s="976">
        <v>0</v>
      </c>
      <c r="H5" s="976">
        <v>0</v>
      </c>
      <c r="I5" s="976">
        <v>0</v>
      </c>
      <c r="J5" s="976">
        <v>0</v>
      </c>
      <c r="K5" s="976">
        <v>0</v>
      </c>
      <c r="L5" s="976">
        <v>0</v>
      </c>
      <c r="M5" s="976">
        <v>0</v>
      </c>
      <c r="N5" s="976">
        <v>0</v>
      </c>
      <c r="O5" s="976">
        <v>0</v>
      </c>
      <c r="P5" s="976">
        <v>0</v>
      </c>
      <c r="Q5" s="976">
        <v>0</v>
      </c>
      <c r="R5" s="976">
        <v>0</v>
      </c>
      <c r="S5" s="976">
        <v>0</v>
      </c>
      <c r="T5" s="976">
        <v>0</v>
      </c>
      <c r="U5" s="976">
        <v>0</v>
      </c>
    </row>
    <row r="6" spans="1:22" x14ac:dyDescent="0.35">
      <c r="A6" s="954" t="s">
        <v>818</v>
      </c>
      <c r="B6" s="976">
        <f>B8</f>
        <v>0</v>
      </c>
      <c r="C6" s="976">
        <f>C8</f>
        <v>0.43</v>
      </c>
      <c r="D6" s="976">
        <f t="shared" ref="D6:U6" si="0">D8</f>
        <v>0.56999999999999995</v>
      </c>
      <c r="E6" s="976">
        <f t="shared" si="0"/>
        <v>0.25</v>
      </c>
      <c r="F6" s="976">
        <f t="shared" si="0"/>
        <v>0.25</v>
      </c>
      <c r="G6" s="976">
        <f t="shared" si="0"/>
        <v>0.25</v>
      </c>
      <c r="H6" s="976">
        <f t="shared" si="0"/>
        <v>0.25</v>
      </c>
      <c r="I6" s="976">
        <f t="shared" si="0"/>
        <v>0.25</v>
      </c>
      <c r="J6" s="976">
        <f t="shared" si="0"/>
        <v>0.25</v>
      </c>
      <c r="K6" s="976">
        <f t="shared" si="0"/>
        <v>0.25</v>
      </c>
      <c r="L6" s="976">
        <f t="shared" si="0"/>
        <v>0.25</v>
      </c>
      <c r="M6" s="976">
        <f t="shared" si="0"/>
        <v>0.25</v>
      </c>
      <c r="N6" s="976">
        <f t="shared" si="0"/>
        <v>0.25</v>
      </c>
      <c r="O6" s="976">
        <f t="shared" si="0"/>
        <v>0.25</v>
      </c>
      <c r="P6" s="976">
        <f t="shared" si="0"/>
        <v>0.25</v>
      </c>
      <c r="Q6" s="976">
        <f t="shared" si="0"/>
        <v>0.25</v>
      </c>
      <c r="R6" s="976">
        <f t="shared" si="0"/>
        <v>0.25</v>
      </c>
      <c r="S6" s="976">
        <f t="shared" si="0"/>
        <v>0.25</v>
      </c>
      <c r="T6" s="976">
        <f t="shared" si="0"/>
        <v>0.25</v>
      </c>
      <c r="U6" s="976">
        <f t="shared" si="0"/>
        <v>0.25</v>
      </c>
    </row>
    <row r="7" spans="1:22" x14ac:dyDescent="0.35">
      <c r="A7" s="954" t="s">
        <v>819</v>
      </c>
      <c r="B7" s="976">
        <v>0</v>
      </c>
      <c r="C7" s="976">
        <v>0</v>
      </c>
      <c r="D7" s="976">
        <v>1</v>
      </c>
      <c r="E7" s="976">
        <v>0.25</v>
      </c>
      <c r="F7" s="976">
        <v>0.25</v>
      </c>
      <c r="G7" s="976">
        <v>0.25</v>
      </c>
      <c r="H7" s="976">
        <v>0.25</v>
      </c>
      <c r="I7" s="976">
        <v>0.25</v>
      </c>
      <c r="J7" s="976">
        <v>0.25</v>
      </c>
      <c r="K7" s="976">
        <v>0.25</v>
      </c>
      <c r="L7" s="976">
        <v>0.25</v>
      </c>
      <c r="M7" s="976">
        <v>0.25</v>
      </c>
      <c r="N7" s="976">
        <v>0.25</v>
      </c>
      <c r="O7" s="976">
        <v>0.25</v>
      </c>
      <c r="P7" s="976">
        <v>0.25</v>
      </c>
      <c r="Q7" s="976">
        <v>0.25</v>
      </c>
      <c r="R7" s="976">
        <v>0.25</v>
      </c>
      <c r="S7" s="976">
        <v>0.25</v>
      </c>
      <c r="T7" s="976">
        <v>0.25</v>
      </c>
      <c r="U7" s="976">
        <v>0.25</v>
      </c>
    </row>
    <row r="8" spans="1:22" x14ac:dyDescent="0.35">
      <c r="A8" s="954" t="s">
        <v>820</v>
      </c>
      <c r="B8" s="976">
        <v>0</v>
      </c>
      <c r="C8" s="976">
        <v>0.43</v>
      </c>
      <c r="D8" s="976">
        <v>0.56999999999999995</v>
      </c>
      <c r="E8" s="976">
        <v>0.25</v>
      </c>
      <c r="F8" s="976">
        <v>0.25</v>
      </c>
      <c r="G8" s="976">
        <v>0.25</v>
      </c>
      <c r="H8" s="976">
        <v>0.25</v>
      </c>
      <c r="I8" s="976">
        <v>0.25</v>
      </c>
      <c r="J8" s="976">
        <v>0.25</v>
      </c>
      <c r="K8" s="976">
        <v>0.25</v>
      </c>
      <c r="L8" s="976">
        <v>0.25</v>
      </c>
      <c r="M8" s="976">
        <v>0.25</v>
      </c>
      <c r="N8" s="976">
        <v>0.25</v>
      </c>
      <c r="O8" s="976">
        <v>0.25</v>
      </c>
      <c r="P8" s="976">
        <v>0.25</v>
      </c>
      <c r="Q8" s="976">
        <v>0.25</v>
      </c>
      <c r="R8" s="976">
        <v>0.25</v>
      </c>
      <c r="S8" s="976">
        <v>0.25</v>
      </c>
      <c r="T8" s="976">
        <v>0.25</v>
      </c>
      <c r="U8" s="976">
        <v>0.25</v>
      </c>
    </row>
    <row r="9" spans="1:22" ht="27" customHeight="1" x14ac:dyDescent="0.35">
      <c r="A9" s="954" t="s">
        <v>821</v>
      </c>
      <c r="B9" s="976">
        <v>0</v>
      </c>
      <c r="C9" s="976">
        <f>0.18</f>
        <v>0.18</v>
      </c>
      <c r="D9" s="976">
        <f>1-C9</f>
        <v>0.82000000000000006</v>
      </c>
      <c r="E9" s="976">
        <v>0.25</v>
      </c>
      <c r="F9" s="976">
        <v>0.25</v>
      </c>
      <c r="G9" s="976">
        <v>0.25</v>
      </c>
      <c r="H9" s="976">
        <v>0.25</v>
      </c>
      <c r="I9" s="976">
        <v>0.25</v>
      </c>
      <c r="J9" s="976">
        <v>0.25</v>
      </c>
      <c r="K9" s="976">
        <v>0.25</v>
      </c>
      <c r="L9" s="976">
        <v>0.25</v>
      </c>
      <c r="M9" s="976">
        <v>0.25</v>
      </c>
      <c r="N9" s="976">
        <v>0.25</v>
      </c>
      <c r="O9" s="976">
        <v>0.25</v>
      </c>
      <c r="P9" s="976">
        <v>0.25</v>
      </c>
      <c r="Q9" s="976">
        <v>0.25</v>
      </c>
      <c r="R9" s="976">
        <v>0.25</v>
      </c>
      <c r="S9" s="976">
        <v>0.25</v>
      </c>
      <c r="T9" s="976">
        <v>0.25</v>
      </c>
      <c r="U9" s="976">
        <v>0.25</v>
      </c>
    </row>
    <row r="10" spans="1:22" x14ac:dyDescent="0.35">
      <c r="A10" s="954" t="s">
        <v>822</v>
      </c>
      <c r="B10" s="976">
        <v>0</v>
      </c>
      <c r="C10" s="976">
        <v>0.5</v>
      </c>
      <c r="D10" s="976">
        <v>0.5</v>
      </c>
      <c r="E10" s="976">
        <v>0.25</v>
      </c>
      <c r="F10" s="976">
        <v>0.25</v>
      </c>
      <c r="G10" s="976">
        <v>0.25</v>
      </c>
      <c r="H10" s="976">
        <v>0.25</v>
      </c>
      <c r="I10" s="976">
        <v>0.25</v>
      </c>
      <c r="J10" s="976">
        <v>0.25</v>
      </c>
      <c r="K10" s="976">
        <v>0.25</v>
      </c>
      <c r="L10" s="976">
        <v>0.25</v>
      </c>
      <c r="M10" s="976">
        <v>0.25</v>
      </c>
      <c r="N10" s="976">
        <v>0.25</v>
      </c>
      <c r="O10" s="976">
        <v>0.25</v>
      </c>
      <c r="P10" s="976">
        <v>0.25</v>
      </c>
      <c r="Q10" s="976">
        <v>0.25</v>
      </c>
      <c r="R10" s="976">
        <v>0.25</v>
      </c>
      <c r="S10" s="976">
        <v>0.25</v>
      </c>
      <c r="T10" s="976">
        <v>0.25</v>
      </c>
      <c r="U10" s="976">
        <v>0.25</v>
      </c>
    </row>
    <row r="11" spans="1:22" x14ac:dyDescent="0.35">
      <c r="A11" s="954" t="s">
        <v>823</v>
      </c>
      <c r="B11" s="976">
        <v>0</v>
      </c>
      <c r="C11" s="976">
        <v>0.5</v>
      </c>
      <c r="D11" s="976">
        <v>0.5</v>
      </c>
      <c r="E11" s="976">
        <v>0.25</v>
      </c>
      <c r="F11" s="976">
        <v>0.25</v>
      </c>
      <c r="G11" s="976">
        <v>0.25</v>
      </c>
      <c r="H11" s="976">
        <v>0.25</v>
      </c>
      <c r="I11" s="976">
        <v>0.25</v>
      </c>
      <c r="J11" s="976">
        <v>0.25</v>
      </c>
      <c r="K11" s="976">
        <v>0.25</v>
      </c>
      <c r="L11" s="976">
        <v>0.25</v>
      </c>
      <c r="M11" s="976">
        <v>0.25</v>
      </c>
      <c r="N11" s="976">
        <v>0.25</v>
      </c>
      <c r="O11" s="976">
        <v>0.25</v>
      </c>
      <c r="P11" s="976">
        <v>0.25</v>
      </c>
      <c r="Q11" s="976">
        <v>0.25</v>
      </c>
      <c r="R11" s="976">
        <v>0.25</v>
      </c>
      <c r="S11" s="976">
        <v>0.25</v>
      </c>
      <c r="T11" s="976">
        <v>0.25</v>
      </c>
      <c r="U11" s="976">
        <v>0.25</v>
      </c>
    </row>
    <row r="12" spans="1:22" ht="14.25" customHeight="1" x14ac:dyDescent="0.35">
      <c r="A12" s="954" t="s">
        <v>824</v>
      </c>
      <c r="B12" s="976">
        <v>1</v>
      </c>
      <c r="C12" s="976"/>
      <c r="D12" s="976"/>
      <c r="E12" s="976"/>
      <c r="F12" s="976"/>
      <c r="G12" s="976"/>
      <c r="H12" s="976"/>
      <c r="I12" s="976"/>
      <c r="J12" s="976"/>
      <c r="K12" s="976"/>
      <c r="L12" s="976"/>
      <c r="M12" s="976"/>
      <c r="N12" s="976"/>
      <c r="O12" s="976"/>
      <c r="P12" s="976"/>
      <c r="Q12" s="976"/>
      <c r="R12" s="976"/>
      <c r="S12" s="976"/>
      <c r="T12" s="976"/>
      <c r="U12" s="976"/>
    </row>
    <row r="13" spans="1:22" x14ac:dyDescent="0.35">
      <c r="A13" s="954" t="s">
        <v>825</v>
      </c>
      <c r="B13" s="976">
        <v>0</v>
      </c>
      <c r="C13" s="976">
        <v>0.4</v>
      </c>
      <c r="D13" s="976">
        <v>0.6</v>
      </c>
      <c r="E13" s="976">
        <v>0.4</v>
      </c>
      <c r="F13" s="976">
        <v>0.3</v>
      </c>
      <c r="G13" s="976">
        <v>0.2</v>
      </c>
      <c r="H13" s="976">
        <v>0.1</v>
      </c>
      <c r="I13" s="976">
        <v>0.25</v>
      </c>
      <c r="J13" s="976">
        <v>0.25</v>
      </c>
      <c r="K13" s="976">
        <v>0.25</v>
      </c>
      <c r="L13" s="976">
        <v>0.25</v>
      </c>
      <c r="M13" s="976">
        <v>0.25</v>
      </c>
      <c r="N13" s="976">
        <v>0.25</v>
      </c>
      <c r="O13" s="976">
        <v>0.25</v>
      </c>
      <c r="P13" s="976">
        <v>0.25</v>
      </c>
      <c r="Q13" s="976">
        <v>0.25</v>
      </c>
      <c r="R13" s="976">
        <v>0.25</v>
      </c>
      <c r="S13" s="976">
        <v>0.25</v>
      </c>
      <c r="T13" s="976">
        <v>0.25</v>
      </c>
      <c r="U13" s="976">
        <v>0.25</v>
      </c>
    </row>
    <row r="14" spans="1:22" x14ac:dyDescent="0.35">
      <c r="A14" s="954"/>
      <c r="B14" s="976"/>
      <c r="C14" s="976"/>
      <c r="D14" s="976"/>
      <c r="E14" s="976"/>
      <c r="F14" s="976"/>
      <c r="G14" s="976"/>
      <c r="H14" s="976"/>
      <c r="I14" s="976"/>
      <c r="J14" s="976"/>
      <c r="K14" s="976"/>
      <c r="L14" s="976"/>
      <c r="M14" s="976"/>
      <c r="N14" s="976"/>
      <c r="O14" s="976"/>
      <c r="P14" s="976"/>
      <c r="Q14" s="976"/>
      <c r="R14" s="976"/>
      <c r="S14" s="976"/>
      <c r="T14" s="976"/>
      <c r="U14" s="976"/>
    </row>
    <row r="15" spans="1:22" ht="27" customHeight="1" x14ac:dyDescent="0.35">
      <c r="A15" s="977" t="s">
        <v>826</v>
      </c>
      <c r="B15" s="976">
        <v>1</v>
      </c>
      <c r="C15" s="976">
        <v>2</v>
      </c>
      <c r="D15" s="976">
        <v>3</v>
      </c>
      <c r="E15" s="976">
        <v>4</v>
      </c>
      <c r="F15" s="976">
        <v>5</v>
      </c>
      <c r="G15" s="976">
        <v>6</v>
      </c>
      <c r="H15" s="976">
        <v>7</v>
      </c>
      <c r="I15" s="976">
        <v>8</v>
      </c>
      <c r="J15" s="976">
        <v>9</v>
      </c>
      <c r="K15" s="976">
        <v>10</v>
      </c>
      <c r="L15" s="976">
        <v>11</v>
      </c>
      <c r="M15" s="976">
        <v>12</v>
      </c>
      <c r="N15" s="976">
        <v>13</v>
      </c>
      <c r="O15" s="976">
        <v>14</v>
      </c>
      <c r="P15" s="976">
        <v>15</v>
      </c>
      <c r="Q15" s="976">
        <v>16</v>
      </c>
      <c r="R15" s="976">
        <v>17</v>
      </c>
      <c r="S15" s="976">
        <v>18</v>
      </c>
      <c r="T15" s="976">
        <v>19</v>
      </c>
      <c r="U15" s="976">
        <v>20</v>
      </c>
    </row>
    <row r="16" spans="1:22" x14ac:dyDescent="0.35">
      <c r="A16" s="954" t="s">
        <v>827</v>
      </c>
      <c r="B16" s="976">
        <v>7.0000000000000007E-2</v>
      </c>
      <c r="C16" s="976">
        <v>7.0000000000000007E-2</v>
      </c>
      <c r="D16" s="976">
        <v>4.9000000000000002E-2</v>
      </c>
      <c r="E16" s="976">
        <v>4.9000000000000002E-2</v>
      </c>
      <c r="F16" s="976">
        <v>4.9000000000000002E-2</v>
      </c>
      <c r="G16" s="976">
        <v>4.9000000000000002E-2</v>
      </c>
      <c r="H16" s="976">
        <v>4.9000000000000002E-2</v>
      </c>
      <c r="I16" s="976">
        <v>4.9000000000000002E-2</v>
      </c>
      <c r="J16" s="976">
        <v>4.9000000000000002E-2</v>
      </c>
      <c r="K16" s="976">
        <v>4.9000000000000002E-2</v>
      </c>
      <c r="L16" s="976">
        <v>4.9000000000000002E-2</v>
      </c>
      <c r="M16" s="976">
        <v>4.9000000000000002E-2</v>
      </c>
      <c r="N16" s="976">
        <f t="shared" ref="N16:T16" si="1">0.0475</f>
        <v>4.7500000000000001E-2</v>
      </c>
      <c r="O16" s="976">
        <f t="shared" si="1"/>
        <v>4.7500000000000001E-2</v>
      </c>
      <c r="P16" s="976">
        <f t="shared" si="1"/>
        <v>4.7500000000000001E-2</v>
      </c>
      <c r="Q16" s="976">
        <f t="shared" si="1"/>
        <v>4.7500000000000001E-2</v>
      </c>
      <c r="R16" s="976">
        <f t="shared" si="1"/>
        <v>4.7500000000000001E-2</v>
      </c>
      <c r="S16" s="976">
        <f t="shared" si="1"/>
        <v>4.7500000000000001E-2</v>
      </c>
      <c r="T16" s="976">
        <f t="shared" si="1"/>
        <v>4.7500000000000001E-2</v>
      </c>
      <c r="U16" s="976">
        <f>0.0375</f>
        <v>3.7499999999999999E-2</v>
      </c>
      <c r="V16" s="976">
        <f>SUM(B16:U16)</f>
        <v>0.99999999999999989</v>
      </c>
    </row>
    <row r="17" spans="1:23" ht="27" customHeight="1" x14ac:dyDescent="0.35">
      <c r="A17" s="954"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6">
        <f>SUM(B17:U17)</f>
        <v>0.94000000000000006</v>
      </c>
      <c r="W17" t="s">
        <v>829</v>
      </c>
    </row>
    <row r="19" spans="1:23" x14ac:dyDescent="0.35">
      <c r="B19" s="975" t="e">
        <f>'Federal and State Purchases'!#REF!</f>
        <v>#REF!</v>
      </c>
      <c r="C19" s="97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939" t="s">
        <v>830</v>
      </c>
      <c r="B1" s="939" t="s">
        <v>740</v>
      </c>
      <c r="C1" s="979">
        <v>2021</v>
      </c>
      <c r="D1" s="979">
        <f>C1</f>
        <v>2021</v>
      </c>
      <c r="E1" s="979">
        <f>D1</f>
        <v>2021</v>
      </c>
      <c r="F1" s="979">
        <v>2022</v>
      </c>
      <c r="G1" s="979">
        <v>2022</v>
      </c>
      <c r="H1" s="979">
        <v>2022</v>
      </c>
      <c r="I1" s="979">
        <v>2022</v>
      </c>
      <c r="J1" s="979">
        <v>2023</v>
      </c>
      <c r="K1" s="979">
        <v>2023</v>
      </c>
      <c r="L1" s="979">
        <v>2023</v>
      </c>
      <c r="M1" s="979">
        <v>2023</v>
      </c>
      <c r="N1" s="979">
        <v>2024</v>
      </c>
      <c r="O1" s="979">
        <v>2024</v>
      </c>
      <c r="P1" s="979">
        <v>2024</v>
      </c>
      <c r="Q1" s="979">
        <v>2024</v>
      </c>
      <c r="R1" s="979">
        <v>2025</v>
      </c>
      <c r="S1" s="979">
        <v>2025</v>
      </c>
      <c r="T1" s="979">
        <v>2025</v>
      </c>
      <c r="U1" s="979">
        <v>2025</v>
      </c>
      <c r="V1" s="979">
        <v>2026</v>
      </c>
    </row>
    <row r="2" spans="1:23" x14ac:dyDescent="0.35">
      <c r="B2" s="939" t="s">
        <v>831</v>
      </c>
      <c r="C2" s="122" t="s">
        <v>295</v>
      </c>
      <c r="D2" s="122" t="s">
        <v>296</v>
      </c>
      <c r="E2" s="122" t="s">
        <v>180</v>
      </c>
      <c r="F2" s="122" t="s">
        <v>181</v>
      </c>
      <c r="G2" s="122" t="s">
        <v>182</v>
      </c>
      <c r="H2" s="122" t="s">
        <v>183</v>
      </c>
      <c r="I2" s="122" t="s">
        <v>184</v>
      </c>
      <c r="J2" s="122" t="s">
        <v>185</v>
      </c>
      <c r="K2" s="122" t="s">
        <v>186</v>
      </c>
      <c r="L2" s="122" t="s">
        <v>187</v>
      </c>
      <c r="M2" s="122" t="s">
        <v>188</v>
      </c>
      <c r="N2" s="122" t="s">
        <v>189</v>
      </c>
      <c r="O2" s="122" t="s">
        <v>190</v>
      </c>
      <c r="P2" s="122" t="s">
        <v>191</v>
      </c>
      <c r="Q2" s="122" t="s">
        <v>175</v>
      </c>
      <c r="R2" s="122" t="s">
        <v>176</v>
      </c>
      <c r="S2" s="122" t="s">
        <v>177</v>
      </c>
      <c r="T2" s="122" t="s">
        <v>832</v>
      </c>
      <c r="U2" s="122" t="s">
        <v>833</v>
      </c>
      <c r="V2" s="122" t="s">
        <v>834</v>
      </c>
    </row>
    <row r="3" spans="1:23" x14ac:dyDescent="0.35">
      <c r="A3" s="939">
        <v>3</v>
      </c>
      <c r="B3" s="939" t="s">
        <v>595</v>
      </c>
      <c r="C3" s="980">
        <f>4*'ARP Timing'!B6*VLOOKUP(C$1,'ARP Score'!$A$5:$M14,$A3)</f>
        <v>0</v>
      </c>
      <c r="D3" s="980">
        <f>4*'ARP Timing'!C6*VLOOKUP(D$1,'ARP Score'!$A$5:$M14,$A3)</f>
        <v>336.60399999999998</v>
      </c>
      <c r="E3" s="980">
        <f>4*'ARP Timing'!D6*VLOOKUP(E$1,'ARP Score'!$A$5:$M14,$A3)</f>
        <v>446.19599999999991</v>
      </c>
      <c r="F3" s="980">
        <f>4*'ARP Timing'!E6*VLOOKUP(F$1,'ARP Score'!$A$5:$M14,$A3)</f>
        <v>10.1</v>
      </c>
      <c r="G3" s="980">
        <f>4*'ARP Timing'!F6*VLOOKUP(G$1,'ARP Score'!$A$5:$M14,$A3)</f>
        <v>10.1</v>
      </c>
      <c r="H3" s="980">
        <f>4*'ARP Timing'!G6*VLOOKUP(H$1,'ARP Score'!$A$5:$M14,$A3)</f>
        <v>10.1</v>
      </c>
      <c r="I3" s="980">
        <f>4*'ARP Timing'!H6*VLOOKUP(I$1,'ARP Score'!$A$5:$M14,$A3)</f>
        <v>10.1</v>
      </c>
      <c r="J3" s="980">
        <f>4*'ARP Timing'!I6*VLOOKUP(J$1,'ARP Score'!$A$5:$M14,$A3)</f>
        <v>0</v>
      </c>
      <c r="K3" s="980">
        <f>4*'ARP Timing'!J6*VLOOKUP(K$1,'ARP Score'!$A$5:$M14,$A3)</f>
        <v>0</v>
      </c>
      <c r="L3" s="980">
        <f>4*'ARP Timing'!K6*VLOOKUP(L$1,'ARP Score'!$A$5:$M14,$A3)</f>
        <v>0</v>
      </c>
      <c r="M3" s="980">
        <f>4*'ARP Timing'!L6*VLOOKUP(M$1,'ARP Score'!$A$5:$M14,$A3)</f>
        <v>0</v>
      </c>
      <c r="N3" s="980">
        <f>4*'ARP Timing'!M6*VLOOKUP(N$1,'ARP Score'!$A$5:$M14,$A3)</f>
        <v>0</v>
      </c>
      <c r="O3" s="980">
        <f>4*'ARP Timing'!N6*VLOOKUP(O$1,'ARP Score'!$A$5:$M14,$A3)</f>
        <v>0</v>
      </c>
      <c r="P3" s="980">
        <f>4*'ARP Timing'!O6*VLOOKUP(P$1,'ARP Score'!$A$5:$M14,$A3)</f>
        <v>0</v>
      </c>
      <c r="Q3" s="980">
        <f>4*'ARP Timing'!P6*VLOOKUP(Q$1,'ARP Score'!$A$5:$M14,$A3)</f>
        <v>0</v>
      </c>
      <c r="R3" s="980">
        <f>4*'ARP Timing'!Q6*VLOOKUP(R$1,'ARP Score'!$A$5:$M14,$A3)</f>
        <v>0</v>
      </c>
      <c r="S3" s="980">
        <f>4*'ARP Timing'!R6*VLOOKUP(S$1,'ARP Score'!$A$5:$M14,$A3)</f>
        <v>0</v>
      </c>
      <c r="T3" s="980">
        <f>4*'ARP Timing'!S6*VLOOKUP(T$1,'ARP Score'!$A$5:$M14,$A3)</f>
        <v>0</v>
      </c>
      <c r="U3" s="980">
        <f>4*'ARP Timing'!T6*VLOOKUP(U$1,'ARP Score'!$A$5:$M14,$A3)</f>
        <v>0</v>
      </c>
      <c r="V3" s="980">
        <f>4*'ARP Timing'!U6*VLOOKUP(V$1,'ARP Score'!$A$5:$M14,$A3)</f>
        <v>0</v>
      </c>
      <c r="W3" s="980">
        <f>SUM(C3:U3)/4</f>
        <v>205.8</v>
      </c>
    </row>
    <row r="4" spans="1:23" x14ac:dyDescent="0.35">
      <c r="A4" s="939">
        <v>5</v>
      </c>
      <c r="B4" s="34" t="s">
        <v>742</v>
      </c>
      <c r="C4" s="980">
        <f>4*'ARP Timing'!B7*VLOOKUP(C$1,'ARP Score'!$A$5:$M15,$A4)</f>
        <v>0</v>
      </c>
      <c r="D4" s="980">
        <f>4*'ARP Timing'!C7*VLOOKUP(D$1,'ARP Score'!$A$5:$M15,$A4)</f>
        <v>0</v>
      </c>
      <c r="E4" s="980">
        <f>4*'ARP Timing'!D7*VLOOKUP(E$1,'ARP Score'!$A$5:$M15,$A4)</f>
        <v>3.1040000000000418</v>
      </c>
      <c r="F4" s="980">
        <f>4*'ARP Timing'!E7*VLOOKUP(F$1,'ARP Score'!$A$5:$M15,$A4)</f>
        <v>19.719000000000005</v>
      </c>
      <c r="G4" s="980">
        <f>4*'ARP Timing'!F7*VLOOKUP(G$1,'ARP Score'!$A$5:$M15,$A4)</f>
        <v>19.719000000000005</v>
      </c>
      <c r="H4" s="980">
        <f>4*'ARP Timing'!G7*VLOOKUP(H$1,'ARP Score'!$A$5:$M15,$A4)</f>
        <v>19.719000000000005</v>
      </c>
      <c r="I4" s="980">
        <f>4*'ARP Timing'!H7*VLOOKUP(I$1,'ARP Score'!$A$5:$M15,$A4)</f>
        <v>19.719000000000005</v>
      </c>
      <c r="J4" s="980">
        <f>4*'ARP Timing'!I7*VLOOKUP(J$1,'ARP Score'!$A$5:$M15,$A4)</f>
        <v>1.4159999999999999</v>
      </c>
      <c r="K4" s="980">
        <f>4*'ARP Timing'!J7*VLOOKUP(K$1,'ARP Score'!$A$5:$M15,$A4)</f>
        <v>1.4159999999999999</v>
      </c>
      <c r="L4" s="980">
        <f>4*'ARP Timing'!K7*VLOOKUP(L$1,'ARP Score'!$A$5:$M15,$A4)</f>
        <v>1.4159999999999999</v>
      </c>
      <c r="M4" s="980">
        <f>4*'ARP Timing'!L7*VLOOKUP(M$1,'ARP Score'!$A$5:$M15,$A4)</f>
        <v>1.4159999999999999</v>
      </c>
      <c r="N4" s="980">
        <f>4*'ARP Timing'!M7*VLOOKUP(N$1,'ARP Score'!$A$5:$M15,$A4)</f>
        <v>1.4790000000000001</v>
      </c>
      <c r="O4" s="980">
        <f>4*'ARP Timing'!N7*VLOOKUP(O$1,'ARP Score'!$A$5:$M15,$A4)</f>
        <v>1.4790000000000001</v>
      </c>
      <c r="P4" s="980">
        <f>4*'ARP Timing'!O7*VLOOKUP(P$1,'ARP Score'!$A$5:$M15,$A4)</f>
        <v>1.4790000000000001</v>
      </c>
      <c r="Q4" s="980">
        <f>4*'ARP Timing'!P7*VLOOKUP(Q$1,'ARP Score'!$A$5:$M15,$A4)</f>
        <v>1.4790000000000001</v>
      </c>
      <c r="R4" s="980">
        <f>4*'ARP Timing'!Q7*VLOOKUP(R$1,'ARP Score'!$A$5:$M15,$A4)</f>
        <v>1.63</v>
      </c>
      <c r="S4" s="980">
        <f>4*'ARP Timing'!R7*VLOOKUP(S$1,'ARP Score'!$A$5:$M15,$A4)</f>
        <v>1.63</v>
      </c>
      <c r="T4" s="980">
        <f>4*'ARP Timing'!S7*VLOOKUP(T$1,'ARP Score'!$A$5:$M15,$A4)</f>
        <v>1.63</v>
      </c>
      <c r="U4" s="980">
        <f>4*'ARP Timing'!T7*VLOOKUP(U$1,'ARP Score'!$A$5:$M15,$A4)</f>
        <v>1.63</v>
      </c>
      <c r="V4" s="980">
        <f>4*'ARP Timing'!U7*VLOOKUP(V$1,'ARP Score'!$A$5:$M15,$A4)</f>
        <v>1.671</v>
      </c>
      <c r="W4" s="980">
        <f>SUM(C4:U4)/4</f>
        <v>25.020000000000007</v>
      </c>
    </row>
    <row r="5" spans="1:23" x14ac:dyDescent="0.35">
      <c r="A5" s="939">
        <v>6</v>
      </c>
      <c r="B5" s="34" t="s">
        <v>743</v>
      </c>
      <c r="C5" s="980">
        <f>4*'ARP Timing'!B8*VLOOKUP(C$1,'ARP Score'!$A$5:$M16,$A5)</f>
        <v>0</v>
      </c>
      <c r="D5" s="980">
        <f>4*'ARP Timing'!C8*VLOOKUP(D$1,'ARP Score'!$A$5:$M16,$A5)</f>
        <v>33.921840000000024</v>
      </c>
      <c r="E5" s="980">
        <f>4*'ARP Timing'!D8*VLOOKUP(E$1,'ARP Score'!$A$5:$M16,$A5)</f>
        <v>44.966160000000031</v>
      </c>
      <c r="F5" s="980">
        <f>4*'ARP Timing'!E8*VLOOKUP(F$1,'ARP Score'!$A$5:$M16,$A5)</f>
        <v>52.756999999999998</v>
      </c>
      <c r="G5" s="980">
        <f>4*'ARP Timing'!F8*VLOOKUP(G$1,'ARP Score'!$A$5:$M16,$A5)</f>
        <v>52.756999999999998</v>
      </c>
      <c r="H5" s="980">
        <f>4*'ARP Timing'!G8*VLOOKUP(H$1,'ARP Score'!$A$5:$M16,$A5)</f>
        <v>52.756999999999998</v>
      </c>
      <c r="I5" s="980">
        <f>4*'ARP Timing'!H8*VLOOKUP(I$1,'ARP Score'!$A$5:$M16,$A5)</f>
        <v>52.756999999999998</v>
      </c>
      <c r="J5" s="980">
        <f>4*'ARP Timing'!I8*VLOOKUP(J$1,'ARP Score'!$A$5:$M16,$A5)</f>
        <v>12</v>
      </c>
      <c r="K5" s="980">
        <f>4*'ARP Timing'!J8*VLOOKUP(K$1,'ARP Score'!$A$5:$M16,$A5)</f>
        <v>12</v>
      </c>
      <c r="L5" s="980">
        <f>4*'ARP Timing'!K8*VLOOKUP(L$1,'ARP Score'!$A$5:$M16,$A5)</f>
        <v>12</v>
      </c>
      <c r="M5" s="980">
        <f>4*'ARP Timing'!L8*VLOOKUP(M$1,'ARP Score'!$A$5:$M16,$A5)</f>
        <v>12</v>
      </c>
      <c r="N5" s="980">
        <f>4*'ARP Timing'!M8*VLOOKUP(N$1,'ARP Score'!$A$5:$M16,$A5)</f>
        <v>4.2219999999999995</v>
      </c>
      <c r="O5" s="980">
        <f>4*'ARP Timing'!N8*VLOOKUP(O$1,'ARP Score'!$A$5:$M16,$A5)</f>
        <v>4.2219999999999995</v>
      </c>
      <c r="P5" s="980">
        <f>4*'ARP Timing'!O8*VLOOKUP(P$1,'ARP Score'!$A$5:$M16,$A5)</f>
        <v>4.2219999999999995</v>
      </c>
      <c r="Q5" s="980">
        <f>4*'ARP Timing'!P8*VLOOKUP(Q$1,'ARP Score'!$A$5:$M16,$A5)</f>
        <v>4.2219999999999995</v>
      </c>
      <c r="R5" s="980">
        <f>4*'ARP Timing'!Q8*VLOOKUP(R$1,'ARP Score'!$A$5:$M16,$A5)</f>
        <v>2.3719999999999999</v>
      </c>
      <c r="S5" s="980">
        <f>4*'ARP Timing'!R8*VLOOKUP(S$1,'ARP Score'!$A$5:$M16,$A5)</f>
        <v>2.3719999999999999</v>
      </c>
      <c r="T5" s="980">
        <f>4*'ARP Timing'!S8*VLOOKUP(T$1,'ARP Score'!$A$5:$M16,$A5)</f>
        <v>2.3719999999999999</v>
      </c>
      <c r="U5" s="980">
        <f>4*'ARP Timing'!T8*VLOOKUP(U$1,'ARP Score'!$A$5:$M16,$A5)</f>
        <v>2.3719999999999999</v>
      </c>
      <c r="V5" s="980">
        <f>4*'ARP Timing'!U8*VLOOKUP(V$1,'ARP Score'!$A$5:$M16,$A5)</f>
        <v>0.49</v>
      </c>
      <c r="W5" s="980">
        <f t="shared" ref="W5:W15" si="0">SUM(C5:U5)/4</f>
        <v>91.073000000000008</v>
      </c>
    </row>
    <row r="6" spans="1:23" x14ac:dyDescent="0.35">
      <c r="A6" s="939">
        <v>7</v>
      </c>
      <c r="B6" s="34" t="s">
        <v>835</v>
      </c>
      <c r="C6" s="980">
        <f>4*'ARP Timing'!B9*VLOOKUP(C$1,'ARP Score'!$A$5:$M17,$A6)</f>
        <v>0</v>
      </c>
      <c r="D6" s="980">
        <f>4*'ARP Timing'!C9*VLOOKUP(D$1,'ARP Score'!$A$5:$M17,$A6)</f>
        <v>58.782959999999989</v>
      </c>
      <c r="E6" s="980">
        <f>4*'ARP Timing'!D9*VLOOKUP(E$1,'ARP Score'!$A$5:$M17,$A6)</f>
        <v>267.78904</v>
      </c>
      <c r="F6" s="980">
        <f>4*'ARP Timing'!E9*VLOOKUP(F$1,'ARP Score'!$A$5:$M17,$A6)</f>
        <v>110.24799999999999</v>
      </c>
      <c r="G6" s="980">
        <f>4*'ARP Timing'!F9*VLOOKUP(G$1,'ARP Score'!$A$5:$M17,$A6)</f>
        <v>110.24799999999999</v>
      </c>
      <c r="H6" s="980">
        <f>4*'ARP Timing'!G9*VLOOKUP(H$1,'ARP Score'!$A$5:$M17,$A6)</f>
        <v>110.24799999999999</v>
      </c>
      <c r="I6" s="980">
        <f>4*'ARP Timing'!H9*VLOOKUP(I$1,'ARP Score'!$A$5:$M17,$A6)</f>
        <v>110.24799999999999</v>
      </c>
      <c r="J6" s="980">
        <f>4*'ARP Timing'!I9*VLOOKUP(J$1,'ARP Score'!$A$5:$M17,$A6)</f>
        <v>12.726000000000001</v>
      </c>
      <c r="K6" s="980">
        <f>4*'ARP Timing'!J9*VLOOKUP(K$1,'ARP Score'!$A$5:$M17,$A6)</f>
        <v>12.726000000000001</v>
      </c>
      <c r="L6" s="980">
        <f>4*'ARP Timing'!K9*VLOOKUP(L$1,'ARP Score'!$A$5:$M17,$A6)</f>
        <v>12.726000000000001</v>
      </c>
      <c r="M6" s="980">
        <f>4*'ARP Timing'!L9*VLOOKUP(M$1,'ARP Score'!$A$5:$M17,$A6)</f>
        <v>12.726000000000001</v>
      </c>
      <c r="N6" s="980">
        <f>4*'ARP Timing'!M9*VLOOKUP(N$1,'ARP Score'!$A$5:$M17,$A6)</f>
        <v>1.365</v>
      </c>
      <c r="O6" s="980">
        <f>4*'ARP Timing'!N9*VLOOKUP(O$1,'ARP Score'!$A$5:$M17,$A6)</f>
        <v>1.365</v>
      </c>
      <c r="P6" s="980">
        <f>4*'ARP Timing'!O9*VLOOKUP(P$1,'ARP Score'!$A$5:$M17,$A6)</f>
        <v>1.365</v>
      </c>
      <c r="Q6" s="980">
        <f>4*'ARP Timing'!P9*VLOOKUP(Q$1,'ARP Score'!$A$5:$M17,$A6)</f>
        <v>1.365</v>
      </c>
      <c r="R6" s="980">
        <f>4*'ARP Timing'!Q9*VLOOKUP(R$1,'ARP Score'!$A$5:$M17,$A6)</f>
        <v>-0.90100000000000025</v>
      </c>
      <c r="S6" s="980">
        <f>4*'ARP Timing'!R9*VLOOKUP(S$1,'ARP Score'!$A$5:$M17,$A6)</f>
        <v>-0.90100000000000025</v>
      </c>
      <c r="T6" s="980">
        <f>4*'ARP Timing'!S9*VLOOKUP(T$1,'ARP Score'!$A$5:$M17,$A6)</f>
        <v>-0.90100000000000025</v>
      </c>
      <c r="U6" s="980">
        <f>4*'ARP Timing'!T9*VLOOKUP(U$1,'ARP Score'!$A$5:$M17,$A6)</f>
        <v>-0.90100000000000025</v>
      </c>
      <c r="V6" s="980">
        <f>4*'ARP Timing'!U9*VLOOKUP(V$1,'ARP Score'!$A$5:$M17,$A6)</f>
        <v>-2.1500000000000004</v>
      </c>
      <c r="W6" s="980">
        <f t="shared" si="0"/>
        <v>205.08100000000007</v>
      </c>
    </row>
    <row r="7" spans="1:23" x14ac:dyDescent="0.35">
      <c r="A7" s="939">
        <v>8</v>
      </c>
      <c r="B7" s="34" t="s">
        <v>131</v>
      </c>
      <c r="C7" s="980">
        <f>4*'ARP Timing'!B10*VLOOKUP(C$1,'ARP Score'!$A$5:$M18,$A7)</f>
        <v>0</v>
      </c>
      <c r="D7" s="980">
        <f>4*'ARP Timing'!C10*VLOOKUP(D$1,'ARP Score'!$A$5:$M18,$A7)</f>
        <v>15.596</v>
      </c>
      <c r="E7" s="980">
        <f>4*'ARP Timing'!D10*VLOOKUP(E$1,'ARP Score'!$A$5:$M18,$A7)</f>
        <v>15.596</v>
      </c>
      <c r="F7" s="980">
        <f>4*'ARP Timing'!E10*VLOOKUP(F$1,'ARP Score'!$A$5:$M18,$A7)</f>
        <v>7.9489999999999998</v>
      </c>
      <c r="G7" s="980">
        <f>4*'ARP Timing'!F10*VLOOKUP(G$1,'ARP Score'!$A$5:$M18,$A7)</f>
        <v>7.9489999999999998</v>
      </c>
      <c r="H7" s="980">
        <f>4*'ARP Timing'!G10*VLOOKUP(H$1,'ARP Score'!$A$5:$M18,$A7)</f>
        <v>7.9489999999999998</v>
      </c>
      <c r="I7" s="980">
        <f>4*'ARP Timing'!H10*VLOOKUP(I$1,'ARP Score'!$A$5:$M18,$A7)</f>
        <v>7.9489999999999998</v>
      </c>
      <c r="J7" s="980">
        <f>4*'ARP Timing'!I10*VLOOKUP(J$1,'ARP Score'!$A$5:$M18,$A7)</f>
        <v>4.7519999999999998</v>
      </c>
      <c r="K7" s="980">
        <f>4*'ARP Timing'!J10*VLOOKUP(K$1,'ARP Score'!$A$5:$M18,$A7)</f>
        <v>4.7519999999999998</v>
      </c>
      <c r="L7" s="980">
        <f>4*'ARP Timing'!K10*VLOOKUP(L$1,'ARP Score'!$A$5:$M18,$A7)</f>
        <v>4.7519999999999998</v>
      </c>
      <c r="M7" s="980">
        <f>4*'ARP Timing'!L10*VLOOKUP(M$1,'ARP Score'!$A$5:$M18,$A7)</f>
        <v>4.7519999999999998</v>
      </c>
      <c r="N7" s="980">
        <f>4*'ARP Timing'!M10*VLOOKUP(N$1,'ARP Score'!$A$5:$M18,$A7)</f>
        <v>4.637999999999999</v>
      </c>
      <c r="O7" s="980">
        <f>4*'ARP Timing'!N10*VLOOKUP(O$1,'ARP Score'!$A$5:$M18,$A7)</f>
        <v>4.637999999999999</v>
      </c>
      <c r="P7" s="980">
        <f>4*'ARP Timing'!O10*VLOOKUP(P$1,'ARP Score'!$A$5:$M18,$A7)</f>
        <v>4.637999999999999</v>
      </c>
      <c r="Q7" s="980">
        <f>4*'ARP Timing'!P10*VLOOKUP(Q$1,'ARP Score'!$A$5:$M18,$A7)</f>
        <v>4.637999999999999</v>
      </c>
      <c r="R7" s="980">
        <f>4*'ARP Timing'!Q10*VLOOKUP(R$1,'ARP Score'!$A$5:$M18,$A7)</f>
        <v>1.8800000000000001</v>
      </c>
      <c r="S7" s="980">
        <f>4*'ARP Timing'!R10*VLOOKUP(S$1,'ARP Score'!$A$5:$M18,$A7)</f>
        <v>1.8800000000000001</v>
      </c>
      <c r="T7" s="980">
        <f>4*'ARP Timing'!S10*VLOOKUP(T$1,'ARP Score'!$A$5:$M18,$A7)</f>
        <v>1.8800000000000001</v>
      </c>
      <c r="U7" s="980">
        <f>4*'ARP Timing'!T10*VLOOKUP(U$1,'ARP Score'!$A$5:$M18,$A7)</f>
        <v>1.8800000000000001</v>
      </c>
      <c r="V7" s="980">
        <f>4*'ARP Timing'!U10*VLOOKUP(V$1,'ARP Score'!$A$5:$M18,$A7)</f>
        <v>1.446</v>
      </c>
      <c r="W7" s="980">
        <f t="shared" si="0"/>
        <v>27.016999999999996</v>
      </c>
    </row>
    <row r="8" spans="1:23" x14ac:dyDescent="0.35">
      <c r="A8" s="939">
        <v>9</v>
      </c>
      <c r="B8" s="982" t="s">
        <v>396</v>
      </c>
      <c r="C8" s="980">
        <f>4*'ARP Timing'!B$11*VLOOKUP(C$1,'ARP Score'!$A$5:$M19,$A8)</f>
        <v>0</v>
      </c>
      <c r="D8" s="980">
        <f>0.6*SUM('ARP Score'!B5:B7)*4</f>
        <v>989.16719999999987</v>
      </c>
      <c r="E8" s="979">
        <v>0</v>
      </c>
      <c r="F8" s="980">
        <v>0</v>
      </c>
      <c r="G8" s="980">
        <v>0</v>
      </c>
      <c r="H8" s="980">
        <f>D8*0.4/0.6</f>
        <v>659.44479999999999</v>
      </c>
      <c r="I8" s="980">
        <v>0</v>
      </c>
      <c r="J8" s="939">
        <v>0</v>
      </c>
      <c r="K8" s="980">
        <v>0</v>
      </c>
      <c r="L8" s="980">
        <v>0</v>
      </c>
      <c r="M8" s="980">
        <v>0</v>
      </c>
      <c r="N8" s="980">
        <v>0</v>
      </c>
      <c r="O8" s="980">
        <v>0</v>
      </c>
      <c r="P8" s="980">
        <v>0</v>
      </c>
      <c r="Q8" s="980">
        <v>0</v>
      </c>
      <c r="R8" s="980">
        <v>0</v>
      </c>
      <c r="S8" s="980">
        <v>0</v>
      </c>
      <c r="T8" s="980">
        <v>0</v>
      </c>
      <c r="U8" s="980">
        <v>0</v>
      </c>
      <c r="V8" s="980">
        <v>0</v>
      </c>
      <c r="W8" s="980">
        <f t="shared" si="0"/>
        <v>412.15299999999996</v>
      </c>
    </row>
    <row r="9" spans="1:23" x14ac:dyDescent="0.35">
      <c r="A9" s="939">
        <v>10</v>
      </c>
      <c r="B9" s="982" t="s">
        <v>150</v>
      </c>
      <c r="C9" s="980">
        <f>4*'ARP Timing'!B$11*VLOOKUP(C$1,'ARP Score'!$A$5:$M20,$A9)</f>
        <v>0</v>
      </c>
      <c r="D9" s="980">
        <f>4*'ARP Timing'!C$11*VLOOKUP(D$1,'ARP Score'!$A$5:$M20,$A9)</f>
        <v>24.693999999999999</v>
      </c>
      <c r="E9" s="980">
        <f>4*'ARP Timing'!D$11*VLOOKUP(E$1,'ARP Score'!$A$5:$M20,$A9)</f>
        <v>24.693999999999999</v>
      </c>
      <c r="F9" s="980">
        <f>4*'ARP Timing'!E$11*VLOOKUP(F$1,'ARP Score'!$A$5:$M20,$A9)</f>
        <v>46.79</v>
      </c>
      <c r="G9" s="980">
        <f>4*'ARP Timing'!F$11*VLOOKUP(G$1,'ARP Score'!$A$5:$M20,$A9)</f>
        <v>46.79</v>
      </c>
      <c r="H9" s="980">
        <f>4*'ARP Timing'!G$11*VLOOKUP(H$1,'ARP Score'!$A$5:$M20,$A9)</f>
        <v>46.79</v>
      </c>
      <c r="I9" s="980">
        <f>4*'ARP Timing'!H$11*VLOOKUP(I$1,'ARP Score'!$A$5:$M20,$A9)</f>
        <v>46.79</v>
      </c>
      <c r="J9" s="980">
        <f>4*'ARP Timing'!I$11*VLOOKUP(J$1,'ARP Score'!$A$5:$M20,$A9)</f>
        <v>38.595999999999997</v>
      </c>
      <c r="K9" s="980">
        <f>4*'ARP Timing'!J$11*VLOOKUP(K$1,'ARP Score'!$A$5:$M20,$A9)</f>
        <v>38.595999999999997</v>
      </c>
      <c r="L9" s="980">
        <f>4*'ARP Timing'!K$11*VLOOKUP(L$1,'ARP Score'!$A$5:$M20,$A9)</f>
        <v>38.595999999999997</v>
      </c>
      <c r="M9" s="980">
        <f>4*'ARP Timing'!L$11*VLOOKUP(M$1,'ARP Score'!$A$5:$M20,$A9)</f>
        <v>38.595999999999997</v>
      </c>
      <c r="N9" s="980">
        <f>4*'ARP Timing'!M$11*VLOOKUP(N$1,'ARP Score'!$A$5:$M20,$A9)</f>
        <v>31.911000000000001</v>
      </c>
      <c r="O9" s="980">
        <f>4*'ARP Timing'!N$11*VLOOKUP(O$1,'ARP Score'!$A$5:$M20,$A9)</f>
        <v>31.911000000000001</v>
      </c>
      <c r="P9" s="980">
        <f>4*'ARP Timing'!O$11*VLOOKUP(P$1,'ARP Score'!$A$5:$M20,$A9)</f>
        <v>31.911000000000001</v>
      </c>
      <c r="Q9" s="980">
        <f>4*'ARP Timing'!P$11*VLOOKUP(Q$1,'ARP Score'!$A$5:$M20,$A9)</f>
        <v>31.911000000000001</v>
      </c>
      <c r="R9" s="980">
        <f>4*'ARP Timing'!Q$11*VLOOKUP(R$1,'ARP Score'!$A$5:$M20,$A9)</f>
        <v>23.099</v>
      </c>
      <c r="S9" s="980">
        <f>4*'ARP Timing'!R$11*VLOOKUP(S$1,'ARP Score'!$A$5:$M20,$A9)</f>
        <v>23.099</v>
      </c>
      <c r="T9" s="980">
        <f>4*'ARP Timing'!S$11*VLOOKUP(T$1,'ARP Score'!$A$5:$M20,$A9)</f>
        <v>23.099</v>
      </c>
      <c r="U9" s="980">
        <f>4*'ARP Timing'!T$11*VLOOKUP(U$1,'ARP Score'!$A$5:$M20,$A9)</f>
        <v>23.099</v>
      </c>
      <c r="V9" s="980">
        <f>4*'ARP Timing'!U$11*VLOOKUP(V$1,'ARP Score'!$A$5:$M20,$A9)</f>
        <v>10.766999999999999</v>
      </c>
      <c r="W9" s="980">
        <f t="shared" si="0"/>
        <v>152.74300000000005</v>
      </c>
    </row>
    <row r="10" spans="1:23" x14ac:dyDescent="0.35">
      <c r="A10" s="986">
        <v>11</v>
      </c>
      <c r="B10" s="982" t="s">
        <v>412</v>
      </c>
      <c r="C10" s="980">
        <f>4*'ARP Timing'!B$11*VLOOKUP(C$1,'ARP Score'!$A$5:$M22,$A10)</f>
        <v>0</v>
      </c>
      <c r="D10" s="980">
        <f>4*'ARP Timing'!C$11*VLOOKUP(D$1,'ARP Score'!$A$5:$M22,$A10)</f>
        <v>59.256</v>
      </c>
      <c r="E10" s="980">
        <f>4*'ARP Timing'!D$11*VLOOKUP(E$1,'ARP Score'!$A$5:$M22,$A10)</f>
        <v>59.256</v>
      </c>
      <c r="F10" s="980">
        <f>4*'ARP Timing'!E$11*VLOOKUP(F$1,'ARP Score'!$A$5:$M22,$A10)</f>
        <v>35.671000000000006</v>
      </c>
      <c r="G10" s="980">
        <f>4*'ARP Timing'!F$11*VLOOKUP(G$1,'ARP Score'!$A$5:$M22,$A10)</f>
        <v>35.671000000000006</v>
      </c>
      <c r="H10" s="980">
        <f>4*'ARP Timing'!G$11*VLOOKUP(H$1,'ARP Score'!$A$5:$M22,$A10)</f>
        <v>35.671000000000006</v>
      </c>
      <c r="I10" s="980">
        <f>4*'ARP Timing'!H$11*VLOOKUP(I$1,'ARP Score'!$A$5:$M22,$A10)</f>
        <v>35.671000000000006</v>
      </c>
      <c r="J10" s="980">
        <f>4*'ARP Timing'!I$11*VLOOKUP(J$1,'ARP Score'!$A$5:$M22,$A10)</f>
        <v>24.216000000000001</v>
      </c>
      <c r="K10" s="980">
        <f>4*'ARP Timing'!J$11*VLOOKUP(K$1,'ARP Score'!$A$5:$M22,$A10)</f>
        <v>24.216000000000001</v>
      </c>
      <c r="L10" s="980">
        <f>4*'ARP Timing'!K$11*VLOOKUP(L$1,'ARP Score'!$A$5:$M22,$A10)</f>
        <v>24.216000000000001</v>
      </c>
      <c r="M10" s="980">
        <f>4*'ARP Timing'!L$11*VLOOKUP(M$1,'ARP Score'!$A$5:$M22,$A10)</f>
        <v>24.216000000000001</v>
      </c>
      <c r="N10" s="980">
        <f>4*'ARP Timing'!M$11*VLOOKUP(N$1,'ARP Score'!$A$5:$M22,$A10)</f>
        <v>9.6430000000000007</v>
      </c>
      <c r="O10" s="980">
        <f>4*'ARP Timing'!N$11*VLOOKUP(O$1,'ARP Score'!$A$5:$M22,$A10)</f>
        <v>9.6430000000000007</v>
      </c>
      <c r="P10" s="980">
        <f>4*'ARP Timing'!O$11*VLOOKUP(P$1,'ARP Score'!$A$5:$M22,$A10)</f>
        <v>9.6430000000000007</v>
      </c>
      <c r="Q10" s="980">
        <f>4*'ARP Timing'!P$11*VLOOKUP(Q$1,'ARP Score'!$A$5:$M22,$A10)</f>
        <v>9.6430000000000007</v>
      </c>
      <c r="R10" s="980">
        <f>4*'ARP Timing'!Q$11*VLOOKUP(R$1,'ARP Score'!$A$5:$M22,$A10)</f>
        <v>4.5789999999999997</v>
      </c>
      <c r="S10" s="980">
        <f>4*'ARP Timing'!R$11*VLOOKUP(S$1,'ARP Score'!$A$5:$M22,$A10)</f>
        <v>4.5789999999999997</v>
      </c>
      <c r="T10" s="980">
        <f>4*'ARP Timing'!S$11*VLOOKUP(T$1,'ARP Score'!$A$5:$M22,$A10)</f>
        <v>4.5789999999999997</v>
      </c>
      <c r="U10" s="980">
        <f>4*'ARP Timing'!T$11*VLOOKUP(U$1,'ARP Score'!$A$5:$M22,$A10)</f>
        <v>4.5789999999999997</v>
      </c>
      <c r="V10" s="980">
        <f>4*'ARP Timing'!U$11*VLOOKUP(V$1,'ARP Score'!$A$5:$M22,$A10)</f>
        <v>2.9130000000000003</v>
      </c>
      <c r="W10" s="980">
        <f t="shared" si="0"/>
        <v>103.73700000000002</v>
      </c>
    </row>
    <row r="11" spans="1:23" x14ac:dyDescent="0.35">
      <c r="A11" s="939">
        <v>12</v>
      </c>
      <c r="B11" s="14" t="s">
        <v>159</v>
      </c>
      <c r="C11" s="980">
        <f>4*'ARP Timing'!B12*VLOOKUP(C$1,'ARP Score'!$A$5:$M20,$A11)</f>
        <v>103</v>
      </c>
      <c r="D11" s="980">
        <f>4*'ARP Timing'!C12*VLOOKUP(D$1,'ARP Score'!$A$5:$M20,$A11)</f>
        <v>0</v>
      </c>
      <c r="E11" s="980">
        <f>4*'ARP Timing'!D12*VLOOKUP(E$1,'ARP Score'!$A$5:$M20,$A11)</f>
        <v>0</v>
      </c>
      <c r="F11" s="980">
        <f>4*'ARP Timing'!E12*VLOOKUP(F$1,'ARP Score'!$A$5:$M20,$A11)</f>
        <v>0</v>
      </c>
      <c r="G11" s="980">
        <f>4*'ARP Timing'!F12*VLOOKUP(G$1,'ARP Score'!$A$5:$M20,$A11)</f>
        <v>0</v>
      </c>
      <c r="H11" s="980">
        <f>4*'ARP Timing'!G12*VLOOKUP(H$1,'ARP Score'!$A$5:$M20,$A11)</f>
        <v>0</v>
      </c>
      <c r="I11" s="980">
        <f>4*'ARP Timing'!H12*VLOOKUP(I$1,'ARP Score'!$A$5:$M20,$A11)</f>
        <v>0</v>
      </c>
      <c r="J11" s="980">
        <f>4*'ARP Timing'!I12*VLOOKUP(J$1,'ARP Score'!$A$5:$M20,$A11)</f>
        <v>0</v>
      </c>
      <c r="K11" s="980">
        <f>4*'ARP Timing'!J12*VLOOKUP(K$1,'ARP Score'!$A$5:$M20,$A11)</f>
        <v>0</v>
      </c>
      <c r="L11" s="980">
        <f>4*'ARP Timing'!K12*VLOOKUP(L$1,'ARP Score'!$A$5:$M20,$A11)</f>
        <v>0</v>
      </c>
      <c r="M11" s="980">
        <f>4*'ARP Timing'!L12*VLOOKUP(M$1,'ARP Score'!$A$5:$M20,$A11)</f>
        <v>0</v>
      </c>
      <c r="N11" s="980">
        <f>4*'ARP Timing'!M12*VLOOKUP(N$1,'ARP Score'!$A$5:$M20,$A11)</f>
        <v>0</v>
      </c>
      <c r="O11" s="980">
        <f>4*'ARP Timing'!N12*VLOOKUP(O$1,'ARP Score'!$A$5:$M20,$A11)</f>
        <v>0</v>
      </c>
      <c r="P11" s="980">
        <f>4*'ARP Timing'!O12*VLOOKUP(P$1,'ARP Score'!$A$5:$M20,$A11)</f>
        <v>0</v>
      </c>
      <c r="Q11" s="980">
        <f>4*'ARP Timing'!P12*VLOOKUP(Q$1,'ARP Score'!$A$5:$M20,$A11)</f>
        <v>0</v>
      </c>
      <c r="R11" s="980">
        <f>4*'ARP Timing'!Q12*VLOOKUP(R$1,'ARP Score'!$A$5:$M20,$A11)</f>
        <v>0</v>
      </c>
      <c r="S11" s="980">
        <f>4*'ARP Timing'!R12*VLOOKUP(S$1,'ARP Score'!$A$5:$M20,$A11)</f>
        <v>0</v>
      </c>
      <c r="T11" s="980">
        <f>4*'ARP Timing'!S12*VLOOKUP(T$1,'ARP Score'!$A$5:$M20,$A11)</f>
        <v>0</v>
      </c>
      <c r="U11" s="980">
        <f>4*'ARP Timing'!T12*VLOOKUP(U$1,'ARP Score'!$A$5:$M20,$A11)</f>
        <v>0</v>
      </c>
      <c r="V11" s="980">
        <f>4*'ARP Timing'!U12*VLOOKUP(V$1,'ARP Score'!$A$5:$M20,$A11)</f>
        <v>0</v>
      </c>
      <c r="W11" s="980">
        <f t="shared" si="0"/>
        <v>25.75</v>
      </c>
    </row>
    <row r="12" spans="1:23" x14ac:dyDescent="0.35">
      <c r="A12" s="939">
        <v>13</v>
      </c>
      <c r="B12" s="34" t="s">
        <v>109</v>
      </c>
      <c r="C12" s="980">
        <f>4*'ARP Timing'!B13*VLOOKUP(C$1,'ARP Score'!$A$5:$M21,$A12)</f>
        <v>0</v>
      </c>
      <c r="D12" s="980">
        <f>4*'ARP Timing'!C13*VLOOKUP(D$1,'ARP Score'!$A$5:$M21,$A12)</f>
        <v>51.102400000000003</v>
      </c>
      <c r="E12" s="980">
        <f>4*'ARP Timing'!D13*VLOOKUP(E$1,'ARP Score'!$A$5:$M21,$A12)</f>
        <v>76.653599999999997</v>
      </c>
      <c r="F12" s="980">
        <f>4*'ARP Timing'!E13*VLOOKUP(F$1,'ARP Score'!$A$5:$M21,$A12)</f>
        <v>90.260800000000003</v>
      </c>
      <c r="G12" s="980">
        <f>4*'ARP Timing'!F13*VLOOKUP(G$1,'ARP Score'!$A$5:$M21,$A12)</f>
        <v>67.695599999999999</v>
      </c>
      <c r="H12" s="980">
        <f>4*'ARP Timing'!G13*VLOOKUP(H$1,'ARP Score'!$A$5:$M21,$A12)</f>
        <v>45.130400000000002</v>
      </c>
      <c r="I12" s="980">
        <f>4*'ARP Timing'!H13*VLOOKUP(I$1,'ARP Score'!$A$5:$M21,$A12)</f>
        <v>22.565200000000001</v>
      </c>
      <c r="J12" s="980">
        <f>4*'ARP Timing'!I13*VLOOKUP(J$1,'ARP Score'!$A$5:$M21,$A12)</f>
        <v>15.652999999999999</v>
      </c>
      <c r="K12" s="980">
        <f>4*'ARP Timing'!J13*VLOOKUP(K$1,'ARP Score'!$A$5:$M21,$A12)</f>
        <v>15.652999999999999</v>
      </c>
      <c r="L12" s="980">
        <f>4*'ARP Timing'!K13*VLOOKUP(L$1,'ARP Score'!$A$5:$M21,$A12)</f>
        <v>15.652999999999999</v>
      </c>
      <c r="M12" s="980">
        <f>4*'ARP Timing'!L13*VLOOKUP(M$1,'ARP Score'!$A$5:$M21,$A12)</f>
        <v>15.652999999999999</v>
      </c>
      <c r="N12" s="980">
        <f>4*'ARP Timing'!M13*VLOOKUP(N$1,'ARP Score'!$A$5:$M21,$A12)</f>
        <v>3.9320000000000004</v>
      </c>
      <c r="O12" s="980">
        <f>4*'ARP Timing'!N13*VLOOKUP(O$1,'ARP Score'!$A$5:$M21,$A12)</f>
        <v>3.9320000000000004</v>
      </c>
      <c r="P12" s="980">
        <f>4*'ARP Timing'!O13*VLOOKUP(P$1,'ARP Score'!$A$5:$M21,$A12)</f>
        <v>3.9320000000000004</v>
      </c>
      <c r="Q12" s="980">
        <f>4*'ARP Timing'!P13*VLOOKUP(Q$1,'ARP Score'!$A$5:$M21,$A12)</f>
        <v>3.9320000000000004</v>
      </c>
      <c r="R12" s="980">
        <f>4*'ARP Timing'!Q13*VLOOKUP(R$1,'ARP Score'!$A$5:$M21,$A12)</f>
        <v>-0.74299999999999988</v>
      </c>
      <c r="S12" s="980">
        <f>4*'ARP Timing'!R13*VLOOKUP(S$1,'ARP Score'!$A$5:$M21,$A12)</f>
        <v>-0.74299999999999988</v>
      </c>
      <c r="T12" s="980">
        <f>4*'ARP Timing'!S13*VLOOKUP(T$1,'ARP Score'!$A$5:$M21,$A12)</f>
        <v>-0.74299999999999988</v>
      </c>
      <c r="U12" s="980">
        <f>4*'ARP Timing'!T13*VLOOKUP(U$1,'ARP Score'!$A$5:$M21,$A12)</f>
        <v>-0.74299999999999988</v>
      </c>
      <c r="V12" s="980">
        <f>4*'ARP Timing'!U13*VLOOKUP(V$1,'ARP Score'!$A$5:$M21,$A12)</f>
        <v>-21.606000000000002</v>
      </c>
      <c r="W12" s="980">
        <f t="shared" si="0"/>
        <v>107.19400000000005</v>
      </c>
    </row>
    <row r="13" spans="1:23" x14ac:dyDescent="0.35">
      <c r="A13" s="939">
        <v>15</v>
      </c>
      <c r="B13" s="939" t="s">
        <v>836</v>
      </c>
      <c r="C13" s="980">
        <f>0.3*'ARP Score'!$N5*4*'ARP Timing'!B6</f>
        <v>0</v>
      </c>
      <c r="D13" s="980">
        <f>0.3*'ARP Score'!$N5*4*'ARP Timing'!C6</f>
        <v>1.7544</v>
      </c>
      <c r="E13" s="980">
        <f>0.3*'ARP Score'!$N5*4*'ARP Timing'!D6</f>
        <v>2.3255999999999997</v>
      </c>
      <c r="F13" s="980">
        <f>0.3*'ARP Score'!$N6*4*'ARP Timing'!E6</f>
        <v>1.5299999999999998</v>
      </c>
      <c r="G13" s="980">
        <f>0.3*'ARP Score'!$N6*4*'ARP Timing'!F6</f>
        <v>1.5299999999999998</v>
      </c>
      <c r="H13" s="980">
        <f>0.3*'ARP Score'!$N6*4*'ARP Timing'!G6</f>
        <v>1.5299999999999998</v>
      </c>
      <c r="I13" s="980">
        <f>0.3*'ARP Score'!$N6*4*'ARP Timing'!H6</f>
        <v>1.5299999999999998</v>
      </c>
      <c r="J13" s="980">
        <f>0.3*'ARP Score'!$N7*4*'ARP Timing'!I6</f>
        <v>0</v>
      </c>
      <c r="K13" s="980">
        <f>0.3*'ARP Score'!$N7*4*'ARP Timing'!J6</f>
        <v>0</v>
      </c>
      <c r="L13" s="980">
        <f>0.3*'ARP Score'!$N7*4*'ARP Timing'!K6</f>
        <v>0</v>
      </c>
      <c r="M13" s="980">
        <f>0.3*'ARP Score'!$N7*4*'ARP Timing'!L6</f>
        <v>0</v>
      </c>
      <c r="N13" s="980">
        <f>0.3*'ARP Score'!$N7*4*'ARP Timing'!M6</f>
        <v>0</v>
      </c>
      <c r="O13" s="980">
        <f>0.3*'ARP Score'!$N7*4*'ARP Timing'!N6</f>
        <v>0</v>
      </c>
      <c r="P13" s="980">
        <f>0.3*'ARP Score'!$N7*4*'ARP Timing'!O6</f>
        <v>0</v>
      </c>
      <c r="Q13" s="980">
        <f>0.3*'ARP Score'!$N7*4*'ARP Timing'!P6</f>
        <v>0</v>
      </c>
      <c r="R13" s="980">
        <f>0.3*'ARP Score'!$N7*4*'ARP Timing'!Q6</f>
        <v>0</v>
      </c>
      <c r="S13" s="980">
        <f>0.3*'ARP Score'!$N7*4*'ARP Timing'!R6</f>
        <v>0</v>
      </c>
      <c r="T13" s="980">
        <f>0.3*'ARP Score'!$N7*4*'ARP Timing'!S6</f>
        <v>0</v>
      </c>
      <c r="U13" s="980">
        <f>0.3*'ARP Score'!$N7*4*'ARP Timing'!T6</f>
        <v>0</v>
      </c>
      <c r="V13" s="980">
        <f>0.3*'ARP Score'!$N7*4*'ARP Timing'!U6</f>
        <v>0</v>
      </c>
      <c r="W13" s="980">
        <f t="shared" si="0"/>
        <v>2.5499999999999994</v>
      </c>
    </row>
    <row r="14" spans="1:23" x14ac:dyDescent="0.35">
      <c r="A14" s="939">
        <v>14</v>
      </c>
      <c r="B14" s="939" t="s">
        <v>837</v>
      </c>
      <c r="C14" s="980">
        <f>C13/0.3*0.2</f>
        <v>0</v>
      </c>
      <c r="D14" s="980">
        <f t="shared" ref="D14:F14" si="1">D13/0.3*0.2</f>
        <v>1.1696</v>
      </c>
      <c r="E14" s="980">
        <f t="shared" si="1"/>
        <v>1.5503999999999998</v>
      </c>
      <c r="F14" s="980">
        <f t="shared" si="1"/>
        <v>1.02</v>
      </c>
      <c r="G14" s="980">
        <f t="shared" ref="G14" si="2">G13/0.3*0.2</f>
        <v>1.02</v>
      </c>
      <c r="H14" s="980">
        <f t="shared" ref="H14" si="3">H13/0.3*0.2</f>
        <v>1.02</v>
      </c>
      <c r="I14" s="980">
        <f t="shared" ref="I14" si="4">I13/0.3*0.2</f>
        <v>1.02</v>
      </c>
      <c r="J14" s="980">
        <f t="shared" ref="J14" si="5">J13/0.3*0.2</f>
        <v>0</v>
      </c>
      <c r="K14" s="980">
        <f t="shared" ref="K14" si="6">K13/0.3*0.2</f>
        <v>0</v>
      </c>
      <c r="L14" s="980">
        <f t="shared" ref="L14" si="7">L13/0.3*0.2</f>
        <v>0</v>
      </c>
      <c r="M14" s="980">
        <f t="shared" ref="M14" si="8">M13/0.3*0.2</f>
        <v>0</v>
      </c>
      <c r="N14" s="980">
        <f t="shared" ref="N14" si="9">N13/0.3*0.2</f>
        <v>0</v>
      </c>
      <c r="O14" s="980">
        <f t="shared" ref="O14" si="10">O13/0.3*0.2</f>
        <v>0</v>
      </c>
      <c r="P14" s="980">
        <f t="shared" ref="P14" si="11">P13/0.3*0.2</f>
        <v>0</v>
      </c>
      <c r="Q14" s="980">
        <f t="shared" ref="Q14" si="12">Q13/0.3*0.2</f>
        <v>0</v>
      </c>
      <c r="R14" s="980">
        <f t="shared" ref="R14" si="13">R13/0.3*0.2</f>
        <v>0</v>
      </c>
      <c r="S14" s="980">
        <f t="shared" ref="S14" si="14">S13/0.3*0.2</f>
        <v>0</v>
      </c>
      <c r="T14" s="980">
        <f t="shared" ref="T14" si="15">T13/0.3*0.2</f>
        <v>0</v>
      </c>
      <c r="U14" s="980">
        <f t="shared" ref="U14" si="16">U13/0.3*0.2</f>
        <v>0</v>
      </c>
      <c r="V14" s="980">
        <f t="shared" ref="V14" si="17">V13/0.3*0.2</f>
        <v>0</v>
      </c>
      <c r="W14" s="980">
        <f t="shared" si="0"/>
        <v>1.6999999999999997</v>
      </c>
    </row>
    <row r="15" spans="1:23" x14ac:dyDescent="0.35">
      <c r="A15" s="939">
        <v>14</v>
      </c>
      <c r="B15" s="939" t="s">
        <v>533</v>
      </c>
      <c r="C15" s="980">
        <f>C14/0.2*0.5</f>
        <v>0</v>
      </c>
      <c r="D15" s="980">
        <f t="shared" ref="D15:F15" si="18">D14/0.2*0.5</f>
        <v>2.9239999999999999</v>
      </c>
      <c r="E15" s="980">
        <f t="shared" si="18"/>
        <v>3.8759999999999994</v>
      </c>
      <c r="F15" s="980">
        <f t="shared" si="18"/>
        <v>2.5499999999999998</v>
      </c>
      <c r="G15" s="980">
        <f t="shared" ref="G15" si="19">G14/0.2*0.5</f>
        <v>2.5499999999999998</v>
      </c>
      <c r="H15" s="980">
        <f t="shared" ref="H15" si="20">H14/0.2*0.5</f>
        <v>2.5499999999999998</v>
      </c>
      <c r="I15" s="980">
        <f t="shared" ref="I15" si="21">I14/0.2*0.5</f>
        <v>2.5499999999999998</v>
      </c>
      <c r="J15" s="980">
        <f t="shared" ref="J15" si="22">J14/0.2*0.5</f>
        <v>0</v>
      </c>
      <c r="K15" s="980">
        <f t="shared" ref="K15" si="23">K14/0.2*0.5</f>
        <v>0</v>
      </c>
      <c r="L15" s="980">
        <f t="shared" ref="L15" si="24">L14/0.2*0.5</f>
        <v>0</v>
      </c>
      <c r="M15" s="980">
        <f t="shared" ref="M15" si="25">M14/0.2*0.5</f>
        <v>0</v>
      </c>
      <c r="N15" s="980">
        <f t="shared" ref="N15" si="26">N14/0.2*0.5</f>
        <v>0</v>
      </c>
      <c r="O15" s="980">
        <f t="shared" ref="O15" si="27">O14/0.2*0.5</f>
        <v>0</v>
      </c>
      <c r="P15" s="980">
        <f t="shared" ref="P15" si="28">P14/0.2*0.5</f>
        <v>0</v>
      </c>
      <c r="Q15" s="980">
        <f t="shared" ref="Q15" si="29">Q14/0.2*0.5</f>
        <v>0</v>
      </c>
      <c r="R15" s="980">
        <f t="shared" ref="R15" si="30">R14/0.2*0.5</f>
        <v>0</v>
      </c>
      <c r="S15" s="980">
        <f t="shared" ref="S15" si="31">S14/0.2*0.5</f>
        <v>0</v>
      </c>
      <c r="T15" s="980">
        <f t="shared" ref="T15" si="32">T14/0.2*0.5</f>
        <v>0</v>
      </c>
      <c r="U15" s="980">
        <f t="shared" ref="U15" si="33">U14/0.2*0.5</f>
        <v>0</v>
      </c>
      <c r="V15" s="980">
        <f t="shared" ref="V15" si="34">V14/0.2*0.5</f>
        <v>0</v>
      </c>
      <c r="W15" s="980">
        <f t="shared" si="0"/>
        <v>4.25</v>
      </c>
    </row>
    <row r="16" spans="1:23" x14ac:dyDescent="0.35">
      <c r="C16" s="980"/>
      <c r="D16" s="980"/>
      <c r="E16" s="980"/>
      <c r="F16" s="980"/>
      <c r="G16" s="980"/>
      <c r="H16" s="980"/>
      <c r="I16" s="980"/>
      <c r="J16" s="980"/>
      <c r="K16" s="980"/>
      <c r="L16" s="980"/>
      <c r="M16" s="980"/>
      <c r="N16" s="980"/>
      <c r="O16" s="980"/>
      <c r="P16" s="980"/>
      <c r="Q16" s="980"/>
      <c r="R16" s="980"/>
      <c r="S16" s="980"/>
      <c r="T16" s="980"/>
      <c r="U16" s="980"/>
      <c r="V16" s="980"/>
      <c r="W16" s="980"/>
    </row>
    <row r="17" spans="1:23" x14ac:dyDescent="0.35">
      <c r="A17" s="939" t="s">
        <v>838</v>
      </c>
      <c r="C17" s="980"/>
      <c r="D17" s="980"/>
      <c r="E17" s="980"/>
      <c r="F17" s="980"/>
      <c r="G17" s="980"/>
      <c r="H17" s="980"/>
      <c r="I17" s="980"/>
      <c r="J17" s="980"/>
      <c r="K17" s="980"/>
      <c r="L17" s="980"/>
      <c r="M17" s="980"/>
      <c r="N17" s="980"/>
      <c r="O17" s="980"/>
      <c r="P17" s="980"/>
      <c r="Q17" s="980"/>
      <c r="R17" s="980"/>
      <c r="S17" s="980"/>
      <c r="T17" s="980"/>
      <c r="U17" s="980"/>
      <c r="V17" s="980"/>
      <c r="W17" s="980"/>
    </row>
    <row r="18" spans="1:23" x14ac:dyDescent="0.35">
      <c r="B18" s="449" t="s">
        <v>143</v>
      </c>
      <c r="C18" s="980">
        <f>'ARP Score'!$BG5/'ARP Score'!$G5*C6</f>
        <v>0</v>
      </c>
      <c r="D18" s="980">
        <f>'ARP Score'!$BG5/'ARP Score'!$G5*D6</f>
        <v>2.2132800000000001</v>
      </c>
      <c r="E18" s="980">
        <f>'ARP Score'!$BG5/'ARP Score'!$G5*E6</f>
        <v>10.082720000000002</v>
      </c>
      <c r="F18" s="980">
        <f>'ARP Score'!$BG6/'ARP Score'!$G6*F6</f>
        <v>7.1439999999999992</v>
      </c>
      <c r="G18" s="980">
        <f>'ARP Score'!$BG6/'ARP Score'!$G6*G6</f>
        <v>7.1439999999999992</v>
      </c>
      <c r="H18" s="980">
        <f>'ARP Score'!$BG6/'ARP Score'!$G6*H6</f>
        <v>7.1439999999999992</v>
      </c>
      <c r="I18" s="980">
        <f>'ARP Score'!$BG6/'ARP Score'!$G6*I6</f>
        <v>7.1439999999999992</v>
      </c>
      <c r="J18" s="980">
        <f>'ARP Score'!$BG7/'ARP Score'!$G7*J6</f>
        <v>0</v>
      </c>
      <c r="K18" s="980">
        <f>'ARP Score'!$BG7/'ARP Score'!$G7*K6</f>
        <v>0</v>
      </c>
      <c r="L18" s="980">
        <f>'ARP Score'!$BG7/'ARP Score'!$G7*L6</f>
        <v>0</v>
      </c>
      <c r="M18" s="980">
        <f>'ARP Score'!$BG7/'ARP Score'!$G7*M6</f>
        <v>0</v>
      </c>
      <c r="N18" s="980"/>
      <c r="O18" s="980"/>
      <c r="P18" s="980"/>
      <c r="Q18" s="980"/>
      <c r="R18" s="980"/>
      <c r="S18" s="980"/>
      <c r="T18" s="980"/>
      <c r="U18" s="980"/>
      <c r="V18" s="980"/>
      <c r="W18" s="980"/>
    </row>
    <row r="19" spans="1:23" x14ac:dyDescent="0.35">
      <c r="B19" s="449" t="s">
        <v>839</v>
      </c>
      <c r="C19" s="980">
        <f>'ARP Score'!$BI5/'ARP Score'!$G5*C6</f>
        <v>0</v>
      </c>
      <c r="D19" s="980">
        <f>'ARP Score'!$BI5/'ARP Score'!$G5*D6</f>
        <v>15.128640000000001</v>
      </c>
      <c r="E19" s="980">
        <f>'ARP Score'!$BI5/'ARP Score'!$G5*E6</f>
        <v>68.919360000000012</v>
      </c>
      <c r="F19" s="980">
        <f>'ARP Score'!$BI6/'ARP Score'!$G6*F6</f>
        <v>5.6120000000000001</v>
      </c>
      <c r="G19" s="980">
        <f>'ARP Score'!$BI6/'ARP Score'!$G6*G6</f>
        <v>5.6120000000000001</v>
      </c>
      <c r="H19" s="980">
        <f>'ARP Score'!$BI6/'ARP Score'!$G6*H6</f>
        <v>5.6120000000000001</v>
      </c>
      <c r="I19" s="980">
        <f>'ARP Score'!$BI6/'ARP Score'!$G6*I6</f>
        <v>5.6120000000000001</v>
      </c>
      <c r="J19" s="980">
        <f>'ARP Score'!$B7/'ARP Score'!$G7*J6</f>
        <v>0.48599999999999993</v>
      </c>
      <c r="K19" s="980">
        <f>'ARP Score'!$B7/'ARP Score'!$G7*K6</f>
        <v>0.48599999999999993</v>
      </c>
      <c r="L19" s="980">
        <f>'ARP Score'!$B7/'ARP Score'!$G7*L6</f>
        <v>0.48599999999999993</v>
      </c>
      <c r="M19" s="980">
        <f>'ARP Score'!$B7/'ARP Score'!$G7*M6</f>
        <v>0.48599999999999993</v>
      </c>
      <c r="N19" s="980">
        <f>'ARP Score'!$B8/'ARP Score'!$G8*N6</f>
        <v>0</v>
      </c>
      <c r="O19" s="980"/>
      <c r="P19" s="980"/>
      <c r="Q19" s="980"/>
      <c r="R19" s="980"/>
      <c r="S19" s="980"/>
      <c r="T19" s="980"/>
      <c r="U19" s="980"/>
      <c r="V19" s="980"/>
      <c r="W19" s="980"/>
    </row>
    <row r="20" spans="1:23" x14ac:dyDescent="0.35">
      <c r="B20" s="449" t="s">
        <v>148</v>
      </c>
      <c r="C20" s="980">
        <f>'ARP Score'!$BF5/'ARP Score'!$G5*C6</f>
        <v>0</v>
      </c>
      <c r="D20" s="980">
        <f>'ARP Score'!$BF5/'ARP Score'!$G5*D6</f>
        <v>3.2479199999999997</v>
      </c>
      <c r="E20" s="980">
        <f>'ARP Score'!$BF5/'ARP Score'!$G5*E6</f>
        <v>14.796080000000002</v>
      </c>
      <c r="F20" s="980">
        <f>'ARP Score'!$BF6/'ARP Score'!$G6*F6</f>
        <v>1.7329999999999999</v>
      </c>
      <c r="G20" s="980">
        <f>'ARP Score'!$BF6/'ARP Score'!$G6*G6</f>
        <v>1.7329999999999999</v>
      </c>
      <c r="H20" s="980">
        <f>'ARP Score'!$BF6/'ARP Score'!$G6*H6</f>
        <v>1.7329999999999999</v>
      </c>
      <c r="I20" s="980">
        <f>'ARP Score'!$BF6/'ARP Score'!$G6*I6</f>
        <v>1.7329999999999999</v>
      </c>
      <c r="J20" s="980">
        <f>'ARP Score'!$BF7/'ARP Score'!$G7*J6</f>
        <v>0</v>
      </c>
      <c r="K20" s="980">
        <f>'ARP Score'!$BF7/'ARP Score'!$G7*K6</f>
        <v>0</v>
      </c>
      <c r="L20" s="980">
        <f>'ARP Score'!$BF7/'ARP Score'!$G7*L6</f>
        <v>0</v>
      </c>
      <c r="M20" s="980">
        <f>'ARP Score'!$BF7/'ARP Score'!$G7*M6</f>
        <v>0</v>
      </c>
      <c r="N20" s="980"/>
      <c r="O20" s="980"/>
      <c r="P20" s="980"/>
      <c r="Q20" s="980"/>
      <c r="R20" s="980"/>
      <c r="S20" s="980"/>
      <c r="T20" s="980"/>
      <c r="U20" s="980"/>
      <c r="V20" s="980"/>
      <c r="W20" s="980"/>
    </row>
    <row r="21" spans="1:23" x14ac:dyDescent="0.35">
      <c r="B21" s="987" t="s">
        <v>475</v>
      </c>
      <c r="C21" s="980">
        <f>15/40*(C6*'ARP Score'!$BD5/'ARP Score'!$G5)</f>
        <v>0</v>
      </c>
      <c r="D21" s="980">
        <f>15/40*(D6*('ARP Score'!$BD5+'ARP Score'!$BE5)/'ARP Score'!$G5)</f>
        <v>13.2921</v>
      </c>
      <c r="E21" s="980">
        <f>15/40*(E6*('ARP Score'!$BD5+'ARP Score'!$BE5)/'ARP Score'!$G5)</f>
        <v>60.552900000000008</v>
      </c>
      <c r="F21" s="980">
        <f>15/40*(F6*('ARP Score'!$BD6+'ARP Score'!$BE6)/'ARP Score'!$G6)</f>
        <v>1.0687500000000001</v>
      </c>
      <c r="G21" s="980">
        <f>15/40*(G6*('ARP Score'!$BD6+'ARP Score'!$BE6)/'ARP Score'!$G6)</f>
        <v>1.0687500000000001</v>
      </c>
      <c r="H21" s="980">
        <f>15/40*(H6*('ARP Score'!$BD6+'ARP Score'!$BE6)/'ARP Score'!$G6)</f>
        <v>1.0687500000000001</v>
      </c>
      <c r="I21" s="980">
        <f>15/40*(I6*('ARP Score'!$BD6+'ARP Score'!$BE6)/'ARP Score'!$G6)</f>
        <v>1.0687500000000001</v>
      </c>
      <c r="J21" s="980">
        <f>15/40*(J6*('ARP Score'!$BD7+'ARP Score'!$BE7)/'ARP Score'!$G7)</f>
        <v>0.78750000000000009</v>
      </c>
      <c r="K21" s="980">
        <f>15/40*(K6*('ARP Score'!$BD7+'ARP Score'!$BE7)/'ARP Score'!$G7)</f>
        <v>0.78750000000000009</v>
      </c>
      <c r="L21" s="980">
        <f>15/40*(L6*('ARP Score'!$BD7+'ARP Score'!$BE7)/'ARP Score'!$G7)</f>
        <v>0.78750000000000009</v>
      </c>
      <c r="M21" s="980">
        <f>15/40*(M6*('ARP Score'!$BD7+'ARP Score'!$BE7)/'ARP Score'!$G7)</f>
        <v>0.78750000000000009</v>
      </c>
      <c r="N21" s="980"/>
      <c r="O21" s="980"/>
      <c r="P21" s="980"/>
      <c r="Q21" s="980"/>
      <c r="R21" s="980"/>
      <c r="S21" s="980"/>
      <c r="T21" s="980"/>
      <c r="U21" s="980"/>
      <c r="V21" s="980"/>
      <c r="W21" s="980"/>
    </row>
    <row r="22" spans="1:23" x14ac:dyDescent="0.35">
      <c r="B22" s="987" t="s">
        <v>840</v>
      </c>
      <c r="C22" s="980"/>
      <c r="D22" s="980">
        <f>D21/15*25</f>
        <v>22.153499999999998</v>
      </c>
      <c r="E22" s="980">
        <f>E21/15*25</f>
        <v>100.92150000000002</v>
      </c>
      <c r="F22" s="980">
        <f>F21/15*25</f>
        <v>1.7812500000000002</v>
      </c>
      <c r="G22" s="980">
        <f>G21/15*25</f>
        <v>1.7812500000000002</v>
      </c>
      <c r="H22" s="980">
        <f t="shared" ref="H22:J22" si="35">H21/15*25</f>
        <v>1.7812500000000002</v>
      </c>
      <c r="I22" s="980">
        <f t="shared" si="35"/>
        <v>1.7812500000000002</v>
      </c>
      <c r="J22" s="980">
        <f t="shared" si="35"/>
        <v>1.3125000000000002</v>
      </c>
      <c r="K22" s="980">
        <f t="shared" ref="K22" si="36">K21/15*25</f>
        <v>1.3125000000000002</v>
      </c>
      <c r="L22" s="980">
        <f t="shared" ref="L22" si="37">L21/15*25</f>
        <v>1.3125000000000002</v>
      </c>
      <c r="M22" s="980">
        <f t="shared" ref="M22" si="38">M21/15*25</f>
        <v>1.3125000000000002</v>
      </c>
      <c r="N22" s="980"/>
      <c r="O22" s="980"/>
      <c r="P22" s="980"/>
      <c r="Q22" s="980"/>
      <c r="R22" s="980"/>
      <c r="S22" s="980"/>
      <c r="T22" s="980"/>
      <c r="U22" s="980"/>
      <c r="V22" s="980"/>
      <c r="W22" s="980"/>
    </row>
    <row r="23" spans="1:23" x14ac:dyDescent="0.35">
      <c r="B23" s="449" t="s">
        <v>487</v>
      </c>
      <c r="C23" s="980">
        <f>'ARP Score'!$BB5/'ARP Score'!$G5*C6</f>
        <v>0</v>
      </c>
      <c r="D23" s="980">
        <f>'ARP Score'!$BB5/'ARP Score'!$G5*D6</f>
        <v>2.9519999999999995</v>
      </c>
      <c r="E23" s="980">
        <f>'ARP Score'!$BB5/'ARP Score'!$G5*E6</f>
        <v>13.448</v>
      </c>
      <c r="F23" s="980">
        <f>'ARP Score'!$BB6/'ARP Score'!$G6*F6</f>
        <v>11.3</v>
      </c>
      <c r="G23" s="980">
        <f>'ARP Score'!$BB6/'ARP Score'!$G6*G6</f>
        <v>11.3</v>
      </c>
      <c r="H23" s="980">
        <f>'ARP Score'!$BB6/'ARP Score'!$G6*H6</f>
        <v>11.3</v>
      </c>
      <c r="I23" s="980">
        <f>'ARP Score'!$BB6/'ARP Score'!$G6*I6</f>
        <v>11.3</v>
      </c>
      <c r="J23" s="980">
        <f>'ARP Score'!$BB7/'ARP Score'!$G7*J6</f>
        <v>8.4</v>
      </c>
      <c r="K23" s="980">
        <f>'ARP Score'!$BB7/'ARP Score'!$G7*K6</f>
        <v>8.4</v>
      </c>
      <c r="L23" s="980">
        <f>'ARP Score'!$BB7/'ARP Score'!$G7*L6</f>
        <v>8.4</v>
      </c>
      <c r="M23" s="980">
        <f>'ARP Score'!$BB7/'ARP Score'!$G7*M6</f>
        <v>8.4</v>
      </c>
      <c r="N23" s="980">
        <f>'ARP Score'!$BB8/'ARP Score'!$G8*N6</f>
        <v>0.2</v>
      </c>
      <c r="O23" s="980">
        <f>'ARP Score'!$BB8/'ARP Score'!$G8*O6</f>
        <v>0.2</v>
      </c>
      <c r="P23" s="980">
        <f>'ARP Score'!$BB8/'ARP Score'!$G8*P6</f>
        <v>0.2</v>
      </c>
      <c r="Q23" s="980">
        <f>'ARP Score'!$BB8/'ARP Score'!$G8*Q6</f>
        <v>0.2</v>
      </c>
      <c r="R23" s="980"/>
      <c r="S23" s="980"/>
      <c r="T23" s="980"/>
      <c r="U23" s="980"/>
      <c r="V23" s="980"/>
      <c r="W23" s="980"/>
    </row>
    <row r="24" spans="1:23" x14ac:dyDescent="0.35">
      <c r="B24" s="449" t="s">
        <v>488</v>
      </c>
      <c r="C24" s="980">
        <f>'ARP Score'!$BH5/'ARP Score'!$G5*C6</f>
        <v>0</v>
      </c>
      <c r="D24" s="980">
        <f>'ARP Score'!$BH5/'ARP Score'!$G5*D6</f>
        <v>-0.20447999999999997</v>
      </c>
      <c r="E24" s="980">
        <f>'ARP Score'!$BH5/'ARP Score'!$G5*E6</f>
        <v>-0.93152000000000001</v>
      </c>
      <c r="F24" s="980">
        <f>'ARP Score'!$BH6/'ARP Score'!$G6*F6</f>
        <v>81.608999999999995</v>
      </c>
      <c r="G24" s="980">
        <f>'ARP Score'!$BH6/'ARP Score'!$G6*G6</f>
        <v>81.608999999999995</v>
      </c>
      <c r="H24" s="980">
        <f>'ARP Score'!$BH6/'ARP Score'!$G6*H6</f>
        <v>81.608999999999995</v>
      </c>
      <c r="I24" s="980">
        <f>'ARP Score'!$BH6/'ARP Score'!$G6*I6</f>
        <v>81.608999999999995</v>
      </c>
      <c r="J24" s="980">
        <f>'ARP Score'!$BH7/'ARP Score'!$G7*J6</f>
        <v>1.3759999999999999</v>
      </c>
      <c r="K24" s="980">
        <f>'ARP Score'!$BH7/'ARP Score'!$G7*K6</f>
        <v>1.3759999999999999</v>
      </c>
      <c r="L24" s="980">
        <f>'ARP Score'!$BH7/'ARP Score'!$G7*L6</f>
        <v>1.3759999999999999</v>
      </c>
      <c r="M24" s="980">
        <f>'ARP Score'!$BH7/'ARP Score'!$G7*M6</f>
        <v>1.3759999999999999</v>
      </c>
      <c r="N24" s="980">
        <f>'ARP Score'!$BH8/'ARP Score'!$G8*N6</f>
        <v>-0.87500000000000011</v>
      </c>
      <c r="O24" s="980">
        <f>'ARP Score'!$BH8/'ARP Score'!$G8*O6</f>
        <v>-0.87500000000000011</v>
      </c>
      <c r="P24" s="980">
        <f>'ARP Score'!$BH8/'ARP Score'!$G8*P6</f>
        <v>-0.87500000000000011</v>
      </c>
      <c r="Q24" s="980">
        <f>'ARP Score'!$BH8/'ARP Score'!$G8*Q6</f>
        <v>-0.87500000000000011</v>
      </c>
      <c r="R24" s="980"/>
      <c r="S24" s="980"/>
      <c r="T24" s="980"/>
      <c r="U24" s="980"/>
      <c r="V24" s="980"/>
      <c r="W24" s="980"/>
    </row>
    <row r="25" spans="1:23" x14ac:dyDescent="0.35">
      <c r="B25" s="449" t="s">
        <v>360</v>
      </c>
      <c r="C25" s="980">
        <f>SUM(C18:C24)</f>
        <v>0</v>
      </c>
      <c r="D25" s="980">
        <f t="shared" ref="D25:Q25" si="39">SUM(D18:D24)</f>
        <v>58.782959999999996</v>
      </c>
      <c r="E25" s="980">
        <f t="shared" si="39"/>
        <v>267.78904000000006</v>
      </c>
      <c r="F25" s="980">
        <f t="shared" si="39"/>
        <v>110.24799999999999</v>
      </c>
      <c r="G25" s="980">
        <f t="shared" si="39"/>
        <v>110.24799999999999</v>
      </c>
      <c r="H25" s="980">
        <f t="shared" si="39"/>
        <v>110.24799999999999</v>
      </c>
      <c r="I25" s="980">
        <f t="shared" si="39"/>
        <v>110.24799999999999</v>
      </c>
      <c r="J25" s="980">
        <f t="shared" si="39"/>
        <v>12.362</v>
      </c>
      <c r="K25" s="980">
        <f t="shared" si="39"/>
        <v>12.362</v>
      </c>
      <c r="L25" s="980">
        <f t="shared" si="39"/>
        <v>12.362</v>
      </c>
      <c r="M25" s="980">
        <f t="shared" si="39"/>
        <v>12.362</v>
      </c>
      <c r="N25" s="980">
        <f t="shared" si="39"/>
        <v>-0.67500000000000004</v>
      </c>
      <c r="O25" s="980">
        <f t="shared" si="39"/>
        <v>-0.67500000000000004</v>
      </c>
      <c r="P25" s="980">
        <f t="shared" si="39"/>
        <v>-0.67500000000000004</v>
      </c>
      <c r="Q25" s="980">
        <f t="shared" si="39"/>
        <v>-0.67500000000000004</v>
      </c>
      <c r="R25" s="980"/>
      <c r="S25" s="980"/>
      <c r="T25" s="980"/>
      <c r="U25" s="980"/>
      <c r="V25" s="980"/>
      <c r="W25" s="980"/>
    </row>
    <row r="26" spans="1:23" x14ac:dyDescent="0.35">
      <c r="D26" s="981">
        <f>D6-D25</f>
        <v>0</v>
      </c>
      <c r="E26" s="981">
        <f t="shared" ref="E26:M26" si="40">E6-E25</f>
        <v>0</v>
      </c>
      <c r="F26" s="981">
        <f t="shared" si="40"/>
        <v>0</v>
      </c>
      <c r="G26" s="981">
        <f t="shared" si="40"/>
        <v>0</v>
      </c>
      <c r="H26" s="981">
        <f t="shared" si="40"/>
        <v>0</v>
      </c>
      <c r="I26" s="981">
        <f t="shared" si="40"/>
        <v>0</v>
      </c>
      <c r="J26" s="981">
        <f t="shared" si="40"/>
        <v>0.36400000000000077</v>
      </c>
      <c r="K26" s="981">
        <f t="shared" si="40"/>
        <v>0.36400000000000077</v>
      </c>
      <c r="L26" s="981">
        <f t="shared" si="40"/>
        <v>0.36400000000000077</v>
      </c>
      <c r="M26" s="981">
        <f t="shared" si="40"/>
        <v>0.36400000000000077</v>
      </c>
    </row>
    <row r="27" spans="1:23" x14ac:dyDescent="0.35">
      <c r="B27" s="939" t="s">
        <v>841</v>
      </c>
      <c r="D27" s="122" t="s">
        <v>296</v>
      </c>
      <c r="E27" s="122" t="s">
        <v>180</v>
      </c>
      <c r="F27" s="122" t="s">
        <v>181</v>
      </c>
      <c r="G27" s="122" t="s">
        <v>182</v>
      </c>
      <c r="H27" s="122" t="s">
        <v>183</v>
      </c>
      <c r="I27" s="122" t="s">
        <v>184</v>
      </c>
      <c r="J27" s="122" t="s">
        <v>185</v>
      </c>
      <c r="K27" s="122" t="s">
        <v>186</v>
      </c>
      <c r="L27" s="122" t="s">
        <v>187</v>
      </c>
      <c r="M27" s="122" t="s">
        <v>188</v>
      </c>
      <c r="N27" s="122" t="s">
        <v>189</v>
      </c>
      <c r="O27" s="122" t="s">
        <v>190</v>
      </c>
      <c r="P27" s="122" t="s">
        <v>191</v>
      </c>
      <c r="Q27" s="122" t="s">
        <v>175</v>
      </c>
      <c r="R27" s="122" t="s">
        <v>176</v>
      </c>
      <c r="S27" s="122" t="s">
        <v>177</v>
      </c>
      <c r="T27" s="122" t="s">
        <v>832</v>
      </c>
      <c r="U27" s="122" t="s">
        <v>833</v>
      </c>
      <c r="V27" s="122" t="s">
        <v>834</v>
      </c>
    </row>
    <row r="28" spans="1:23" x14ac:dyDescent="0.35">
      <c r="B28" s="34"/>
      <c r="C28" s="981" t="s">
        <v>360</v>
      </c>
      <c r="D28" s="983">
        <f>SUM(D29:D43)</f>
        <v>5.8765000000000009</v>
      </c>
      <c r="E28" s="983">
        <f t="shared" ref="E28:V28" si="41">SUM(E29:E43)</f>
        <v>11.753000000000002</v>
      </c>
      <c r="F28" s="983">
        <f t="shared" si="41"/>
        <v>15.762320000000003</v>
      </c>
      <c r="G28" s="983">
        <f t="shared" si="41"/>
        <v>19.771640000000005</v>
      </c>
      <c r="H28" s="983">
        <f t="shared" si="41"/>
        <v>23.812229000000006</v>
      </c>
      <c r="I28" s="983">
        <f t="shared" si="41"/>
        <v>27.852818000000006</v>
      </c>
      <c r="J28" s="983">
        <f t="shared" si="41"/>
        <v>30.517977000000005</v>
      </c>
      <c r="K28" s="983">
        <f t="shared" si="41"/>
        <v>33.183136000000005</v>
      </c>
      <c r="L28" s="983">
        <f t="shared" si="41"/>
        <v>36.260924000000003</v>
      </c>
      <c r="M28" s="983">
        <f t="shared" si="41"/>
        <v>39.338711999999994</v>
      </c>
      <c r="N28" s="983">
        <f t="shared" si="41"/>
        <v>40.928439999999995</v>
      </c>
      <c r="O28" s="983">
        <f t="shared" si="41"/>
        <v>42.518167999999996</v>
      </c>
      <c r="P28" s="983">
        <f t="shared" si="41"/>
        <v>44.428388999999996</v>
      </c>
      <c r="Q28" s="983">
        <f t="shared" si="41"/>
        <v>46.338610000000003</v>
      </c>
      <c r="R28" s="983">
        <f t="shared" si="41"/>
        <v>47.279744500000007</v>
      </c>
      <c r="S28" s="983">
        <f t="shared" si="41"/>
        <v>46.283419000000009</v>
      </c>
      <c r="T28" s="983">
        <f t="shared" si="41"/>
        <v>45.578489500000011</v>
      </c>
      <c r="U28" s="983">
        <f t="shared" si="41"/>
        <v>45.454798000000011</v>
      </c>
      <c r="V28" s="983">
        <f t="shared" si="41"/>
        <v>45.360580000000013</v>
      </c>
    </row>
    <row r="29" spans="1:23" x14ac:dyDescent="0.35">
      <c r="A29" s="939">
        <v>2021</v>
      </c>
      <c r="B29" s="34" t="s">
        <v>842</v>
      </c>
      <c r="C29" s="981"/>
      <c r="D29" s="939">
        <f>($D$9+$D$10)*'ARP Timing'!B$16</f>
        <v>5.8765000000000009</v>
      </c>
      <c r="E29" s="939">
        <f>($D$9+$D$10)*'ARP Timing'!C$16</f>
        <v>5.8765000000000009</v>
      </c>
      <c r="F29" s="939">
        <f>($D$9+$D$10)*'ARP Timing'!D$16</f>
        <v>4.11355</v>
      </c>
      <c r="G29" s="939">
        <f>($D$9+$D$10)*'ARP Timing'!E$16</f>
        <v>4.11355</v>
      </c>
      <c r="H29" s="939">
        <f>($D$9+$D$10)*'ARP Timing'!F$16</f>
        <v>4.11355</v>
      </c>
      <c r="I29" s="939">
        <f>($D$9+$D$10)*'ARP Timing'!G$16</f>
        <v>4.11355</v>
      </c>
      <c r="J29" s="939">
        <f>($D$9+$D$10)*'ARP Timing'!H$16</f>
        <v>4.11355</v>
      </c>
      <c r="K29" s="939">
        <f>($D$9+$D$10)*'ARP Timing'!I$16</f>
        <v>4.11355</v>
      </c>
      <c r="L29" s="939">
        <f>($D$9+$D$10)*'ARP Timing'!J$16</f>
        <v>4.11355</v>
      </c>
      <c r="M29" s="939">
        <f>($D$9+$D$10)*'ARP Timing'!K$16</f>
        <v>4.11355</v>
      </c>
      <c r="N29" s="939">
        <f>($D$9+$D$10)*'ARP Timing'!L$16</f>
        <v>4.11355</v>
      </c>
      <c r="O29" s="939">
        <f>($D$9+$D$10)*'ARP Timing'!M$16</f>
        <v>4.11355</v>
      </c>
      <c r="P29" s="939">
        <f>($D$9+$D$10)*'ARP Timing'!N$16</f>
        <v>3.987625</v>
      </c>
      <c r="Q29" s="939">
        <f>($D$9+$D$10)*'ARP Timing'!O$16</f>
        <v>3.987625</v>
      </c>
      <c r="R29" s="939">
        <f>($D$9+$D$10)*'ARP Timing'!P$16</f>
        <v>3.987625</v>
      </c>
      <c r="S29" s="939">
        <f>($D$9+$D$10)*'ARP Timing'!Q$16</f>
        <v>3.987625</v>
      </c>
      <c r="T29" s="939">
        <f>($D$9+$D$10)*'ARP Timing'!R$16</f>
        <v>3.987625</v>
      </c>
      <c r="U29" s="939">
        <f>($D$9+$D$10)*'ARP Timing'!S$16</f>
        <v>3.987625</v>
      </c>
      <c r="V29" s="939">
        <f>($D$9+$D$10)*'ARP Timing'!T$16</f>
        <v>3.987625</v>
      </c>
    </row>
    <row r="30" spans="1:23" x14ac:dyDescent="0.35">
      <c r="B30" s="34" t="s">
        <v>379</v>
      </c>
      <c r="C30" s="981"/>
      <c r="E30" s="939">
        <f>($E$9+$E$10)*'ARP Timing'!B$16</f>
        <v>5.8765000000000009</v>
      </c>
      <c r="F30" s="939">
        <f>($E$9+$E$10)*'ARP Timing'!C$16</f>
        <v>5.8765000000000009</v>
      </c>
      <c r="G30" s="939">
        <f>($E$9+$E$10)*'ARP Timing'!D$16</f>
        <v>4.11355</v>
      </c>
      <c r="H30" s="939">
        <f>($E$9+$E$10)*'ARP Timing'!E$16</f>
        <v>4.11355</v>
      </c>
      <c r="I30" s="939">
        <f>($E$9+$E$10)*'ARP Timing'!F$16</f>
        <v>4.11355</v>
      </c>
      <c r="J30" s="939">
        <f>($E$9+$E$10)*'ARP Timing'!G$16</f>
        <v>4.11355</v>
      </c>
      <c r="K30" s="939">
        <f>($E$9+$E$10)*'ARP Timing'!H$16</f>
        <v>4.11355</v>
      </c>
      <c r="L30" s="939">
        <f>($E$9+$E$10)*'ARP Timing'!I$16</f>
        <v>4.11355</v>
      </c>
      <c r="M30" s="939">
        <f>($E$9+$E$10)*'ARP Timing'!J$16</f>
        <v>4.11355</v>
      </c>
      <c r="N30" s="939">
        <f>($E$9+$E$10)*'ARP Timing'!K$16</f>
        <v>4.11355</v>
      </c>
      <c r="O30" s="939">
        <f>($E$9+$E$10)*'ARP Timing'!L$16</f>
        <v>4.11355</v>
      </c>
      <c r="P30" s="939">
        <f>($E$9+$E$10)*'ARP Timing'!M$16</f>
        <v>4.11355</v>
      </c>
      <c r="Q30" s="939">
        <f>($E$9+$E$10)*'ARP Timing'!N$16</f>
        <v>3.987625</v>
      </c>
      <c r="R30" s="939">
        <f>($E$9+$E$10)*'ARP Timing'!O$16</f>
        <v>3.987625</v>
      </c>
      <c r="S30" s="939">
        <f>($E$9+$E$10)*'ARP Timing'!P$16</f>
        <v>3.987625</v>
      </c>
      <c r="T30" s="939">
        <f>($E$9+$E$10)*'ARP Timing'!Q$16</f>
        <v>3.987625</v>
      </c>
      <c r="U30" s="939">
        <f>($E$9+$E$10)*'ARP Timing'!R$16</f>
        <v>3.987625</v>
      </c>
      <c r="V30" s="939">
        <f>($E$9+$E$10)*'ARP Timing'!S$16</f>
        <v>3.987625</v>
      </c>
    </row>
    <row r="31" spans="1:23" x14ac:dyDescent="0.35">
      <c r="B31" s="34" t="s">
        <v>843</v>
      </c>
      <c r="C31" s="981"/>
      <c r="F31" s="939">
        <f>($F$9+$F$10)*'ARP Timing'!B$16</f>
        <v>5.7722700000000016</v>
      </c>
      <c r="G31" s="939">
        <f>($F$9+$F$10)*'ARP Timing'!C$16</f>
        <v>5.7722700000000016</v>
      </c>
      <c r="H31" s="939">
        <f>($F$9+$F$10)*'ARP Timing'!D$16</f>
        <v>4.0405890000000007</v>
      </c>
      <c r="I31" s="939">
        <f>($F$9+$F$10)*'ARP Timing'!E$16</f>
        <v>4.0405890000000007</v>
      </c>
      <c r="J31" s="939">
        <f>($F$9+$F$10)*'ARP Timing'!F$16</f>
        <v>4.0405890000000007</v>
      </c>
      <c r="K31" s="939">
        <f>($F$9+$F$10)*'ARP Timing'!G$16</f>
        <v>4.0405890000000007</v>
      </c>
      <c r="L31" s="939">
        <f>($F$9+$F$10)*'ARP Timing'!H$16</f>
        <v>4.0405890000000007</v>
      </c>
      <c r="M31" s="939">
        <f>($F$9+$F$10)*'ARP Timing'!I$16</f>
        <v>4.0405890000000007</v>
      </c>
      <c r="N31" s="939">
        <f>($F$9+$F$10)*'ARP Timing'!J$16</f>
        <v>4.0405890000000007</v>
      </c>
      <c r="O31" s="939">
        <f>($F$9+$F$10)*'ARP Timing'!K$16</f>
        <v>4.0405890000000007</v>
      </c>
      <c r="P31" s="939">
        <f>($F$9+$F$10)*'ARP Timing'!L$16</f>
        <v>4.0405890000000007</v>
      </c>
      <c r="Q31" s="939">
        <f>($F$9+$F$10)*'ARP Timing'!M$16</f>
        <v>4.0405890000000007</v>
      </c>
      <c r="R31" s="939">
        <f>($F$9+$F$10)*'ARP Timing'!N$16</f>
        <v>3.9168975000000006</v>
      </c>
      <c r="S31" s="939">
        <f>($F$9+$F$10)*'ARP Timing'!O$16</f>
        <v>3.9168975000000006</v>
      </c>
      <c r="T31" s="939">
        <f>($F$9+$F$10)*'ARP Timing'!P$16</f>
        <v>3.9168975000000006</v>
      </c>
      <c r="U31" s="939">
        <f>($F$9+$F$10)*'ARP Timing'!Q$16</f>
        <v>3.9168975000000006</v>
      </c>
      <c r="V31" s="939">
        <f>($F$9+$F$10)*'ARP Timing'!R$16</f>
        <v>3.9168975000000006</v>
      </c>
    </row>
    <row r="32" spans="1:23" x14ac:dyDescent="0.35">
      <c r="A32" s="939">
        <v>2022</v>
      </c>
      <c r="B32" s="34" t="s">
        <v>247</v>
      </c>
      <c r="C32" s="981"/>
      <c r="G32" s="939">
        <f>($G$9+$G$10)*'ARP Timing'!B$16</f>
        <v>5.7722700000000016</v>
      </c>
      <c r="H32" s="939">
        <f>($G$9+$G$10)*'ARP Timing'!C$16</f>
        <v>5.7722700000000016</v>
      </c>
      <c r="I32" s="939">
        <f>($G$9+$G$10)*'ARP Timing'!D$16</f>
        <v>4.0405890000000007</v>
      </c>
      <c r="J32" s="939">
        <f>($G$9+$G$10)*'ARP Timing'!E$16</f>
        <v>4.0405890000000007</v>
      </c>
      <c r="K32" s="939">
        <f>($G$9+$G$10)*'ARP Timing'!F$16</f>
        <v>4.0405890000000007</v>
      </c>
      <c r="L32" s="939">
        <f>($G$9+$G$10)*'ARP Timing'!G$16</f>
        <v>4.0405890000000007</v>
      </c>
      <c r="M32" s="939">
        <f>($G$9+$G$10)*'ARP Timing'!H$16</f>
        <v>4.0405890000000007</v>
      </c>
      <c r="N32" s="939">
        <f>($G$9+$G$10)*'ARP Timing'!I$16</f>
        <v>4.0405890000000007</v>
      </c>
      <c r="O32" s="939">
        <f>($G$9+$G$10)*'ARP Timing'!J$16</f>
        <v>4.0405890000000007</v>
      </c>
      <c r="P32" s="939">
        <f>($G$9+$G$10)*'ARP Timing'!K$16</f>
        <v>4.0405890000000007</v>
      </c>
      <c r="Q32" s="939">
        <f>($G$9+$G$10)*'ARP Timing'!L$16</f>
        <v>4.0405890000000007</v>
      </c>
      <c r="R32" s="939">
        <f>($G$9+$G$10)*'ARP Timing'!M$16</f>
        <v>4.0405890000000007</v>
      </c>
      <c r="S32" s="939">
        <f>($G$9+$G$10)*'ARP Timing'!N$16</f>
        <v>3.9168975000000006</v>
      </c>
      <c r="T32" s="939">
        <f>($G$9+$G$10)*'ARP Timing'!O$16</f>
        <v>3.9168975000000006</v>
      </c>
      <c r="U32" s="939">
        <f>($G$9+$G$10)*'ARP Timing'!P$16</f>
        <v>3.9168975000000006</v>
      </c>
      <c r="V32" s="939">
        <f>($G$9+$G$10)*'ARP Timing'!Q$16</f>
        <v>3.9168975000000006</v>
      </c>
    </row>
    <row r="33" spans="1:23" x14ac:dyDescent="0.35">
      <c r="B33" s="34" t="s">
        <v>248</v>
      </c>
      <c r="C33" s="981"/>
      <c r="H33" s="939">
        <f>($H$9+$H$10)*'ARP Timing'!B$16</f>
        <v>5.7722700000000016</v>
      </c>
      <c r="I33" s="939">
        <f>($H$9+$H$10)*'ARP Timing'!C$16</f>
        <v>5.7722700000000016</v>
      </c>
      <c r="J33" s="939">
        <f>($H$9+$H$10)*'ARP Timing'!D$16</f>
        <v>4.0405890000000007</v>
      </c>
      <c r="K33" s="939">
        <f>($H$9+$H$10)*'ARP Timing'!E$16</f>
        <v>4.0405890000000007</v>
      </c>
      <c r="L33" s="939">
        <f>($H$9+$H$10)*'ARP Timing'!F$16</f>
        <v>4.0405890000000007</v>
      </c>
      <c r="M33" s="939">
        <f>($H$9+$H$10)*'ARP Timing'!G$16</f>
        <v>4.0405890000000007</v>
      </c>
      <c r="N33" s="939">
        <f>($H$9+$H$10)*'ARP Timing'!H$16</f>
        <v>4.0405890000000007</v>
      </c>
      <c r="O33" s="939">
        <f>($H$9+$H$10)*'ARP Timing'!I$16</f>
        <v>4.0405890000000007</v>
      </c>
      <c r="P33" s="939">
        <f>($H$9+$H$10)*'ARP Timing'!J$16</f>
        <v>4.0405890000000007</v>
      </c>
      <c r="Q33" s="939">
        <f>($H$9+$H$10)*'ARP Timing'!K$16</f>
        <v>4.0405890000000007</v>
      </c>
      <c r="R33" s="939">
        <f>($H$9+$H$10)*'ARP Timing'!L$16</f>
        <v>4.0405890000000007</v>
      </c>
      <c r="S33" s="939">
        <f>($H$9+$H$10)*'ARP Timing'!M$16</f>
        <v>4.0405890000000007</v>
      </c>
      <c r="T33" s="939">
        <f>($H$9+$H$10)*'ARP Timing'!N$16</f>
        <v>3.9168975000000006</v>
      </c>
      <c r="U33" s="939">
        <f>($H$9+$H$10)*'ARP Timing'!O$16</f>
        <v>3.9168975000000006</v>
      </c>
      <c r="V33" s="939">
        <f>($H$9+$H$10)*'ARP Timing'!P$16</f>
        <v>3.9168975000000006</v>
      </c>
    </row>
    <row r="34" spans="1:23" x14ac:dyDescent="0.35">
      <c r="B34" s="34" t="s">
        <v>379</v>
      </c>
      <c r="C34" s="981"/>
      <c r="H34" s="981"/>
      <c r="I34" s="939">
        <f>($I$9+$I10)*'ARP Timing'!B$16</f>
        <v>5.7722700000000016</v>
      </c>
      <c r="J34" s="939">
        <f>($I$9+$I10)*'ARP Timing'!C$16</f>
        <v>5.7722700000000016</v>
      </c>
      <c r="K34" s="939">
        <f>($I$9+$I10)*'ARP Timing'!D$16</f>
        <v>4.0405890000000007</v>
      </c>
      <c r="L34" s="939">
        <f>($I$9+$I10)*'ARP Timing'!E$16</f>
        <v>4.0405890000000007</v>
      </c>
      <c r="M34" s="939">
        <f>($I$9+$I10)*'ARP Timing'!F$16</f>
        <v>4.0405890000000007</v>
      </c>
      <c r="N34" s="939">
        <f>($I$9+$I10)*'ARP Timing'!G$16</f>
        <v>4.0405890000000007</v>
      </c>
      <c r="O34" s="939">
        <f>($I$9+$I10)*'ARP Timing'!H$16</f>
        <v>4.0405890000000007</v>
      </c>
      <c r="P34" s="939">
        <f>($I$9+$I10)*'ARP Timing'!I$16</f>
        <v>4.0405890000000007</v>
      </c>
      <c r="Q34" s="939">
        <f>($I$9+$I10)*'ARP Timing'!J$16</f>
        <v>4.0405890000000007</v>
      </c>
      <c r="R34" s="939">
        <f>($I$9+$I10)*'ARP Timing'!K$16</f>
        <v>4.0405890000000007</v>
      </c>
      <c r="S34" s="939">
        <f>($I$9+$I10)*'ARP Timing'!L$16</f>
        <v>4.0405890000000007</v>
      </c>
      <c r="T34" s="939">
        <f>($I$9+$I10)*'ARP Timing'!M$16</f>
        <v>4.0405890000000007</v>
      </c>
      <c r="U34" s="939">
        <f>($I$9+$I10)*'ARP Timing'!N$16</f>
        <v>3.9168975000000006</v>
      </c>
      <c r="V34" s="939">
        <f>($I$9+$I10)*'ARP Timing'!O$16</f>
        <v>3.9168975000000006</v>
      </c>
    </row>
    <row r="35" spans="1:23" x14ac:dyDescent="0.35">
      <c r="B35" s="34" t="s">
        <v>843</v>
      </c>
      <c r="C35" s="981"/>
      <c r="H35" s="981"/>
      <c r="J35" s="939">
        <f>($J$9+$J$10)*'ARP Timing'!B$16</f>
        <v>4.3968400000000001</v>
      </c>
      <c r="K35" s="939">
        <f>($J$9+$J$10)*'ARP Timing'!C$16</f>
        <v>4.3968400000000001</v>
      </c>
      <c r="L35" s="939">
        <f>($J$9+$J$10)*'ARP Timing'!D$16</f>
        <v>3.077788</v>
      </c>
      <c r="M35" s="939">
        <f>($J$9+$J$10)*'ARP Timing'!E$16</f>
        <v>3.077788</v>
      </c>
      <c r="N35" s="939">
        <f>($J$9+$J$10)*'ARP Timing'!F$16</f>
        <v>3.077788</v>
      </c>
      <c r="O35" s="939">
        <f>($J$9+$J$10)*'ARP Timing'!G$16</f>
        <v>3.077788</v>
      </c>
      <c r="P35" s="939">
        <f>($J$9+$J$10)*'ARP Timing'!H$16</f>
        <v>3.077788</v>
      </c>
      <c r="Q35" s="939">
        <f>($J$9+$J$10)*'ARP Timing'!I$16</f>
        <v>3.077788</v>
      </c>
      <c r="R35" s="939">
        <f>($J$9+$J$10)*'ARP Timing'!J$16</f>
        <v>3.077788</v>
      </c>
      <c r="S35" s="939">
        <f>($J$9+$J$10)*'ARP Timing'!K$16</f>
        <v>3.077788</v>
      </c>
      <c r="T35" s="939">
        <f>($J$9+$J$10)*'ARP Timing'!L$16</f>
        <v>3.077788</v>
      </c>
      <c r="U35" s="939">
        <f>($J$9+$J$10)*'ARP Timing'!M$16</f>
        <v>3.077788</v>
      </c>
      <c r="V35" s="939">
        <f>($J$9+$J$10)*'ARP Timing'!N$16</f>
        <v>2.9835699999999998</v>
      </c>
    </row>
    <row r="36" spans="1:23" x14ac:dyDescent="0.35">
      <c r="A36" s="939">
        <v>2023</v>
      </c>
      <c r="B36" s="34" t="s">
        <v>247</v>
      </c>
      <c r="C36" s="981"/>
      <c r="H36" s="981"/>
      <c r="K36" s="939">
        <f>($K$9+$K$10)*'ARP Timing'!B$16</f>
        <v>4.3968400000000001</v>
      </c>
      <c r="L36" s="939">
        <f>($K$9+$K$10)*'ARP Timing'!C$16</f>
        <v>4.3968400000000001</v>
      </c>
      <c r="M36" s="939">
        <f>($K$9+$K$10)*'ARP Timing'!D$16</f>
        <v>3.077788</v>
      </c>
      <c r="N36" s="939">
        <f>($K$9+$K$10)*'ARP Timing'!E$16</f>
        <v>3.077788</v>
      </c>
      <c r="O36" s="939">
        <f>($K$9+$K$10)*'ARP Timing'!F$16</f>
        <v>3.077788</v>
      </c>
      <c r="P36" s="939">
        <f>($K$9+$K$10)*'ARP Timing'!G$16</f>
        <v>3.077788</v>
      </c>
      <c r="Q36" s="939">
        <f>($K$9+$K$10)*'ARP Timing'!H$16</f>
        <v>3.077788</v>
      </c>
      <c r="R36" s="939">
        <f>($K$9+$K$10)*'ARP Timing'!I$16</f>
        <v>3.077788</v>
      </c>
      <c r="S36" s="939">
        <f>($K$9+$K$10)*'ARP Timing'!J$16</f>
        <v>3.077788</v>
      </c>
      <c r="T36" s="939">
        <f>($K$9+$K$10)*'ARP Timing'!K$16</f>
        <v>3.077788</v>
      </c>
      <c r="U36" s="939">
        <f>($K$9+$K$10)*'ARP Timing'!L$16</f>
        <v>3.077788</v>
      </c>
      <c r="V36" s="939">
        <f>($K$9+$K$10)*'ARP Timing'!M$16</f>
        <v>3.077788</v>
      </c>
    </row>
    <row r="37" spans="1:23" x14ac:dyDescent="0.35">
      <c r="B37" s="34" t="s">
        <v>248</v>
      </c>
      <c r="C37" s="981"/>
      <c r="H37" s="981"/>
      <c r="L37" s="939">
        <f>($L$9+$L$10)*'ARP Timing'!B$16</f>
        <v>4.3968400000000001</v>
      </c>
      <c r="M37" s="939">
        <f>($L$9+$L$10)*'ARP Timing'!C$16</f>
        <v>4.3968400000000001</v>
      </c>
      <c r="N37" s="939">
        <f>($L$9+$L$10)*'ARP Timing'!D$16</f>
        <v>3.077788</v>
      </c>
      <c r="O37" s="939">
        <f>($L$9+$L$10)*'ARP Timing'!E$16</f>
        <v>3.077788</v>
      </c>
      <c r="P37" s="939">
        <f>($L$9+$L$10)*'ARP Timing'!F$16</f>
        <v>3.077788</v>
      </c>
      <c r="Q37" s="939">
        <f>($L$9+$L$10)*'ARP Timing'!G$16</f>
        <v>3.077788</v>
      </c>
      <c r="R37" s="939">
        <f>($L$9+$L$10)*'ARP Timing'!H$16</f>
        <v>3.077788</v>
      </c>
      <c r="S37" s="939">
        <f>($L$9+$L$10)*'ARP Timing'!I$16</f>
        <v>3.077788</v>
      </c>
      <c r="T37" s="939">
        <f>($L$9+$L$10)*'ARP Timing'!J$16</f>
        <v>3.077788</v>
      </c>
      <c r="U37" s="939">
        <f>($L$9+$L$10)*'ARP Timing'!K$16</f>
        <v>3.077788</v>
      </c>
      <c r="V37" s="939">
        <f>($L$9+$L$10)*'ARP Timing'!L$16</f>
        <v>3.077788</v>
      </c>
    </row>
    <row r="38" spans="1:23" x14ac:dyDescent="0.35">
      <c r="B38" s="34" t="s">
        <v>379</v>
      </c>
      <c r="C38" s="981"/>
      <c r="H38" s="981"/>
      <c r="M38" s="939">
        <f>($M$9+$M$10)*'ARP Timing'!B$16</f>
        <v>4.3968400000000001</v>
      </c>
      <c r="N38" s="939">
        <f>($M$9+$M$10)*'ARP Timing'!C$16</f>
        <v>4.3968400000000001</v>
      </c>
      <c r="O38" s="939">
        <f>($M$9+$M$10)*'ARP Timing'!D$16</f>
        <v>3.077788</v>
      </c>
      <c r="P38" s="939">
        <f>($M$9+$M$10)*'ARP Timing'!E$16</f>
        <v>3.077788</v>
      </c>
      <c r="Q38" s="939">
        <f>($M$9+$M$10)*'ARP Timing'!F$16</f>
        <v>3.077788</v>
      </c>
      <c r="R38" s="939">
        <f>($M$9+$M$10)*'ARP Timing'!G$16</f>
        <v>3.077788</v>
      </c>
      <c r="S38" s="939">
        <f>($M$9+$M$10)*'ARP Timing'!H$16</f>
        <v>3.077788</v>
      </c>
      <c r="T38" s="939">
        <f>($M$9+$M$10)*'ARP Timing'!I$16</f>
        <v>3.077788</v>
      </c>
      <c r="U38" s="939">
        <f>($M$9+$M$10)*'ARP Timing'!J$16</f>
        <v>3.077788</v>
      </c>
      <c r="V38" s="939">
        <f>($M$9+$M$10)*'ARP Timing'!K$16</f>
        <v>3.077788</v>
      </c>
    </row>
    <row r="39" spans="1:23" x14ac:dyDescent="0.35">
      <c r="B39" s="34" t="s">
        <v>843</v>
      </c>
      <c r="C39" s="981"/>
      <c r="H39" s="981"/>
      <c r="N39" s="939">
        <f>($N$9+$N$10)*'ARP Timing'!B$16</f>
        <v>2.9087800000000006</v>
      </c>
      <c r="O39" s="939">
        <f>($N$9+$N$10)*'ARP Timing'!C$16</f>
        <v>2.9087800000000006</v>
      </c>
      <c r="P39" s="939">
        <f>($N$9+$N$10)*'ARP Timing'!D$16</f>
        <v>2.036146</v>
      </c>
      <c r="Q39" s="939">
        <f>($N$9+$N$10)*'ARP Timing'!E$16</f>
        <v>2.036146</v>
      </c>
      <c r="R39" s="939">
        <f>($N$9+$N$10)*'ARP Timing'!F$16</f>
        <v>2.036146</v>
      </c>
      <c r="S39" s="939">
        <f>($N$9+$N$10)*'ARP Timing'!G$16</f>
        <v>2.036146</v>
      </c>
      <c r="T39" s="939">
        <f>($N$9+$N$10)*'ARP Timing'!H$16</f>
        <v>2.036146</v>
      </c>
      <c r="U39" s="939">
        <f>($N$9+$N$10)*'ARP Timing'!I$16</f>
        <v>2.036146</v>
      </c>
      <c r="V39" s="939">
        <f>($N$9+$N$10)*'ARP Timing'!J$16</f>
        <v>2.036146</v>
      </c>
    </row>
    <row r="40" spans="1:23" x14ac:dyDescent="0.35">
      <c r="A40" s="939">
        <v>2024</v>
      </c>
      <c r="B40" s="34" t="s">
        <v>247</v>
      </c>
      <c r="C40" s="981"/>
      <c r="H40" s="981"/>
      <c r="O40" s="939">
        <f>($O$9+$O$10)*'ARP Timing'!B$16</f>
        <v>2.9087800000000006</v>
      </c>
      <c r="P40" s="939">
        <f>($O$9+$O$10)*'ARP Timing'!C$16</f>
        <v>2.9087800000000006</v>
      </c>
      <c r="Q40" s="939">
        <f>($O$9+$O$10)*'ARP Timing'!D$16</f>
        <v>2.036146</v>
      </c>
      <c r="R40" s="939">
        <f>($O$9+$O$10)*'ARP Timing'!E$16</f>
        <v>2.036146</v>
      </c>
      <c r="S40" s="939">
        <f>($O$9+$O$10)*'ARP Timing'!F$16</f>
        <v>2.036146</v>
      </c>
      <c r="T40" s="939">
        <f>($O$9+$O$10)*'ARP Timing'!G$16</f>
        <v>2.036146</v>
      </c>
      <c r="U40" s="939">
        <f>($O$9+$O$10)*'ARP Timing'!H$16</f>
        <v>2.036146</v>
      </c>
      <c r="V40" s="939">
        <f>($O$9+$O$10)*'ARP Timing'!I$16</f>
        <v>2.036146</v>
      </c>
    </row>
    <row r="41" spans="1:23" x14ac:dyDescent="0.35">
      <c r="B41" s="34" t="s">
        <v>248</v>
      </c>
      <c r="C41" s="981"/>
      <c r="H41" s="981"/>
      <c r="P41" s="939">
        <f>($P$9+$P$10)*'ARP Timing'!B$16</f>
        <v>2.9087800000000006</v>
      </c>
      <c r="Q41" s="939">
        <f>($P$9+$P$10)*'ARP Timing'!C$16</f>
        <v>2.9087800000000006</v>
      </c>
      <c r="R41" s="939">
        <f>($P$9+$P$10)*'ARP Timing'!D$16</f>
        <v>2.036146</v>
      </c>
      <c r="S41" s="939">
        <f>($P$9+$P$10)*'ARP Timing'!E$16</f>
        <v>2.036146</v>
      </c>
      <c r="T41" s="939">
        <f>($P$9+$P$10)*'ARP Timing'!F$16</f>
        <v>2.036146</v>
      </c>
      <c r="U41" s="939">
        <f>($P$9+$P$10)*'ARP Timing'!G$16</f>
        <v>2.036146</v>
      </c>
      <c r="V41" s="939">
        <f>($P$9+$P$10)*'ARP Timing'!H$16</f>
        <v>2.036146</v>
      </c>
    </row>
    <row r="42" spans="1:23" x14ac:dyDescent="0.35">
      <c r="B42" s="34" t="s">
        <v>379</v>
      </c>
      <c r="C42" s="981"/>
      <c r="H42" s="981"/>
      <c r="Q42" s="939">
        <f>($Q$9+$Q$10)*'ARP Timing'!B$16</f>
        <v>2.9087800000000006</v>
      </c>
      <c r="R42" s="939">
        <f>($Q$9+$Q$10)*'ARP Timing'!C$16</f>
        <v>2.9087800000000006</v>
      </c>
      <c r="S42" s="939">
        <f>($Q$9+$Q$10)*'ARP Timing'!D$16</f>
        <v>2.036146</v>
      </c>
      <c r="T42" s="939">
        <f>($Q$9+$Q$10)*'ARP Timing'!E$16</f>
        <v>2.036146</v>
      </c>
      <c r="U42" s="939">
        <f>($Q$9+$Q$10)*'ARP Timing'!F$16</f>
        <v>2.036146</v>
      </c>
      <c r="V42" s="939">
        <f>($Q$9+$Q$10)*'ARP Timing'!G$16</f>
        <v>2.036146</v>
      </c>
    </row>
    <row r="43" spans="1:23" x14ac:dyDescent="0.35">
      <c r="B43" s="34" t="s">
        <v>843</v>
      </c>
      <c r="C43" s="981"/>
      <c r="H43" s="981"/>
      <c r="R43" s="939">
        <f>($R$9+$R$10)*'ARP Timing'!B$16</f>
        <v>1.9374600000000002</v>
      </c>
      <c r="S43" s="939">
        <f>($R$9+$R$10)*'ARP Timing'!C$16</f>
        <v>1.9374600000000002</v>
      </c>
      <c r="T43" s="939">
        <f>($R$9+$R$10)*'ARP Timing'!D$16</f>
        <v>1.356222</v>
      </c>
      <c r="U43" s="939">
        <f>($R$9+$R$10)*'ARP Timing'!E$16</f>
        <v>1.356222</v>
      </c>
      <c r="V43" s="939">
        <f>($R$9+$R$10)*'ARP Timing'!F$16</f>
        <v>1.356222</v>
      </c>
    </row>
    <row r="44" spans="1:23" x14ac:dyDescent="0.35">
      <c r="S44" s="939">
        <f>($S$9+$S$10)*'ARP Timing'!B$16</f>
        <v>1.9374600000000002</v>
      </c>
      <c r="T44" s="939">
        <f>($S$9+$S$10)*'ARP Timing'!C$16</f>
        <v>1.9374600000000002</v>
      </c>
      <c r="U44" s="939">
        <f>($S$9+$S$10)*'ARP Timing'!D$16</f>
        <v>1.356222</v>
      </c>
      <c r="V44" s="939">
        <f>($S$9+$S$10)*'ARP Timing'!E$16</f>
        <v>1.356222</v>
      </c>
    </row>
    <row r="46" spans="1:23" x14ac:dyDescent="0.35">
      <c r="B46" s="939" t="s">
        <v>844</v>
      </c>
      <c r="D46" s="122" t="s">
        <v>296</v>
      </c>
      <c r="E46" s="122" t="s">
        <v>180</v>
      </c>
      <c r="F46" s="122" t="s">
        <v>181</v>
      </c>
      <c r="G46" s="122" t="s">
        <v>182</v>
      </c>
      <c r="H46" s="122" t="s">
        <v>183</v>
      </c>
      <c r="I46" s="122" t="s">
        <v>184</v>
      </c>
      <c r="J46" s="122" t="s">
        <v>185</v>
      </c>
      <c r="K46" s="122" t="s">
        <v>186</v>
      </c>
      <c r="L46" s="122" t="s">
        <v>187</v>
      </c>
      <c r="M46" s="122" t="s">
        <v>188</v>
      </c>
      <c r="N46" s="122" t="s">
        <v>189</v>
      </c>
      <c r="O46" s="122" t="s">
        <v>190</v>
      </c>
      <c r="P46" s="122" t="s">
        <v>191</v>
      </c>
      <c r="Q46" s="122" t="s">
        <v>175</v>
      </c>
      <c r="R46" s="122" t="s">
        <v>176</v>
      </c>
      <c r="S46" s="122" t="s">
        <v>177</v>
      </c>
      <c r="T46" s="122" t="s">
        <v>832</v>
      </c>
      <c r="U46" s="122" t="s">
        <v>833</v>
      </c>
      <c r="V46" s="122" t="s">
        <v>834</v>
      </c>
    </row>
    <row r="47" spans="1:23" x14ac:dyDescent="0.35">
      <c r="B47" s="34"/>
      <c r="C47" s="981" t="s">
        <v>360</v>
      </c>
      <c r="D47" s="983">
        <f t="shared" ref="D47:U47" si="42">SUM(D48:D66)</f>
        <v>0</v>
      </c>
      <c r="E47" s="983">
        <f t="shared" si="42"/>
        <v>0</v>
      </c>
      <c r="F47" s="983">
        <f t="shared" si="42"/>
        <v>34.620851999999999</v>
      </c>
      <c r="G47" s="983">
        <f t="shared" si="42"/>
        <v>50.996274799999995</v>
      </c>
      <c r="H47" s="983">
        <f t="shared" si="42"/>
        <v>69.350031999999999</v>
      </c>
      <c r="I47" s="983">
        <f t="shared" si="42"/>
        <v>79.295867999999999</v>
      </c>
      <c r="J47" s="983">
        <f t="shared" si="42"/>
        <v>80.538927999999999</v>
      </c>
      <c r="K47" s="983">
        <f t="shared" si="42"/>
        <v>80.122543199999996</v>
      </c>
      <c r="L47" s="983">
        <f t="shared" si="42"/>
        <v>88.916719999999998</v>
      </c>
      <c r="M47" s="983">
        <f t="shared" si="42"/>
        <v>92.213943999999998</v>
      </c>
      <c r="N47" s="983">
        <f t="shared" si="42"/>
        <v>92.213943999999998</v>
      </c>
      <c r="O47" s="983">
        <f t="shared" si="42"/>
        <v>94.213943999999998</v>
      </c>
      <c r="P47" s="983">
        <f t="shared" si="42"/>
        <v>98.916719999999998</v>
      </c>
      <c r="Q47" s="983">
        <f t="shared" si="42"/>
        <v>98.916719999999998</v>
      </c>
      <c r="R47" s="983">
        <f t="shared" si="42"/>
        <v>99.081581199999988</v>
      </c>
      <c r="S47" s="983">
        <f t="shared" si="42"/>
        <v>93.146578000000005</v>
      </c>
      <c r="T47" s="983">
        <f t="shared" si="42"/>
        <v>86.552129999999991</v>
      </c>
      <c r="U47" s="983">
        <f t="shared" si="42"/>
        <v>86.552129999999991</v>
      </c>
      <c r="V47" s="983">
        <f>SUM(V48:V66)</f>
        <v>82.265738799999994</v>
      </c>
      <c r="W47" s="939">
        <f>SUM(G47:V47)/4</f>
        <v>343.32344900000004</v>
      </c>
    </row>
    <row r="48" spans="1:23" x14ac:dyDescent="0.35">
      <c r="A48" s="939">
        <v>2021</v>
      </c>
      <c r="B48" s="34" t="s">
        <v>842</v>
      </c>
      <c r="C48" s="981"/>
      <c r="D48" s="939">
        <f>($D$8)*'ARP Timing'!B17</f>
        <v>0</v>
      </c>
      <c r="E48" s="939">
        <f>($D$8)*'ARP Timing'!C17</f>
        <v>0</v>
      </c>
      <c r="F48" s="939">
        <f>($D$8)*'ARP Timing'!D17</f>
        <v>34.620851999999999</v>
      </c>
      <c r="G48" s="939">
        <f>($D$8)*'ARP Timing'!E17</f>
        <v>45.996274799999995</v>
      </c>
      <c r="H48" s="939">
        <f>($D$8)*'ARP Timing'!F17</f>
        <v>59.350031999999992</v>
      </c>
      <c r="I48" s="939">
        <f>($D$8)*'ARP Timing'!G17</f>
        <v>64.295867999999999</v>
      </c>
      <c r="J48" s="939">
        <f>($D$8)*'ARP Timing'!H17</f>
        <v>49.458359999999999</v>
      </c>
      <c r="K48" s="939">
        <f>($D$8)*'ARP Timing'!I17</f>
        <v>49.458359999999999</v>
      </c>
      <c r="L48" s="939">
        <f>($D$8)*'ARP Timing'!J17</f>
        <v>59.350031999999992</v>
      </c>
      <c r="M48" s="939">
        <f>($D$8)*'ARP Timing'!K17</f>
        <v>59.350031999999992</v>
      </c>
      <c r="N48" s="939">
        <f>($D$8)*'ARP Timing'!L17</f>
        <v>69.241703999999999</v>
      </c>
      <c r="O48" s="939">
        <f>($D$8)*'ARP Timing'!M17</f>
        <v>69.241703999999999</v>
      </c>
      <c r="P48" s="939">
        <f>($D$8)*'ARP Timing'!N17</f>
        <v>59.350031999999992</v>
      </c>
      <c r="Q48" s="939">
        <f>($D$8)*'ARP Timing'!O17</f>
        <v>59.350031999999992</v>
      </c>
      <c r="R48" s="939">
        <f>($D$8)*'ARP Timing'!P17</f>
        <v>52.920445199999989</v>
      </c>
      <c r="S48" s="939">
        <f>($D$8)*'ARP Timing'!Q17</f>
        <v>46.985441999999992</v>
      </c>
      <c r="T48" s="939">
        <f>($D$8)*'ARP Timing'!R17</f>
        <v>46.985441999999992</v>
      </c>
      <c r="U48" s="939">
        <f>($D$8)*'ARP Timing'!S17</f>
        <v>46.985441999999992</v>
      </c>
      <c r="V48" s="939">
        <f>($D$8)*'ARP Timing'!T17</f>
        <v>46.985441999999992</v>
      </c>
    </row>
    <row r="49" spans="1:22" x14ac:dyDescent="0.35">
      <c r="B49" s="34" t="s">
        <v>379</v>
      </c>
      <c r="C49" s="981"/>
      <c r="E49" s="939">
        <f>($E$8)*'ARP Timing'!B$17</f>
        <v>0</v>
      </c>
      <c r="F49" s="939">
        <f>($E$8)*'ARP Timing'!C$16</f>
        <v>0</v>
      </c>
      <c r="G49" s="939">
        <f>($E$8)*'ARP Timing'!D$16</f>
        <v>0</v>
      </c>
      <c r="H49" s="939">
        <f>($E$8)*'ARP Timing'!E$16</f>
        <v>0</v>
      </c>
      <c r="I49" s="939">
        <f>($E$8)*'ARP Timing'!F$16</f>
        <v>0</v>
      </c>
      <c r="J49" s="939">
        <f>($E$8)*'ARP Timing'!G$16</f>
        <v>0</v>
      </c>
      <c r="K49" s="939">
        <f>($E$8)*'ARP Timing'!H$16</f>
        <v>0</v>
      </c>
      <c r="L49" s="939">
        <f>($E$8)*'ARP Timing'!I$16</f>
        <v>0</v>
      </c>
      <c r="M49" s="939">
        <f>($E$8)*'ARP Timing'!J$16</f>
        <v>0</v>
      </c>
      <c r="N49" s="939">
        <f>($E$8)*'ARP Timing'!K$16</f>
        <v>0</v>
      </c>
      <c r="O49" s="939">
        <f>($E$8)*'ARP Timing'!L$16</f>
        <v>0</v>
      </c>
      <c r="P49" s="939">
        <f>($E$8)*'ARP Timing'!M$16</f>
        <v>0</v>
      </c>
      <c r="Q49" s="939">
        <f>($E$8)*'ARP Timing'!N$16</f>
        <v>0</v>
      </c>
      <c r="R49" s="939">
        <f>($E$8)*'ARP Timing'!O$16</f>
        <v>0</v>
      </c>
      <c r="S49" s="939">
        <f>($E$8)*'ARP Timing'!P$16</f>
        <v>0</v>
      </c>
      <c r="T49" s="939">
        <f>($E$8)*'ARP Timing'!Q$16</f>
        <v>0</v>
      </c>
      <c r="U49" s="939">
        <f>($E$8)*'ARP Timing'!R$16</f>
        <v>0</v>
      </c>
      <c r="V49" s="939">
        <f>($E$8)*'ARP Timing'!S$16</f>
        <v>0</v>
      </c>
    </row>
    <row r="50" spans="1:22" x14ac:dyDescent="0.35">
      <c r="B50" s="34" t="s">
        <v>843</v>
      </c>
      <c r="C50" s="981"/>
      <c r="F50" s="939">
        <f>($F$8)*'ARP Timing'!C$17</f>
        <v>0</v>
      </c>
      <c r="G50" s="939">
        <f>($F$8)*'ARP Timing'!D$17</f>
        <v>0</v>
      </c>
      <c r="H50" s="939">
        <f>($F$8)*'ARP Timing'!E$17</f>
        <v>0</v>
      </c>
      <c r="I50" s="939">
        <f>($F$8)*'ARP Timing'!F$17</f>
        <v>0</v>
      </c>
      <c r="J50" s="939">
        <f>($F$8)*'ARP Timing'!G$17</f>
        <v>0</v>
      </c>
      <c r="K50" s="939">
        <f>($F$8)*'ARP Timing'!H$17</f>
        <v>0</v>
      </c>
      <c r="L50" s="939">
        <f>($F$8)*'ARP Timing'!I$17</f>
        <v>0</v>
      </c>
      <c r="M50" s="939">
        <f>($F$8)*'ARP Timing'!J$17</f>
        <v>0</v>
      </c>
      <c r="N50" s="939">
        <f>($F$8)*'ARP Timing'!K$17</f>
        <v>0</v>
      </c>
      <c r="O50" s="939">
        <f>($F$8)*'ARP Timing'!L$17</f>
        <v>0</v>
      </c>
      <c r="P50" s="939">
        <f>($F$8)*'ARP Timing'!M$17</f>
        <v>0</v>
      </c>
      <c r="Q50" s="939">
        <f>($F$8)*'ARP Timing'!N$17</f>
        <v>0</v>
      </c>
      <c r="R50" s="939">
        <f>($F$8)*'ARP Timing'!O$17</f>
        <v>0</v>
      </c>
      <c r="S50" s="939">
        <f>($F$8)*'ARP Timing'!P$17</f>
        <v>0</v>
      </c>
      <c r="T50" s="939">
        <f>($F$8)*'ARP Timing'!Q$17</f>
        <v>0</v>
      </c>
      <c r="U50" s="939">
        <f>($F$8)*'ARP Timing'!R$17</f>
        <v>0</v>
      </c>
      <c r="V50" s="939">
        <f>($F$8)*'ARP Timing'!S$17</f>
        <v>0</v>
      </c>
    </row>
    <row r="51" spans="1:22" x14ac:dyDescent="0.35">
      <c r="A51" s="939">
        <v>2022</v>
      </c>
      <c r="B51" s="34" t="s">
        <v>247</v>
      </c>
      <c r="C51" s="981"/>
      <c r="G51" s="939">
        <f>($G$8)*'ARP Timing'!D$17</f>
        <v>0</v>
      </c>
      <c r="H51" s="939">
        <f>($G$8)*'ARP Timing'!E$17</f>
        <v>0</v>
      </c>
      <c r="I51" s="939">
        <f>($G$8)*'ARP Timing'!F$17</f>
        <v>0</v>
      </c>
      <c r="J51" s="939">
        <f>($G$8)*'ARP Timing'!G$17</f>
        <v>0</v>
      </c>
      <c r="K51" s="939">
        <f>($G$8)*'ARP Timing'!H$17</f>
        <v>0</v>
      </c>
      <c r="L51" s="939">
        <f>($G$8)*'ARP Timing'!I$17</f>
        <v>0</v>
      </c>
      <c r="M51" s="939">
        <f>($G$8)*'ARP Timing'!J$17</f>
        <v>0</v>
      </c>
      <c r="N51" s="939">
        <f>($G$8)*'ARP Timing'!K$17</f>
        <v>0</v>
      </c>
      <c r="O51" s="939">
        <f>($G$8)*'ARP Timing'!L$17</f>
        <v>0</v>
      </c>
      <c r="P51" s="939">
        <f>($G$8)*'ARP Timing'!M$17</f>
        <v>0</v>
      </c>
      <c r="Q51" s="939">
        <f>($G$8)*'ARP Timing'!N$17</f>
        <v>0</v>
      </c>
      <c r="R51" s="939">
        <f>($G$8)*'ARP Timing'!O$17</f>
        <v>0</v>
      </c>
      <c r="S51" s="939">
        <f>($G$8)*'ARP Timing'!P$17</f>
        <v>0</v>
      </c>
      <c r="T51" s="939">
        <f>($G$8)*'ARP Timing'!Q$17</f>
        <v>0</v>
      </c>
      <c r="U51" s="939">
        <f>($G$8)*'ARP Timing'!R$17</f>
        <v>0</v>
      </c>
      <c r="V51" s="939">
        <f>($G$8)*'ARP Timing'!S$17</f>
        <v>0</v>
      </c>
    </row>
    <row r="52" spans="1:22" x14ac:dyDescent="0.35">
      <c r="B52" s="34" t="s">
        <v>248</v>
      </c>
      <c r="C52" s="981"/>
      <c r="H52" s="939">
        <f>($H$8)*'ARP Timing'!B$17</f>
        <v>0</v>
      </c>
      <c r="I52" s="939">
        <f>($H$8)*'ARP Timing'!C$17</f>
        <v>0</v>
      </c>
      <c r="J52" s="939">
        <f>($H$8)*'ARP Timing'!D$17</f>
        <v>23.080568000000003</v>
      </c>
      <c r="K52" s="939">
        <f>($H$8)*'ARP Timing'!E$17</f>
        <v>30.6641832</v>
      </c>
      <c r="L52" s="939">
        <f>($H$8)*'ARP Timing'!F$17</f>
        <v>39.566687999999999</v>
      </c>
      <c r="M52" s="939">
        <f>($H$8)*'ARP Timing'!G$17</f>
        <v>42.863911999999999</v>
      </c>
      <c r="N52" s="939">
        <f>($H$8)*'ARP Timing'!H$17</f>
        <v>32.972239999999999</v>
      </c>
      <c r="O52" s="939">
        <f>($H$8)*'ARP Timing'!I$17</f>
        <v>32.972239999999999</v>
      </c>
      <c r="P52" s="939">
        <f>($H$8)*'ARP Timing'!J$17</f>
        <v>39.566687999999999</v>
      </c>
      <c r="Q52" s="939">
        <f>($H$8)*'ARP Timing'!K$17</f>
        <v>39.566687999999999</v>
      </c>
      <c r="R52" s="939">
        <f>($H$8)*'ARP Timing'!L$17</f>
        <v>46.161136000000006</v>
      </c>
      <c r="S52" s="939">
        <f>($H$8)*'ARP Timing'!M$17</f>
        <v>46.161136000000006</v>
      </c>
      <c r="T52" s="939">
        <f>($H$8)*'ARP Timing'!N$17</f>
        <v>39.566687999999999</v>
      </c>
      <c r="U52" s="939">
        <f>($H$8)*'ARP Timing'!O$17</f>
        <v>39.566687999999999</v>
      </c>
      <c r="V52" s="939">
        <f>($H$8)*'ARP Timing'!P$17</f>
        <v>35.280296800000002</v>
      </c>
    </row>
    <row r="53" spans="1:22" x14ac:dyDescent="0.35">
      <c r="B53" s="34" t="s">
        <v>379</v>
      </c>
      <c r="C53" s="981"/>
      <c r="H53" s="981"/>
      <c r="I53" s="939">
        <f>($I$8)*'ARP Timing'!B$17</f>
        <v>0</v>
      </c>
      <c r="J53" s="939">
        <f>($I$8)*'ARP Timing'!C$17</f>
        <v>0</v>
      </c>
      <c r="K53" s="939">
        <f>($I$8)*'ARP Timing'!D$17</f>
        <v>0</v>
      </c>
      <c r="L53" s="939">
        <f>($I$8)*'ARP Timing'!E$17</f>
        <v>0</v>
      </c>
      <c r="M53" s="939">
        <f>($I$8)*'ARP Timing'!F$17</f>
        <v>0</v>
      </c>
      <c r="N53" s="939">
        <f>($I$8)*'ARP Timing'!G$17</f>
        <v>0</v>
      </c>
      <c r="O53" s="939">
        <f>($I$8)*'ARP Timing'!H$17</f>
        <v>0</v>
      </c>
      <c r="P53" s="939">
        <f>($I$8)*'ARP Timing'!I$17</f>
        <v>0</v>
      </c>
      <c r="Q53" s="939">
        <f>($I$8)*'ARP Timing'!J$17</f>
        <v>0</v>
      </c>
      <c r="R53" s="939">
        <f>($I$8)*'ARP Timing'!K$17</f>
        <v>0</v>
      </c>
      <c r="S53" s="939">
        <f>($I$8)*'ARP Timing'!L$17</f>
        <v>0</v>
      </c>
      <c r="T53" s="939">
        <f>($I$8)*'ARP Timing'!M$17</f>
        <v>0</v>
      </c>
      <c r="U53" s="939">
        <f>($I$8)*'ARP Timing'!N$17</f>
        <v>0</v>
      </c>
      <c r="V53" s="939">
        <f>($I$8)*'ARP Timing'!O$17</f>
        <v>0</v>
      </c>
    </row>
    <row r="54" spans="1:22" x14ac:dyDescent="0.35">
      <c r="B54" s="34" t="s">
        <v>843</v>
      </c>
      <c r="C54" s="981"/>
      <c r="H54" s="981"/>
    </row>
    <row r="55" spans="1:22" x14ac:dyDescent="0.35">
      <c r="A55" s="939">
        <v>2023</v>
      </c>
      <c r="B55" s="34" t="s">
        <v>247</v>
      </c>
      <c r="C55" s="981"/>
      <c r="H55" s="981"/>
    </row>
    <row r="56" spans="1:22" x14ac:dyDescent="0.35">
      <c r="B56" s="34" t="s">
        <v>248</v>
      </c>
      <c r="C56" s="981"/>
      <c r="H56" s="981"/>
    </row>
    <row r="57" spans="1:22" x14ac:dyDescent="0.35">
      <c r="B57" s="34" t="s">
        <v>379</v>
      </c>
      <c r="C57" s="981"/>
      <c r="H57" s="981"/>
    </row>
    <row r="58" spans="1:22" x14ac:dyDescent="0.35">
      <c r="B58" s="34" t="s">
        <v>843</v>
      </c>
      <c r="C58" s="981"/>
      <c r="H58" s="981"/>
    </row>
    <row r="59" spans="1:22" x14ac:dyDescent="0.35">
      <c r="A59" s="939">
        <v>2024</v>
      </c>
      <c r="B59" s="34" t="s">
        <v>247</v>
      </c>
      <c r="C59" s="981"/>
      <c r="H59" s="981"/>
    </row>
    <row r="60" spans="1:22" x14ac:dyDescent="0.35">
      <c r="B60" s="34" t="s">
        <v>248</v>
      </c>
      <c r="C60" s="981"/>
      <c r="H60" s="981"/>
    </row>
    <row r="61" spans="1:22" x14ac:dyDescent="0.35">
      <c r="B61" s="34" t="s">
        <v>379</v>
      </c>
      <c r="C61" s="981"/>
      <c r="H61" s="981"/>
    </row>
    <row r="62" spans="1:22" x14ac:dyDescent="0.35">
      <c r="B62" s="34" t="s">
        <v>843</v>
      </c>
      <c r="C62" s="981"/>
      <c r="H62" s="981"/>
    </row>
    <row r="63" spans="1:22" x14ac:dyDescent="0.35">
      <c r="A63" t="s">
        <v>968</v>
      </c>
      <c r="B63" s="34"/>
      <c r="C63" s="981"/>
      <c r="G63">
        <v>5</v>
      </c>
      <c r="H63" s="981">
        <v>10</v>
      </c>
      <c r="I63">
        <v>15</v>
      </c>
      <c r="J63">
        <v>8</v>
      </c>
      <c r="K63">
        <v>0</v>
      </c>
      <c r="L63">
        <v>-10</v>
      </c>
      <c r="M63">
        <v>-10</v>
      </c>
      <c r="N63">
        <v>-10</v>
      </c>
      <c r="O63">
        <v>-8</v>
      </c>
    </row>
    <row r="64" spans="1:22" x14ac:dyDescent="0.35">
      <c r="B64" s="34"/>
      <c r="C64" s="981"/>
      <c r="H64" s="981"/>
    </row>
    <row r="65" spans="2:24" x14ac:dyDescent="0.35">
      <c r="B65" s="34"/>
      <c r="C65" s="981"/>
      <c r="H65" s="981"/>
    </row>
    <row r="66" spans="2:24" x14ac:dyDescent="0.35">
      <c r="B66" s="34"/>
      <c r="C66" s="981"/>
      <c r="H66" s="981"/>
    </row>
    <row r="67" spans="2:24" x14ac:dyDescent="0.35">
      <c r="B67" s="34"/>
      <c r="C67" s="981"/>
      <c r="H67" s="981"/>
    </row>
    <row r="68" spans="2:24" x14ac:dyDescent="0.35">
      <c r="B68" s="34"/>
      <c r="C68" s="981"/>
      <c r="H68" s="981"/>
    </row>
    <row r="69" spans="2:24" x14ac:dyDescent="0.35">
      <c r="B69" s="34"/>
      <c r="C69" s="981"/>
      <c r="H69" s="981"/>
    </row>
    <row r="70" spans="2:24" x14ac:dyDescent="0.35">
      <c r="B70" s="34"/>
      <c r="C70" s="981"/>
      <c r="H70" s="981"/>
    </row>
    <row r="71" spans="2:24" x14ac:dyDescent="0.35">
      <c r="B71" s="34"/>
      <c r="C71" s="981"/>
      <c r="H71" s="981"/>
    </row>
    <row r="72" spans="2:24" x14ac:dyDescent="0.35">
      <c r="B72" s="34"/>
      <c r="C72" s="981"/>
      <c r="H72" s="981"/>
    </row>
    <row r="73" spans="2:24" x14ac:dyDescent="0.35">
      <c r="B73" s="34" t="s">
        <v>845</v>
      </c>
      <c r="C73" s="979">
        <v>2021</v>
      </c>
      <c r="D73" s="979">
        <v>2022</v>
      </c>
      <c r="E73" s="979">
        <v>2023</v>
      </c>
      <c r="F73" s="979">
        <v>2024</v>
      </c>
      <c r="G73" s="979">
        <v>2025</v>
      </c>
      <c r="H73" s="981"/>
    </row>
    <row r="74" spans="2:24" x14ac:dyDescent="0.35">
      <c r="B74" s="34" t="s">
        <v>742</v>
      </c>
      <c r="C74" s="984">
        <f t="shared" ref="C74:C85" si="43">SUM(C4:E4)/4</f>
        <v>0.77600000000001046</v>
      </c>
      <c r="D74" s="984">
        <f t="shared" ref="D74:D85" si="44">SUM(F4:I4)/4</f>
        <v>19.719000000000005</v>
      </c>
      <c r="E74" s="984">
        <f t="shared" ref="E74:E85" si="45">SUM(J4:M4)/4</f>
        <v>1.4159999999999999</v>
      </c>
      <c r="F74" s="984">
        <f t="shared" ref="F74:F85" si="46">SUM(N4:Q4)/4</f>
        <v>1.4790000000000001</v>
      </c>
      <c r="G74" s="984">
        <f t="shared" ref="G74:G85" si="47">SUM(R4:U4)/4</f>
        <v>1.63</v>
      </c>
    </row>
    <row r="75" spans="2:24" x14ac:dyDescent="0.35">
      <c r="B75" s="34" t="s">
        <v>743</v>
      </c>
      <c r="C75" s="984">
        <f t="shared" si="43"/>
        <v>19.722000000000016</v>
      </c>
      <c r="D75" s="984">
        <f t="shared" si="44"/>
        <v>52.756999999999998</v>
      </c>
      <c r="E75" s="984">
        <f t="shared" si="45"/>
        <v>12</v>
      </c>
      <c r="F75" s="984">
        <f t="shared" si="46"/>
        <v>4.2219999999999995</v>
      </c>
      <c r="G75" s="984">
        <f t="shared" si="47"/>
        <v>2.3719999999999999</v>
      </c>
      <c r="H75" s="981"/>
    </row>
    <row r="76" spans="2:24" x14ac:dyDescent="0.35">
      <c r="B76" s="34" t="s">
        <v>52</v>
      </c>
      <c r="C76" s="984">
        <f t="shared" si="43"/>
        <v>81.643000000000001</v>
      </c>
      <c r="D76" s="984">
        <f t="shared" si="44"/>
        <v>110.24799999999999</v>
      </c>
      <c r="E76" s="984">
        <f t="shared" si="45"/>
        <v>12.726000000000001</v>
      </c>
      <c r="F76" s="984">
        <f t="shared" si="46"/>
        <v>1.365</v>
      </c>
      <c r="G76" s="984">
        <f t="shared" si="47"/>
        <v>-0.90100000000000025</v>
      </c>
      <c r="H76" s="981"/>
      <c r="O76" s="34"/>
      <c r="P76" s="34"/>
      <c r="Q76" s="34"/>
      <c r="R76" s="34"/>
      <c r="S76" s="985"/>
      <c r="T76" s="985"/>
      <c r="U76" s="985"/>
      <c r="V76" s="14"/>
      <c r="W76" s="34"/>
      <c r="X76" s="34"/>
    </row>
    <row r="77" spans="2:24" x14ac:dyDescent="0.35">
      <c r="B77" s="34" t="s">
        <v>131</v>
      </c>
      <c r="C77" s="984">
        <f t="shared" si="43"/>
        <v>7.798</v>
      </c>
      <c r="D77" s="984">
        <f t="shared" si="44"/>
        <v>7.9489999999999998</v>
      </c>
      <c r="E77" s="984">
        <f t="shared" si="45"/>
        <v>4.7519999999999998</v>
      </c>
      <c r="F77" s="984">
        <f t="shared" si="46"/>
        <v>4.637999999999999</v>
      </c>
      <c r="G77" s="984">
        <f t="shared" si="47"/>
        <v>1.8800000000000001</v>
      </c>
      <c r="H77" s="981"/>
    </row>
    <row r="78" spans="2:24" x14ac:dyDescent="0.35">
      <c r="B78" s="982" t="s">
        <v>396</v>
      </c>
      <c r="C78" s="984">
        <f t="shared" si="43"/>
        <v>247.29179999999997</v>
      </c>
      <c r="D78" s="984">
        <f t="shared" si="44"/>
        <v>164.8612</v>
      </c>
      <c r="E78" s="984">
        <f t="shared" si="45"/>
        <v>0</v>
      </c>
      <c r="F78" s="984">
        <f t="shared" si="46"/>
        <v>0</v>
      </c>
      <c r="G78" s="984">
        <f t="shared" si="47"/>
        <v>0</v>
      </c>
      <c r="H78" s="981"/>
      <c r="R78" s="955"/>
      <c r="S78" s="955"/>
    </row>
    <row r="79" spans="2:24" x14ac:dyDescent="0.35">
      <c r="B79" s="982" t="s">
        <v>150</v>
      </c>
      <c r="C79" s="984">
        <f t="shared" si="43"/>
        <v>12.347</v>
      </c>
      <c r="D79" s="984">
        <f t="shared" si="44"/>
        <v>46.79</v>
      </c>
      <c r="E79" s="984">
        <f t="shared" si="45"/>
        <v>38.595999999999997</v>
      </c>
      <c r="F79" s="984">
        <f t="shared" si="46"/>
        <v>31.911000000000001</v>
      </c>
      <c r="G79" s="984">
        <f t="shared" si="47"/>
        <v>23.099</v>
      </c>
      <c r="H79" s="981"/>
      <c r="R79" s="955"/>
      <c r="S79" s="955"/>
    </row>
    <row r="80" spans="2:24" x14ac:dyDescent="0.35">
      <c r="B80" s="982" t="s">
        <v>412</v>
      </c>
      <c r="C80" s="984">
        <f t="shared" si="43"/>
        <v>29.628</v>
      </c>
      <c r="D80" s="984">
        <f t="shared" si="44"/>
        <v>35.671000000000006</v>
      </c>
      <c r="E80" s="984">
        <f t="shared" si="45"/>
        <v>24.216000000000001</v>
      </c>
      <c r="F80" s="984">
        <f t="shared" si="46"/>
        <v>9.6430000000000007</v>
      </c>
      <c r="G80" s="984">
        <f t="shared" si="47"/>
        <v>4.5789999999999997</v>
      </c>
      <c r="H80" s="981"/>
      <c r="R80" s="955"/>
      <c r="S80" s="955"/>
    </row>
    <row r="81" spans="2:19" x14ac:dyDescent="0.35">
      <c r="B81" s="14" t="s">
        <v>159</v>
      </c>
      <c r="C81" s="984">
        <f t="shared" si="43"/>
        <v>25.75</v>
      </c>
      <c r="D81" s="984">
        <f t="shared" si="44"/>
        <v>0</v>
      </c>
      <c r="E81" s="984">
        <f t="shared" si="45"/>
        <v>0</v>
      </c>
      <c r="F81" s="984">
        <f t="shared" si="46"/>
        <v>0</v>
      </c>
      <c r="G81" s="984">
        <f t="shared" si="47"/>
        <v>0</v>
      </c>
      <c r="H81" s="981"/>
      <c r="R81" s="955"/>
      <c r="S81" s="955"/>
    </row>
    <row r="82" spans="2:19" x14ac:dyDescent="0.35">
      <c r="B82" s="34" t="s">
        <v>109</v>
      </c>
      <c r="C82" s="984">
        <f t="shared" si="43"/>
        <v>31.939</v>
      </c>
      <c r="D82" s="984">
        <f t="shared" si="44"/>
        <v>56.413000000000004</v>
      </c>
      <c r="E82" s="984">
        <f t="shared" si="45"/>
        <v>15.652999999999999</v>
      </c>
      <c r="F82" s="984">
        <f t="shared" si="46"/>
        <v>3.9320000000000004</v>
      </c>
      <c r="G82" s="984">
        <f t="shared" si="47"/>
        <v>-0.74299999999999988</v>
      </c>
      <c r="R82" s="955"/>
      <c r="S82" s="955"/>
    </row>
    <row r="83" spans="2:19" x14ac:dyDescent="0.35">
      <c r="B83" s="939" t="s">
        <v>836</v>
      </c>
      <c r="C83" s="984">
        <f t="shared" si="43"/>
        <v>1.02</v>
      </c>
      <c r="D83" s="984">
        <f t="shared" si="44"/>
        <v>1.5299999999999998</v>
      </c>
      <c r="E83" s="984">
        <f t="shared" si="45"/>
        <v>0</v>
      </c>
      <c r="F83" s="984">
        <f t="shared" si="46"/>
        <v>0</v>
      </c>
      <c r="G83" s="984">
        <f t="shared" si="47"/>
        <v>0</v>
      </c>
      <c r="R83" s="955"/>
      <c r="S83" s="955"/>
    </row>
    <row r="84" spans="2:19" x14ac:dyDescent="0.35">
      <c r="B84" s="939" t="s">
        <v>837</v>
      </c>
      <c r="C84" s="984">
        <f t="shared" si="43"/>
        <v>0.67999999999999994</v>
      </c>
      <c r="D84" s="984">
        <f t="shared" si="44"/>
        <v>1.02</v>
      </c>
      <c r="E84" s="984">
        <f t="shared" si="45"/>
        <v>0</v>
      </c>
      <c r="F84" s="984">
        <f t="shared" si="46"/>
        <v>0</v>
      </c>
      <c r="G84" s="984">
        <f t="shared" si="47"/>
        <v>0</v>
      </c>
      <c r="R84" s="955"/>
      <c r="S84" s="955"/>
    </row>
    <row r="85" spans="2:19" x14ac:dyDescent="0.35">
      <c r="B85" s="939" t="s">
        <v>533</v>
      </c>
      <c r="C85" s="984">
        <f t="shared" si="43"/>
        <v>1.6999999999999997</v>
      </c>
      <c r="D85" s="984">
        <f t="shared" si="44"/>
        <v>2.5499999999999998</v>
      </c>
      <c r="E85" s="984">
        <f t="shared" si="45"/>
        <v>0</v>
      </c>
      <c r="F85" s="984">
        <f t="shared" si="46"/>
        <v>0</v>
      </c>
      <c r="G85" s="984">
        <f t="shared" si="47"/>
        <v>0</v>
      </c>
      <c r="R85" s="955"/>
      <c r="S85" s="955"/>
    </row>
    <row r="86" spans="2:19" x14ac:dyDescent="0.35">
      <c r="C86" s="979">
        <v>2021</v>
      </c>
      <c r="D86" s="979">
        <v>2022</v>
      </c>
      <c r="E86" s="979">
        <v>2023</v>
      </c>
      <c r="F86" s="979">
        <v>2024</v>
      </c>
      <c r="G86" s="979">
        <v>2025</v>
      </c>
      <c r="R86" s="955"/>
      <c r="S86" s="955"/>
    </row>
    <row r="87" spans="2:19" x14ac:dyDescent="0.35">
      <c r="B87" s="939" t="s">
        <v>846</v>
      </c>
      <c r="C87" s="983">
        <f>SUM(C83:C85)</f>
        <v>3.3999999999999995</v>
      </c>
      <c r="D87" s="983">
        <f t="shared" ref="D87:G87" si="48">SUM(D83:D85)</f>
        <v>5.0999999999999996</v>
      </c>
      <c r="E87" s="983">
        <f t="shared" si="48"/>
        <v>0</v>
      </c>
      <c r="F87" s="983">
        <f t="shared" si="48"/>
        <v>0</v>
      </c>
      <c r="G87" s="983">
        <f t="shared" si="48"/>
        <v>0</v>
      </c>
      <c r="R87" s="955"/>
      <c r="S87" s="955"/>
    </row>
    <row r="90" spans="2:19" x14ac:dyDescent="0.35">
      <c r="B90" s="939" t="s">
        <v>742</v>
      </c>
      <c r="C90" s="984">
        <v>26.636000000000024</v>
      </c>
      <c r="D90" s="984">
        <v>98.978999999999999</v>
      </c>
      <c r="E90" s="984">
        <v>2.1159999999999997</v>
      </c>
      <c r="F90" s="984">
        <v>2.1789999999999998</v>
      </c>
      <c r="G90" s="984">
        <v>2.33</v>
      </c>
      <c r="H90" s="984"/>
      <c r="I90" s="984"/>
      <c r="J90" s="984"/>
      <c r="K90" s="984"/>
      <c r="L90" s="984"/>
      <c r="M90" s="984"/>
    </row>
    <row r="91" spans="2:19" x14ac:dyDescent="0.35">
      <c r="B91" s="939" t="s">
        <v>743</v>
      </c>
      <c r="C91" s="984">
        <v>47.722000000000016</v>
      </c>
      <c r="D91" s="984">
        <v>52.756999999999998</v>
      </c>
      <c r="E91" s="984">
        <v>12</v>
      </c>
      <c r="F91" s="984">
        <v>4.2219999999999995</v>
      </c>
      <c r="G91" s="984">
        <v>2.3719999999999999</v>
      </c>
      <c r="H91" s="984"/>
      <c r="I91" s="984"/>
      <c r="J91" s="984"/>
      <c r="K91" s="984"/>
      <c r="L91" s="984"/>
      <c r="M91" s="984"/>
    </row>
    <row r="92" spans="2:19" x14ac:dyDescent="0.35">
      <c r="B92" s="939" t="s">
        <v>52</v>
      </c>
      <c r="C92" s="984">
        <v>81.842999999999989</v>
      </c>
      <c r="D92" s="984">
        <v>110.24799999999999</v>
      </c>
      <c r="E92" s="984">
        <v>12.726000000000001</v>
      </c>
      <c r="F92" s="984">
        <v>1.365</v>
      </c>
      <c r="G92" s="984">
        <v>-0.90100000000000025</v>
      </c>
      <c r="H92" s="984"/>
      <c r="I92" s="984"/>
      <c r="J92" s="984"/>
      <c r="K92" s="984"/>
      <c r="L92" s="984"/>
      <c r="M92" s="984"/>
    </row>
    <row r="93" spans="2:19" x14ac:dyDescent="0.35">
      <c r="B93" s="939" t="s">
        <v>131</v>
      </c>
      <c r="C93" s="984">
        <v>7.798</v>
      </c>
      <c r="D93" s="984">
        <v>7.9489999999999998</v>
      </c>
      <c r="E93" s="984">
        <v>4.7519999999999998</v>
      </c>
      <c r="F93" s="984">
        <v>4.637999999999999</v>
      </c>
      <c r="G93" s="984">
        <v>1.8800000000000001</v>
      </c>
      <c r="H93" s="984"/>
      <c r="I93" s="984"/>
      <c r="J93" s="984"/>
      <c r="K93" s="984"/>
      <c r="L93" s="984"/>
      <c r="M93" s="984"/>
    </row>
    <row r="94" spans="2:19" x14ac:dyDescent="0.35">
      <c r="B94" s="939" t="s">
        <v>396</v>
      </c>
      <c r="C94" s="984">
        <v>283.95749999999998</v>
      </c>
      <c r="D94" s="984">
        <v>77.092500000000001</v>
      </c>
      <c r="E94" s="984">
        <v>1</v>
      </c>
      <c r="F94" s="984">
        <v>0</v>
      </c>
      <c r="G94" s="984">
        <v>0</v>
      </c>
      <c r="H94" s="984"/>
      <c r="I94" s="984"/>
      <c r="J94" s="984"/>
      <c r="K94" s="984"/>
      <c r="L94" s="984"/>
      <c r="M94" s="984"/>
    </row>
    <row r="95" spans="2:19" x14ac:dyDescent="0.35">
      <c r="B95" s="939" t="s">
        <v>150</v>
      </c>
      <c r="C95" s="984">
        <v>12.347</v>
      </c>
      <c r="D95" s="984">
        <v>46.79</v>
      </c>
      <c r="E95" s="984">
        <v>38.595999999999997</v>
      </c>
      <c r="F95" s="984">
        <v>31.911000000000001</v>
      </c>
      <c r="G95" s="984">
        <v>23.099</v>
      </c>
      <c r="H95" s="984"/>
      <c r="I95" s="984"/>
      <c r="J95" s="984"/>
      <c r="K95" s="984"/>
      <c r="L95" s="984"/>
      <c r="M95" s="984"/>
    </row>
    <row r="96" spans="2:19" x14ac:dyDescent="0.35">
      <c r="B96" s="939" t="s">
        <v>412</v>
      </c>
      <c r="C96" s="984">
        <v>2.286</v>
      </c>
      <c r="D96" s="984">
        <v>4.6049999999999995</v>
      </c>
      <c r="E96" s="984">
        <v>1.349</v>
      </c>
      <c r="F96" s="984">
        <v>0.441</v>
      </c>
      <c r="G96" s="984">
        <v>0.313</v>
      </c>
      <c r="H96" s="984"/>
      <c r="I96" s="984"/>
      <c r="J96" s="984"/>
      <c r="K96" s="984"/>
      <c r="L96" s="984"/>
      <c r="M96" s="984"/>
    </row>
    <row r="97" spans="2:13" x14ac:dyDescent="0.35">
      <c r="B97" s="939" t="s">
        <v>159</v>
      </c>
      <c r="C97" s="984">
        <v>25.75</v>
      </c>
      <c r="D97" s="984">
        <v>0</v>
      </c>
      <c r="E97" s="984">
        <v>0</v>
      </c>
      <c r="F97" s="984">
        <v>0</v>
      </c>
      <c r="G97" s="984">
        <v>0</v>
      </c>
      <c r="H97" s="984"/>
      <c r="I97" s="984"/>
      <c r="J97" s="984"/>
      <c r="K97" s="984"/>
      <c r="L97" s="984"/>
      <c r="M97" s="984"/>
    </row>
    <row r="98" spans="2:13" x14ac:dyDescent="0.35">
      <c r="B98" s="939" t="s">
        <v>109</v>
      </c>
      <c r="C98" s="984">
        <v>60.441000000000003</v>
      </c>
      <c r="D98" s="984">
        <v>91.678999999999988</v>
      </c>
      <c r="E98" s="984">
        <v>41.220000000000006</v>
      </c>
      <c r="F98" s="984">
        <v>14.004000000000003</v>
      </c>
      <c r="G98" s="984">
        <v>3.8530000000000006</v>
      </c>
      <c r="H98" s="984"/>
      <c r="I98" s="984"/>
      <c r="J98" s="984"/>
      <c r="K98" s="984"/>
      <c r="L98" s="984"/>
      <c r="M98" s="984"/>
    </row>
    <row r="99" spans="2:13" x14ac:dyDescent="0.35">
      <c r="C99" s="979">
        <v>3.4</v>
      </c>
      <c r="D99" s="979">
        <v>5.0999999999999996</v>
      </c>
      <c r="E99" s="979">
        <v>0</v>
      </c>
      <c r="F99" s="979">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53125" defaultRowHeight="14.5" x14ac:dyDescent="0.35"/>
  <sheetData>
    <row r="1" spans="1:12" x14ac:dyDescent="0.3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75" customHeight="1" x14ac:dyDescent="0.35">
      <c r="A1" s="45" t="s">
        <v>33</v>
      </c>
      <c r="B1" s="46" t="s">
        <v>34</v>
      </c>
      <c r="C1" s="46" t="s">
        <v>35</v>
      </c>
      <c r="D1" s="47" t="s">
        <v>36</v>
      </c>
    </row>
    <row r="2" spans="1:4" ht="79.5" customHeight="1" x14ac:dyDescent="0.35">
      <c r="A2" s="42" t="s">
        <v>949</v>
      </c>
      <c r="B2" s="43" t="s">
        <v>996</v>
      </c>
      <c r="C2" s="43" t="s">
        <v>997</v>
      </c>
      <c r="D2" s="39" t="s">
        <v>1014</v>
      </c>
    </row>
    <row r="3" spans="1:4" ht="63.75" customHeight="1" x14ac:dyDescent="0.35">
      <c r="A3" s="18" t="s">
        <v>79</v>
      </c>
      <c r="B3" s="38" t="s">
        <v>40</v>
      </c>
      <c r="C3" s="38" t="s">
        <v>41</v>
      </c>
      <c r="D3" s="40" t="s">
        <v>1014</v>
      </c>
    </row>
    <row r="4" spans="1:4" ht="137.25" customHeight="1" x14ac:dyDescent="0.35">
      <c r="A4" s="48" t="s">
        <v>80</v>
      </c>
      <c r="B4" s="38" t="s">
        <v>995</v>
      </c>
      <c r="C4" s="14" t="s">
        <v>951</v>
      </c>
      <c r="D4" s="40"/>
    </row>
    <row r="5" spans="1:4" ht="29.25" customHeight="1" x14ac:dyDescent="0.35">
      <c r="A5" s="48" t="s">
        <v>81</v>
      </c>
      <c r="B5" s="49" t="s">
        <v>82</v>
      </c>
      <c r="C5" s="36" t="s">
        <v>83</v>
      </c>
      <c r="D5" s="40"/>
    </row>
    <row r="6" spans="1:4" ht="43.25" customHeight="1" x14ac:dyDescent="0.35">
      <c r="A6" s="20" t="s">
        <v>84</v>
      </c>
      <c r="B6" s="44" t="s">
        <v>953</v>
      </c>
      <c r="C6" s="37" t="s">
        <v>952</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2" width="11.81640625" customWidth="1"/>
  </cols>
  <sheetData>
    <row r="1" spans="1:212" x14ac:dyDescent="0.35">
      <c r="A1" s="77" t="s">
        <v>1858</v>
      </c>
      <c r="B1" s="77" t="s">
        <v>1859</v>
      </c>
      <c r="C1" s="77" t="s">
        <v>1860</v>
      </c>
      <c r="D1" s="77" t="s">
        <v>1861</v>
      </c>
      <c r="E1" s="77" t="s">
        <v>1862</v>
      </c>
      <c r="F1" s="77" t="s">
        <v>1863</v>
      </c>
      <c r="G1" s="77" t="s">
        <v>1864</v>
      </c>
      <c r="H1" s="77" t="s">
        <v>1865</v>
      </c>
      <c r="I1" s="77" t="s">
        <v>1866</v>
      </c>
      <c r="J1" s="77" t="s">
        <v>1867</v>
      </c>
      <c r="K1" s="77" t="s">
        <v>1868</v>
      </c>
      <c r="L1" s="77" t="s">
        <v>1869</v>
      </c>
      <c r="M1" s="77" t="s">
        <v>1870</v>
      </c>
      <c r="N1" s="77" t="s">
        <v>1871</v>
      </c>
      <c r="O1" s="77" t="s">
        <v>1872</v>
      </c>
      <c r="P1" s="77" t="s">
        <v>1873</v>
      </c>
      <c r="Q1" s="77" t="s">
        <v>1874</v>
      </c>
      <c r="R1" s="77" t="s">
        <v>1875</v>
      </c>
      <c r="S1" s="77" t="s">
        <v>1876</v>
      </c>
      <c r="T1" s="77" t="s">
        <v>1877</v>
      </c>
      <c r="U1" s="77" t="s">
        <v>1878</v>
      </c>
      <c r="V1" s="77" t="s">
        <v>1879</v>
      </c>
      <c r="W1" s="77" t="s">
        <v>1880</v>
      </c>
      <c r="X1" s="77" t="s">
        <v>1881</v>
      </c>
      <c r="Y1" s="77" t="s">
        <v>1882</v>
      </c>
      <c r="Z1" s="77" t="s">
        <v>1883</v>
      </c>
      <c r="AA1" s="77" t="s">
        <v>1884</v>
      </c>
      <c r="AB1" s="77" t="s">
        <v>1885</v>
      </c>
      <c r="AC1" s="77" t="s">
        <v>1886</v>
      </c>
      <c r="AD1" s="77" t="s">
        <v>1887</v>
      </c>
      <c r="AE1" s="77" t="s">
        <v>1888</v>
      </c>
      <c r="AF1" s="77" t="s">
        <v>1889</v>
      </c>
      <c r="AG1" s="77" t="s">
        <v>1890</v>
      </c>
      <c r="AH1" s="77" t="s">
        <v>1891</v>
      </c>
      <c r="AI1" s="77" t="s">
        <v>1892</v>
      </c>
      <c r="AJ1" s="77" t="s">
        <v>1893</v>
      </c>
      <c r="AK1" s="77" t="s">
        <v>1894</v>
      </c>
      <c r="AL1" s="77" t="s">
        <v>1895</v>
      </c>
      <c r="AM1" s="77" t="s">
        <v>1896</v>
      </c>
      <c r="AN1" s="77" t="s">
        <v>1897</v>
      </c>
      <c r="AO1" s="77" t="s">
        <v>1898</v>
      </c>
      <c r="AP1" s="77" t="s">
        <v>1899</v>
      </c>
      <c r="AQ1" s="77" t="s">
        <v>1900</v>
      </c>
      <c r="AR1" s="77" t="s">
        <v>1901</v>
      </c>
      <c r="AS1" s="77" t="s">
        <v>1902</v>
      </c>
      <c r="AT1" s="77" t="s">
        <v>1903</v>
      </c>
      <c r="AU1" s="77" t="s">
        <v>1904</v>
      </c>
      <c r="AV1" s="77" t="s">
        <v>1905</v>
      </c>
      <c r="AW1" s="77" t="s">
        <v>1906</v>
      </c>
      <c r="AX1" s="77" t="s">
        <v>1907</v>
      </c>
      <c r="AY1" s="77" t="s">
        <v>1908</v>
      </c>
      <c r="AZ1" s="77" t="s">
        <v>1909</v>
      </c>
      <c r="BA1" s="77" t="s">
        <v>1910</v>
      </c>
      <c r="BB1" s="77" t="s">
        <v>1911</v>
      </c>
      <c r="BC1" s="77" t="s">
        <v>1912</v>
      </c>
      <c r="BD1" s="77" t="s">
        <v>1913</v>
      </c>
      <c r="BE1" s="77" t="s">
        <v>1914</v>
      </c>
      <c r="BF1" s="77" t="s">
        <v>1915</v>
      </c>
      <c r="BG1" s="77" t="s">
        <v>1916</v>
      </c>
      <c r="BH1" s="77" t="s">
        <v>1917</v>
      </c>
      <c r="BI1" s="77" t="s">
        <v>1918</v>
      </c>
      <c r="BJ1" s="77" t="s">
        <v>1919</v>
      </c>
      <c r="BK1" s="77" t="s">
        <v>1920</v>
      </c>
      <c r="BL1" s="77" t="s">
        <v>1921</v>
      </c>
      <c r="BM1" s="77" t="s">
        <v>1922</v>
      </c>
      <c r="BN1" s="77" t="s">
        <v>1923</v>
      </c>
      <c r="BO1" s="77" t="s">
        <v>1924</v>
      </c>
      <c r="BP1" s="77" t="s">
        <v>1925</v>
      </c>
      <c r="BQ1" s="77" t="s">
        <v>1926</v>
      </c>
      <c r="BR1" s="77" t="s">
        <v>1927</v>
      </c>
      <c r="BS1" s="77" t="s">
        <v>1928</v>
      </c>
      <c r="BT1" s="77" t="s">
        <v>1929</v>
      </c>
      <c r="BU1" s="77" t="s">
        <v>1930</v>
      </c>
      <c r="BV1" s="77" t="s">
        <v>1931</v>
      </c>
      <c r="BW1" s="77" t="s">
        <v>1932</v>
      </c>
      <c r="BX1" s="77" t="s">
        <v>1933</v>
      </c>
      <c r="BY1" s="77" t="s">
        <v>1934</v>
      </c>
      <c r="BZ1" s="77" t="s">
        <v>1935</v>
      </c>
      <c r="CA1" s="77" t="s">
        <v>1936</v>
      </c>
      <c r="CB1" s="77" t="s">
        <v>1937</v>
      </c>
      <c r="CC1" s="77" t="s">
        <v>1938</v>
      </c>
      <c r="CD1" s="77" t="s">
        <v>1939</v>
      </c>
      <c r="CE1" s="77" t="s">
        <v>1940</v>
      </c>
      <c r="CF1" s="77" t="s">
        <v>1941</v>
      </c>
      <c r="CG1" s="77" t="s">
        <v>1942</v>
      </c>
      <c r="CH1" s="77" t="s">
        <v>1943</v>
      </c>
      <c r="CI1" s="77" t="s">
        <v>1944</v>
      </c>
      <c r="CJ1" s="77" t="s">
        <v>1945</v>
      </c>
      <c r="CK1" s="77" t="s">
        <v>1946</v>
      </c>
      <c r="CL1" s="77" t="s">
        <v>1947</v>
      </c>
      <c r="CM1" s="77" t="s">
        <v>1948</v>
      </c>
      <c r="CN1" s="77" t="s">
        <v>1949</v>
      </c>
      <c r="CO1" s="77" t="s">
        <v>1950</v>
      </c>
      <c r="CP1" s="77" t="s">
        <v>1951</v>
      </c>
      <c r="CQ1" s="77" t="s">
        <v>1952</v>
      </c>
      <c r="CR1" s="77" t="s">
        <v>1953</v>
      </c>
      <c r="CS1" s="77" t="s">
        <v>1954</v>
      </c>
      <c r="CT1" s="77" t="s">
        <v>1955</v>
      </c>
      <c r="CU1" s="77" t="s">
        <v>1956</v>
      </c>
      <c r="CV1" s="77" t="s">
        <v>1957</v>
      </c>
      <c r="CW1" s="77" t="s">
        <v>1958</v>
      </c>
      <c r="CX1" s="77" t="s">
        <v>1959</v>
      </c>
      <c r="CY1" s="77" t="s">
        <v>1960</v>
      </c>
      <c r="CZ1" s="77" t="s">
        <v>1961</v>
      </c>
      <c r="DA1" s="77" t="s">
        <v>1962</v>
      </c>
      <c r="DB1" s="77" t="s">
        <v>1963</v>
      </c>
      <c r="DC1" s="77" t="s">
        <v>1964</v>
      </c>
      <c r="DD1" s="77" t="s">
        <v>1965</v>
      </c>
      <c r="DE1" s="77" t="s">
        <v>1966</v>
      </c>
      <c r="DF1" s="77" t="s">
        <v>1967</v>
      </c>
      <c r="DG1" s="77" t="s">
        <v>1968</v>
      </c>
      <c r="DH1" s="77" t="s">
        <v>1969</v>
      </c>
      <c r="DI1" s="77" t="s">
        <v>1970</v>
      </c>
      <c r="DJ1" s="77" t="s">
        <v>1971</v>
      </c>
      <c r="DK1" s="77" t="s">
        <v>1972</v>
      </c>
      <c r="DL1" s="77" t="s">
        <v>1973</v>
      </c>
      <c r="DM1" s="77" t="s">
        <v>1974</v>
      </c>
      <c r="DN1" s="77" t="s">
        <v>1975</v>
      </c>
      <c r="DO1" s="77" t="s">
        <v>1976</v>
      </c>
      <c r="DP1" s="77" t="s">
        <v>1977</v>
      </c>
      <c r="DQ1" s="77" t="s">
        <v>1978</v>
      </c>
      <c r="DR1" s="77" t="s">
        <v>1979</v>
      </c>
      <c r="DS1" s="77" t="s">
        <v>1980</v>
      </c>
      <c r="DT1" s="77" t="s">
        <v>1981</v>
      </c>
      <c r="DU1" s="77" t="s">
        <v>1982</v>
      </c>
      <c r="DV1" s="77" t="s">
        <v>1983</v>
      </c>
      <c r="DW1" s="77" t="s">
        <v>1984</v>
      </c>
      <c r="DX1" s="77" t="s">
        <v>1985</v>
      </c>
      <c r="DY1" s="77" t="s">
        <v>1986</v>
      </c>
      <c r="DZ1" s="77" t="s">
        <v>1987</v>
      </c>
      <c r="EA1" s="77" t="s">
        <v>1988</v>
      </c>
      <c r="EB1" s="77" t="s">
        <v>1989</v>
      </c>
      <c r="EC1" s="77" t="s">
        <v>1990</v>
      </c>
      <c r="ED1" s="77" t="s">
        <v>1991</v>
      </c>
      <c r="EE1" s="77" t="s">
        <v>1992</v>
      </c>
      <c r="EF1" s="77" t="s">
        <v>1993</v>
      </c>
      <c r="EG1" s="77" t="s">
        <v>1994</v>
      </c>
      <c r="EH1" s="77" t="s">
        <v>1995</v>
      </c>
      <c r="EI1" s="77" t="s">
        <v>1996</v>
      </c>
      <c r="EJ1" s="77" t="s">
        <v>1997</v>
      </c>
      <c r="EK1" s="77" t="s">
        <v>1998</v>
      </c>
      <c r="EL1" s="77" t="s">
        <v>1999</v>
      </c>
      <c r="EM1" s="77" t="s">
        <v>2000</v>
      </c>
      <c r="EN1" s="77" t="s">
        <v>2001</v>
      </c>
      <c r="EO1" s="77" t="s">
        <v>2002</v>
      </c>
      <c r="EP1" s="77" t="s">
        <v>2003</v>
      </c>
      <c r="EQ1" s="77" t="s">
        <v>2004</v>
      </c>
      <c r="ER1" s="77" t="s">
        <v>2005</v>
      </c>
      <c r="ES1" s="77" t="s">
        <v>2006</v>
      </c>
      <c r="ET1" s="77" t="s">
        <v>2007</v>
      </c>
      <c r="EU1" s="77" t="s">
        <v>2008</v>
      </c>
      <c r="EV1" s="77" t="s">
        <v>2009</v>
      </c>
      <c r="EW1" s="77" t="s">
        <v>2010</v>
      </c>
      <c r="EX1" s="77" t="s">
        <v>2011</v>
      </c>
      <c r="EY1" s="77" t="s">
        <v>2012</v>
      </c>
      <c r="EZ1" s="77" t="s">
        <v>2013</v>
      </c>
      <c r="FA1" s="77" t="s">
        <v>2014</v>
      </c>
      <c r="FB1" s="77" t="s">
        <v>2015</v>
      </c>
      <c r="FC1" s="77" t="s">
        <v>2016</v>
      </c>
      <c r="FD1" s="77" t="s">
        <v>2017</v>
      </c>
      <c r="FE1" s="77" t="s">
        <v>2018</v>
      </c>
      <c r="FF1" s="77" t="s">
        <v>2019</v>
      </c>
      <c r="FG1" s="77" t="s">
        <v>2020</v>
      </c>
      <c r="FH1" s="77" t="s">
        <v>2021</v>
      </c>
      <c r="FI1" s="77" t="s">
        <v>2022</v>
      </c>
      <c r="FJ1" s="77" t="s">
        <v>2023</v>
      </c>
      <c r="FK1" s="77" t="s">
        <v>2024</v>
      </c>
      <c r="FL1" s="77" t="s">
        <v>2025</v>
      </c>
      <c r="FM1" s="77" t="s">
        <v>2026</v>
      </c>
      <c r="FN1" s="77" t="s">
        <v>2027</v>
      </c>
      <c r="FO1" s="77" t="s">
        <v>2028</v>
      </c>
      <c r="FP1" s="77" t="s">
        <v>2029</v>
      </c>
      <c r="FQ1" s="77" t="s">
        <v>2030</v>
      </c>
      <c r="FR1" s="77" t="s">
        <v>2031</v>
      </c>
      <c r="FS1" s="77" t="s">
        <v>2032</v>
      </c>
      <c r="FT1" s="77" t="s">
        <v>2033</v>
      </c>
      <c r="FU1" s="77" t="s">
        <v>2034</v>
      </c>
      <c r="FV1" s="77" t="s">
        <v>2035</v>
      </c>
      <c r="FW1" s="77" t="s">
        <v>2036</v>
      </c>
      <c r="FX1" s="77" t="s">
        <v>2037</v>
      </c>
      <c r="FY1" s="77" t="s">
        <v>2038</v>
      </c>
      <c r="FZ1" s="77" t="s">
        <v>2039</v>
      </c>
      <c r="GA1" s="77" t="s">
        <v>2040</v>
      </c>
      <c r="GB1" s="77" t="s">
        <v>2041</v>
      </c>
      <c r="GC1" s="77" t="s">
        <v>2042</v>
      </c>
      <c r="GD1" s="77" t="s">
        <v>2043</v>
      </c>
      <c r="GE1" s="77" t="s">
        <v>2044</v>
      </c>
      <c r="GF1" s="77" t="s">
        <v>2045</v>
      </c>
      <c r="GG1" s="77" t="s">
        <v>2046</v>
      </c>
      <c r="GH1" s="77" t="s">
        <v>2047</v>
      </c>
      <c r="GI1" s="77" t="s">
        <v>2048</v>
      </c>
      <c r="GJ1" s="77" t="s">
        <v>2049</v>
      </c>
      <c r="GK1" s="77" t="s">
        <v>2050</v>
      </c>
      <c r="GL1" s="77" t="s">
        <v>2051</v>
      </c>
      <c r="GM1" s="77" t="s">
        <v>2052</v>
      </c>
      <c r="GN1" s="77" t="s">
        <v>2053</v>
      </c>
      <c r="GO1" s="77" t="s">
        <v>2054</v>
      </c>
      <c r="GP1" s="77" t="s">
        <v>2055</v>
      </c>
      <c r="GQ1" s="77" t="s">
        <v>2056</v>
      </c>
      <c r="GR1" s="77" t="s">
        <v>2057</v>
      </c>
      <c r="GS1" s="77" t="s">
        <v>2058</v>
      </c>
      <c r="GT1" s="77" t="s">
        <v>2059</v>
      </c>
      <c r="GU1" s="77" t="s">
        <v>2060</v>
      </c>
      <c r="GV1" s="77" t="s">
        <v>2061</v>
      </c>
      <c r="GW1" s="77" t="s">
        <v>2062</v>
      </c>
      <c r="GX1" s="77" t="s">
        <v>2063</v>
      </c>
      <c r="GY1" s="77" t="s">
        <v>2064</v>
      </c>
      <c r="GZ1" s="77" t="s">
        <v>2065</v>
      </c>
      <c r="HA1" s="77" t="s">
        <v>2066</v>
      </c>
      <c r="HB1" s="77" t="s">
        <v>2067</v>
      </c>
      <c r="HC1" s="77" t="s">
        <v>2068</v>
      </c>
      <c r="HD1" s="77" t="s">
        <v>2069</v>
      </c>
    </row>
    <row r="2" spans="1:212" x14ac:dyDescent="0.35">
      <c r="A2" s="36" t="s">
        <v>2070</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5">
      <c r="A3" s="36" t="s">
        <v>2071</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5">
      <c r="A4" s="36" t="s">
        <v>2072</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5">
      <c r="A5" s="36" t="s">
        <v>2073</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5">
      <c r="A6" s="36" t="s">
        <v>2074</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5">
      <c r="A7" s="36" t="s">
        <v>2075</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5">
      <c r="A8" s="36" t="s">
        <v>2076</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5">
      <c r="A9" s="36" t="s">
        <v>2077</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5">
      <c r="A10" s="36" t="s">
        <v>2078</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5">
      <c r="A11" s="36" t="s">
        <v>2079</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5">
      <c r="A12" s="36" t="s">
        <v>2080</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2081</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5">
      <c r="A14" s="36" t="s">
        <v>2082</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5">
      <c r="A15" s="36" t="s">
        <v>2083</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5">
      <c r="A16" s="36" t="s">
        <v>2084</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2085</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5">
      <c r="A18" s="36" t="s">
        <v>2086</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5">
      <c r="A19" s="36" t="s">
        <v>2087</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5">
      <c r="A20" s="36" t="s">
        <v>2088</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5">
      <c r="A21" s="36" t="s">
        <v>2089</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5">
      <c r="A22" s="36" t="s">
        <v>2090</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5">
      <c r="A23" s="36" t="s">
        <v>2091</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5">
      <c r="A24" s="36" t="s">
        <v>2092</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5">
      <c r="A25" s="36" t="s">
        <v>2093</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5">
      <c r="A26" s="36" t="s">
        <v>2094</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5">
      <c r="A27" s="36" t="s">
        <v>2095</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5">
      <c r="A28" s="36" t="s">
        <v>2096</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5">
      <c r="A29" s="36" t="s">
        <v>2097</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5">
      <c r="A30" s="36" t="s">
        <v>2098</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5">
      <c r="A31" s="36" t="s">
        <v>2099</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5">
      <c r="A32" s="36" t="s">
        <v>2100</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2101</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5">
      <c r="A34" s="36" t="s">
        <v>2102</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5">
      <c r="A35" s="36" t="s">
        <v>2103</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5">
      <c r="A36" s="36" t="s">
        <v>2104</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2105</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5">
      <c r="A38" s="36" t="s">
        <v>2106</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5">
      <c r="A39" s="36" t="s">
        <v>2107</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2108</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2109</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5">
      <c r="A42" s="36" t="s">
        <v>2110</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5">
      <c r="A43" s="36" t="s">
        <v>2111</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2112</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5">
      <c r="A45" s="36" t="s">
        <v>2113</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2114</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2115</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2116</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2117</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2118</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2119</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2120</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2121</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2122</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2123</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2124</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2125</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2126</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2127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2128</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2129</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2130</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2131</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2132</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2133</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5">
      <c r="A66" s="36" t="s">
        <v>2134</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5">
      <c r="A67" s="36" t="s">
        <v>2135</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2136</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2137</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2138</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2139</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2140</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5">
      <c r="A73" s="36" t="s">
        <v>2141</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5">
      <c r="A74" s="36" t="s">
        <v>2142</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5">
      <c r="A75" s="36" t="s">
        <v>2143</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5">
      <c r="A76" s="36" t="s">
        <v>2144</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5">
      <c r="A77" s="36" t="s">
        <v>2145</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5">
      <c r="A78" s="36" t="s">
        <v>2146</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5">
      <c r="A79" s="36" t="s">
        <v>2147</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5">
      <c r="A80" s="36" t="s">
        <v>2148</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5">
      <c r="A81" s="36" t="s">
        <v>2149</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5">
      <c r="A82" s="36" t="s">
        <v>2150</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5">
      <c r="A83" s="36" t="s">
        <v>2151</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5">
      <c r="A84" s="36" t="s">
        <v>2152</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5">
      <c r="A85" s="36" t="s">
        <v>2153</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5">
      <c r="A86" s="36" t="s">
        <v>2154</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2155</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5" customHeight="1" x14ac:dyDescent="0.35">
      <c r="A88" s="36" t="s">
        <v>2156</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5">
      <c r="A89" s="36" t="s">
        <v>2157</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1857</v>
      </c>
      <c r="E2" s="62" t="s">
        <v>2214</v>
      </c>
      <c r="F2" s="62"/>
      <c r="H2" s="63"/>
    </row>
    <row r="3" spans="1:11" x14ac:dyDescent="0.35">
      <c r="B3" s="57" t="s">
        <v>91</v>
      </c>
      <c r="C3" s="57" t="str">
        <f>'Haver Pivoted'!A2</f>
        <v>gdp</v>
      </c>
      <c r="D3">
        <v>25723.9</v>
      </c>
      <c r="E3" s="57">
        <f>'Haver Pivoted'!HE2</f>
        <v>0</v>
      </c>
      <c r="F3" s="57">
        <f>E3-D3</f>
        <v>-25723.9</v>
      </c>
      <c r="G3" s="64">
        <f>F3/D3</f>
        <v>-1</v>
      </c>
      <c r="H3" s="65"/>
    </row>
    <row r="4" spans="1:11" x14ac:dyDescent="0.35">
      <c r="B4" s="57" t="s">
        <v>92</v>
      </c>
      <c r="C4" s="57" t="str">
        <f>'Haver Pivoted'!A3</f>
        <v>gdph</v>
      </c>
      <c r="D4">
        <v>20054.7</v>
      </c>
      <c r="E4" s="57">
        <f>'Haver Pivoted'!HE3</f>
        <v>0</v>
      </c>
      <c r="F4" s="57">
        <f t="shared" ref="F4:F67" si="0">E4-D4</f>
        <v>-20054.7</v>
      </c>
      <c r="G4" s="64">
        <f t="shared" ref="G4:G67" si="1">F4/D4</f>
        <v>-1</v>
      </c>
      <c r="H4" s="65"/>
    </row>
    <row r="5" spans="1:11" x14ac:dyDescent="0.35">
      <c r="B5" s="57" t="s">
        <v>93</v>
      </c>
      <c r="C5" s="57" t="str">
        <f>'Haver Pivoted'!A4</f>
        <v>jgdp</v>
      </c>
      <c r="D5">
        <v>128.27600000000001</v>
      </c>
      <c r="E5" s="57">
        <f>'Haver Pivoted'!HE4</f>
        <v>0</v>
      </c>
      <c r="F5" s="57">
        <f t="shared" si="0"/>
        <v>-128.27600000000001</v>
      </c>
      <c r="G5" s="64">
        <f t="shared" si="1"/>
        <v>-1</v>
      </c>
      <c r="H5" s="66"/>
    </row>
    <row r="6" spans="1:11" x14ac:dyDescent="0.35">
      <c r="B6" s="57" t="s">
        <v>94</v>
      </c>
      <c r="C6" s="57" t="str">
        <f>'Haver Pivoted'!A5</f>
        <v>c</v>
      </c>
      <c r="D6">
        <v>17542.7</v>
      </c>
      <c r="E6" s="57">
        <f>'Haver Pivoted'!HE5</f>
        <v>0</v>
      </c>
      <c r="F6" s="57">
        <f t="shared" si="0"/>
        <v>-17542.7</v>
      </c>
      <c r="G6" s="64">
        <f t="shared" si="1"/>
        <v>-1</v>
      </c>
    </row>
    <row r="7" spans="1:11" x14ac:dyDescent="0.35">
      <c r="B7" s="57" t="s">
        <v>95</v>
      </c>
      <c r="C7" s="57" t="str">
        <f>'Haver Pivoted'!A6</f>
        <v>ch</v>
      </c>
      <c r="D7">
        <v>14178.6</v>
      </c>
      <c r="E7" s="57">
        <f>'Haver Pivoted'!HE6</f>
        <v>0</v>
      </c>
      <c r="F7" s="57">
        <f t="shared" si="0"/>
        <v>-14178.6</v>
      </c>
      <c r="G7" s="64">
        <f t="shared" si="1"/>
        <v>-1</v>
      </c>
      <c r="K7" s="66"/>
    </row>
    <row r="8" spans="1:11" x14ac:dyDescent="0.35">
      <c r="B8" s="57" t="s">
        <v>96</v>
      </c>
      <c r="C8" s="57" t="str">
        <f>'Haver Pivoted'!A7</f>
        <v>jc</v>
      </c>
      <c r="D8">
        <v>123.76</v>
      </c>
      <c r="E8" s="57">
        <f>'Haver Pivoted'!HE7</f>
        <v>0</v>
      </c>
      <c r="F8" s="57">
        <f t="shared" si="0"/>
        <v>-123.76</v>
      </c>
      <c r="G8" s="64">
        <f t="shared" si="1"/>
        <v>-1</v>
      </c>
    </row>
    <row r="9" spans="1:11" x14ac:dyDescent="0.35">
      <c r="B9" s="57" t="s">
        <v>97</v>
      </c>
      <c r="C9" s="57" t="str">
        <f>'Haver Pivoted'!A8</f>
        <v>jgf</v>
      </c>
      <c r="D9">
        <v>122.383</v>
      </c>
      <c r="E9" s="57">
        <f>'Haver Pivoted'!HE8</f>
        <v>0</v>
      </c>
      <c r="F9" s="57">
        <f t="shared" si="0"/>
        <v>-122.383</v>
      </c>
      <c r="G9" s="64">
        <f t="shared" si="1"/>
        <v>-1</v>
      </c>
    </row>
    <row r="10" spans="1:11" x14ac:dyDescent="0.35">
      <c r="B10" s="57" t="s">
        <v>98</v>
      </c>
      <c r="C10" s="57" t="str">
        <f>'Haver Pivoted'!A9</f>
        <v>jgs</v>
      </c>
      <c r="D10">
        <v>137.91399999999999</v>
      </c>
      <c r="E10" s="57">
        <f>'Haver Pivoted'!HE9</f>
        <v>0</v>
      </c>
      <c r="F10" s="57">
        <f t="shared" si="0"/>
        <v>-137.91399999999999</v>
      </c>
      <c r="G10" s="64">
        <f t="shared" si="1"/>
        <v>-1</v>
      </c>
    </row>
    <row r="11" spans="1:11" x14ac:dyDescent="0.35">
      <c r="B11" s="57" t="s">
        <v>99</v>
      </c>
      <c r="C11" s="57" t="str">
        <f>'Haver Pivoted'!A10</f>
        <v>jgse</v>
      </c>
      <c r="D11">
        <v>137.30199999999999</v>
      </c>
      <c r="E11" s="57">
        <f>'Haver Pivoted'!HE10</f>
        <v>0</v>
      </c>
      <c r="F11" s="57">
        <f t="shared" si="0"/>
        <v>-137.30199999999999</v>
      </c>
      <c r="G11" s="64">
        <f t="shared" si="1"/>
        <v>-1</v>
      </c>
    </row>
    <row r="12" spans="1:11" x14ac:dyDescent="0.35">
      <c r="B12" s="57" t="s">
        <v>100</v>
      </c>
      <c r="C12" s="57" t="str">
        <f>'Haver Pivoted'!A11</f>
        <v>jgsi</v>
      </c>
      <c r="D12">
        <v>140.93</v>
      </c>
      <c r="E12" s="57">
        <f>'Haver Pivoted'!HE11</f>
        <v>0</v>
      </c>
      <c r="F12" s="57">
        <f t="shared" si="0"/>
        <v>-140.93</v>
      </c>
      <c r="G12" s="64">
        <f t="shared" si="1"/>
        <v>-1</v>
      </c>
    </row>
    <row r="13" spans="1:11" x14ac:dyDescent="0.35">
      <c r="A13" s="57" t="s">
        <v>55</v>
      </c>
      <c r="B13" s="57" t="s">
        <v>55</v>
      </c>
      <c r="C13" s="57" t="str">
        <f>'Haver Pivoted'!A12</f>
        <v>yptmr</v>
      </c>
      <c r="D13">
        <v>920.3</v>
      </c>
      <c r="E13" s="57">
        <f>'Haver Pivoted'!HE12</f>
        <v>0</v>
      </c>
      <c r="F13" s="57">
        <f t="shared" si="0"/>
        <v>-920.3</v>
      </c>
      <c r="G13" s="64">
        <f t="shared" si="1"/>
        <v>-1</v>
      </c>
      <c r="I13" s="67"/>
    </row>
    <row r="14" spans="1:11" x14ac:dyDescent="0.35">
      <c r="A14" s="57" t="s">
        <v>54</v>
      </c>
      <c r="B14" s="57" t="s">
        <v>101</v>
      </c>
      <c r="C14" s="57" t="str">
        <f>'Haver Pivoted'!A13</f>
        <v>yptmd</v>
      </c>
      <c r="D14">
        <v>786.1</v>
      </c>
      <c r="E14" s="57">
        <f>'Haver Pivoted'!HE13</f>
        <v>0</v>
      </c>
      <c r="F14" s="57">
        <f t="shared" si="0"/>
        <v>-786.1</v>
      </c>
      <c r="G14" s="64">
        <f t="shared" si="1"/>
        <v>-1</v>
      </c>
    </row>
    <row r="15" spans="1:11" x14ac:dyDescent="0.35">
      <c r="A15" s="57" t="s">
        <v>53</v>
      </c>
      <c r="B15" s="57" t="s">
        <v>102</v>
      </c>
      <c r="C15" s="57" t="str">
        <f>'Haver Pivoted'!A14</f>
        <v>yptu</v>
      </c>
      <c r="D15">
        <v>18.5</v>
      </c>
      <c r="E15" s="57">
        <f>'Haver Pivoted'!HE14</f>
        <v>0</v>
      </c>
      <c r="F15" s="57">
        <f t="shared" si="0"/>
        <v>-18.5</v>
      </c>
      <c r="G15" s="64">
        <f t="shared" si="1"/>
        <v>-1</v>
      </c>
    </row>
    <row r="16" spans="1:11" x14ac:dyDescent="0.35">
      <c r="B16" s="57" t="s">
        <v>57</v>
      </c>
      <c r="C16" s="57" t="str">
        <f>'Haver Pivoted'!A15</f>
        <v>gtfp</v>
      </c>
      <c r="D16">
        <v>3823</v>
      </c>
      <c r="E16" s="57">
        <f>'Haver Pivoted'!HE15</f>
        <v>0</v>
      </c>
      <c r="F16" s="57">
        <f t="shared" si="0"/>
        <v>-3823</v>
      </c>
      <c r="G16" s="64">
        <f t="shared" si="1"/>
        <v>-1</v>
      </c>
    </row>
    <row r="17" spans="1:7" x14ac:dyDescent="0.35">
      <c r="B17" s="57" t="s">
        <v>103</v>
      </c>
      <c r="C17" s="57" t="str">
        <f>'Haver Pivoted'!A16</f>
        <v>ypog</v>
      </c>
      <c r="D17">
        <v>116.4</v>
      </c>
      <c r="E17" s="57">
        <f>'Haver Pivoted'!HE16</f>
        <v>0</v>
      </c>
      <c r="F17" s="57">
        <f t="shared" si="0"/>
        <v>-116.4</v>
      </c>
      <c r="G17" s="64">
        <f t="shared" si="1"/>
        <v>-1</v>
      </c>
    </row>
    <row r="18" spans="1:7" x14ac:dyDescent="0.35">
      <c r="B18" s="57" t="s">
        <v>104</v>
      </c>
      <c r="C18" s="57" t="str">
        <f>'Haver Pivoted'!A17</f>
        <v>yptx</v>
      </c>
      <c r="D18">
        <v>3229.2</v>
      </c>
      <c r="E18" s="57">
        <f>'Haver Pivoted'!HE17</f>
        <v>0</v>
      </c>
      <c r="F18" s="57">
        <f t="shared" si="0"/>
        <v>-3229.2</v>
      </c>
      <c r="G18" s="64">
        <f t="shared" si="1"/>
        <v>-1</v>
      </c>
    </row>
    <row r="19" spans="1:7" x14ac:dyDescent="0.35">
      <c r="B19" s="57" t="s">
        <v>105</v>
      </c>
      <c r="C19" s="57" t="str">
        <f>'Haver Pivoted'!A18</f>
        <v>ytpi</v>
      </c>
      <c r="D19">
        <v>1785.1</v>
      </c>
      <c r="E19" s="57">
        <f>'Haver Pivoted'!HE18</f>
        <v>0</v>
      </c>
      <c r="F19" s="57">
        <f t="shared" si="0"/>
        <v>-1785.1</v>
      </c>
      <c r="G19" s="64">
        <f t="shared" si="1"/>
        <v>-1</v>
      </c>
    </row>
    <row r="20" spans="1:7" x14ac:dyDescent="0.35">
      <c r="B20" s="57" t="s">
        <v>106</v>
      </c>
      <c r="C20" s="57" t="str">
        <f>'Haver Pivoted'!A19</f>
        <v>yctlg</v>
      </c>
      <c r="D20">
        <v>441.3</v>
      </c>
      <c r="E20" s="57">
        <f>'Haver Pivoted'!HE19</f>
        <v>0</v>
      </c>
      <c r="F20" s="57">
        <f t="shared" si="0"/>
        <v>-441.3</v>
      </c>
      <c r="G20" s="64">
        <f t="shared" si="1"/>
        <v>-1</v>
      </c>
    </row>
    <row r="21" spans="1:7" x14ac:dyDescent="0.35">
      <c r="B21" s="57" t="s">
        <v>107</v>
      </c>
      <c r="C21" s="57" t="str">
        <f>'Haver Pivoted'!A20</f>
        <v>g</v>
      </c>
      <c r="D21">
        <v>4493</v>
      </c>
      <c r="E21" s="57">
        <f>'Haver Pivoted'!HE20</f>
        <v>0</v>
      </c>
      <c r="F21" s="57">
        <f t="shared" si="0"/>
        <v>-4493</v>
      </c>
      <c r="G21" s="64">
        <f t="shared" si="1"/>
        <v>-1</v>
      </c>
    </row>
    <row r="22" spans="1:7" x14ac:dyDescent="0.35">
      <c r="B22" s="57" t="s">
        <v>108</v>
      </c>
      <c r="C22" s="57" t="str">
        <f>'Haver Pivoted'!A21</f>
        <v>grcsi</v>
      </c>
      <c r="D22">
        <v>1686.8</v>
      </c>
      <c r="E22" s="57">
        <f>'Haver Pivoted'!HE21</f>
        <v>0</v>
      </c>
      <c r="F22" s="57">
        <f t="shared" si="0"/>
        <v>-1686.8</v>
      </c>
      <c r="G22" s="64">
        <f t="shared" si="1"/>
        <v>-1</v>
      </c>
    </row>
    <row r="23" spans="1:7" x14ac:dyDescent="0.35">
      <c r="B23" s="57" t="s">
        <v>96</v>
      </c>
      <c r="C23" s="57" t="str">
        <f>'Haver Pivoted'!A22</f>
        <v>dc</v>
      </c>
      <c r="D23">
        <v>123.727</v>
      </c>
      <c r="E23" s="57">
        <f>'Haver Pivoted'!HE22</f>
        <v>0</v>
      </c>
      <c r="F23" s="57">
        <f t="shared" si="0"/>
        <v>-123.727</v>
      </c>
      <c r="G23" s="64">
        <f t="shared" si="1"/>
        <v>-1</v>
      </c>
    </row>
    <row r="24" spans="1:7" x14ac:dyDescent="0.35">
      <c r="A24" s="57" t="s">
        <v>109</v>
      </c>
      <c r="B24" s="57" t="s">
        <v>110</v>
      </c>
      <c r="C24" s="57" t="str">
        <f>'Haver Pivoted'!A23</f>
        <v>gf</v>
      </c>
      <c r="D24">
        <v>1657.1</v>
      </c>
      <c r="E24" s="57">
        <f>'Haver Pivoted'!HE23</f>
        <v>0</v>
      </c>
      <c r="F24" s="57">
        <f t="shared" si="0"/>
        <v>-1657.1</v>
      </c>
      <c r="G24" s="64">
        <f t="shared" si="1"/>
        <v>-1</v>
      </c>
    </row>
    <row r="25" spans="1:7" x14ac:dyDescent="0.35">
      <c r="A25" s="57" t="s">
        <v>109</v>
      </c>
      <c r="B25" s="57" t="s">
        <v>111</v>
      </c>
      <c r="C25" s="57" t="str">
        <f>'Haver Pivoted'!A24</f>
        <v>gs</v>
      </c>
      <c r="D25">
        <v>2836</v>
      </c>
      <c r="E25" s="57">
        <f>'Haver Pivoted'!HE24</f>
        <v>0</v>
      </c>
      <c r="F25" s="57">
        <f t="shared" si="0"/>
        <v>-2836</v>
      </c>
      <c r="G25" s="64">
        <f t="shared" si="1"/>
        <v>-1</v>
      </c>
    </row>
    <row r="26" spans="1:7" x14ac:dyDescent="0.35">
      <c r="B26" s="57" t="s">
        <v>112</v>
      </c>
      <c r="C26" s="57" t="str">
        <f>'Haver Pivoted'!A25</f>
        <v>gfh</v>
      </c>
      <c r="D26">
        <v>1353.7</v>
      </c>
      <c r="E26" s="57">
        <f>'Haver Pivoted'!HE25</f>
        <v>0</v>
      </c>
      <c r="F26" s="57">
        <f t="shared" si="0"/>
        <v>-1353.7</v>
      </c>
      <c r="G26" s="64">
        <f t="shared" si="1"/>
        <v>-1</v>
      </c>
    </row>
    <row r="27" spans="1:7" x14ac:dyDescent="0.35">
      <c r="B27" s="57" t="s">
        <v>113</v>
      </c>
      <c r="C27" s="57" t="str">
        <f>'Haver Pivoted'!A26</f>
        <v>gsh</v>
      </c>
      <c r="D27">
        <v>2056.5</v>
      </c>
      <c r="E27" s="57">
        <f>'Haver Pivoted'!HE26</f>
        <v>0</v>
      </c>
      <c r="F27" s="57">
        <f t="shared" si="0"/>
        <v>-2056.5</v>
      </c>
      <c r="G27" s="64">
        <f t="shared" si="1"/>
        <v>-1</v>
      </c>
    </row>
    <row r="28" spans="1:7" x14ac:dyDescent="0.35">
      <c r="A28" s="57" t="s">
        <v>58</v>
      </c>
      <c r="B28" s="57" t="s">
        <v>114</v>
      </c>
      <c r="C28" s="57" t="s">
        <v>115</v>
      </c>
      <c r="D28">
        <v>2634.4</v>
      </c>
      <c r="E28" s="57">
        <f>'Haver Pivoted'!HE27</f>
        <v>0</v>
      </c>
      <c r="F28" s="57">
        <f t="shared" si="0"/>
        <v>-2634.4</v>
      </c>
      <c r="G28" s="64">
        <f t="shared" si="1"/>
        <v>-1</v>
      </c>
    </row>
    <row r="29" spans="1:7" x14ac:dyDescent="0.35">
      <c r="A29" s="57" t="s">
        <v>58</v>
      </c>
      <c r="B29" s="57" t="s">
        <v>116</v>
      </c>
      <c r="C29" s="57" t="s">
        <v>117</v>
      </c>
      <c r="D29">
        <v>202.8</v>
      </c>
      <c r="E29" s="57">
        <f>'Haver Pivoted'!HE28</f>
        <v>0</v>
      </c>
      <c r="F29" s="57">
        <f t="shared" si="0"/>
        <v>-202.8</v>
      </c>
      <c r="G29" s="64">
        <f t="shared" si="1"/>
        <v>-1</v>
      </c>
    </row>
    <row r="30" spans="1:7" x14ac:dyDescent="0.35">
      <c r="A30" s="57" t="s">
        <v>58</v>
      </c>
      <c r="B30" s="57" t="s">
        <v>118</v>
      </c>
      <c r="C30" s="57" t="s">
        <v>119</v>
      </c>
      <c r="D30">
        <v>340.6</v>
      </c>
      <c r="E30" s="57">
        <f>'Haver Pivoted'!HE29</f>
        <v>0</v>
      </c>
      <c r="F30" s="57">
        <f t="shared" si="0"/>
        <v>-340.6</v>
      </c>
      <c r="G30" s="64">
        <f t="shared" si="1"/>
        <v>-1</v>
      </c>
    </row>
    <row r="31" spans="1:7" x14ac:dyDescent="0.35">
      <c r="A31" s="57" t="s">
        <v>58</v>
      </c>
      <c r="B31" s="57" t="s">
        <v>120</v>
      </c>
      <c r="C31" s="57" t="s">
        <v>121</v>
      </c>
      <c r="D31">
        <v>1662.8</v>
      </c>
      <c r="E31" s="57">
        <f>'Haver Pivoted'!HE30</f>
        <v>0</v>
      </c>
      <c r="F31" s="57">
        <f t="shared" si="0"/>
        <v>-1662.8</v>
      </c>
      <c r="G31" s="64">
        <f t="shared" si="1"/>
        <v>-1</v>
      </c>
    </row>
    <row r="32" spans="1:7" x14ac:dyDescent="0.35">
      <c r="A32" s="57" t="s">
        <v>122</v>
      </c>
      <c r="B32" s="57" t="s">
        <v>123</v>
      </c>
      <c r="C32" s="57" t="str">
        <f>'Haver Pivoted'!A31</f>
        <v>gftfp</v>
      </c>
      <c r="D32">
        <v>2840.1</v>
      </c>
      <c r="E32" s="57">
        <f>'Haver Pivoted'!HE31</f>
        <v>0</v>
      </c>
      <c r="F32" s="57">
        <f t="shared" si="0"/>
        <v>-2840.1</v>
      </c>
      <c r="G32" s="64">
        <f t="shared" si="1"/>
        <v>-1</v>
      </c>
    </row>
    <row r="33" spans="1:10" x14ac:dyDescent="0.35">
      <c r="A33" s="57" t="s">
        <v>51</v>
      </c>
      <c r="B33" s="56" t="s">
        <v>124</v>
      </c>
      <c r="C33" s="57" t="str">
        <f>'Haver Pivoted'!A32</f>
        <v>gfeg</v>
      </c>
      <c r="D33">
        <v>953.4</v>
      </c>
      <c r="E33" s="57">
        <f>'Haver Pivoted'!HE32</f>
        <v>0</v>
      </c>
      <c r="F33" s="57">
        <f t="shared" si="0"/>
        <v>-953.4</v>
      </c>
      <c r="G33" s="64">
        <f t="shared" si="1"/>
        <v>-1</v>
      </c>
    </row>
    <row r="34" spans="1:10" x14ac:dyDescent="0.35">
      <c r="A34" s="57" t="s">
        <v>58</v>
      </c>
      <c r="B34" s="57" t="s">
        <v>125</v>
      </c>
      <c r="C34" s="57" t="str">
        <f>'Haver Pivoted'!A33</f>
        <v>gsrpt</v>
      </c>
      <c r="D34">
        <v>594.79999999999995</v>
      </c>
      <c r="E34" s="57">
        <f>'Haver Pivoted'!HE33</f>
        <v>0</v>
      </c>
      <c r="F34" s="57">
        <f t="shared" si="0"/>
        <v>-594.79999999999995</v>
      </c>
      <c r="G34" s="64">
        <f t="shared" si="1"/>
        <v>-1</v>
      </c>
    </row>
    <row r="35" spans="1:10" x14ac:dyDescent="0.35">
      <c r="A35" s="57" t="s">
        <v>58</v>
      </c>
      <c r="B35" s="57" t="s">
        <v>126</v>
      </c>
      <c r="C35" s="57" t="str">
        <f>'Haver Pivoted'!A34</f>
        <v>gsrpri</v>
      </c>
      <c r="D35">
        <v>1582.3</v>
      </c>
      <c r="E35" s="57">
        <f>'Haver Pivoted'!HE34</f>
        <v>0</v>
      </c>
      <c r="F35" s="57">
        <f t="shared" si="0"/>
        <v>-1582.3</v>
      </c>
      <c r="G35" s="64">
        <f t="shared" si="1"/>
        <v>-1</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0</v>
      </c>
      <c r="F37" s="57">
        <f t="shared" si="0"/>
        <v>-23.9</v>
      </c>
      <c r="G37" s="64">
        <f t="shared" si="1"/>
        <v>-1</v>
      </c>
    </row>
    <row r="38" spans="1:10" x14ac:dyDescent="0.35">
      <c r="A38" s="57" t="s">
        <v>57</v>
      </c>
      <c r="B38" s="57" t="s">
        <v>129</v>
      </c>
      <c r="C38" s="57" t="str">
        <f>'Haver Pivoted'!A37</f>
        <v>gstfp</v>
      </c>
      <c r="D38">
        <v>982.9</v>
      </c>
      <c r="E38" s="57">
        <f>'Haver Pivoted'!HE37</f>
        <v>0</v>
      </c>
      <c r="F38" s="57">
        <f t="shared" si="0"/>
        <v>-982.9</v>
      </c>
      <c r="G38" s="64">
        <f t="shared" si="1"/>
        <v>-1</v>
      </c>
    </row>
    <row r="39" spans="1:10" x14ac:dyDescent="0.35">
      <c r="B39" s="57" t="s">
        <v>130</v>
      </c>
      <c r="C39" s="57" t="str">
        <f>'Haver Pivoted'!A38</f>
        <v>gset</v>
      </c>
      <c r="D39">
        <v>3739.5</v>
      </c>
      <c r="E39" s="57">
        <f>'Haver Pivoted'!HE38</f>
        <v>0</v>
      </c>
      <c r="F39" s="57">
        <f t="shared" si="0"/>
        <v>-3739.5</v>
      </c>
      <c r="G39" s="64">
        <f t="shared" si="1"/>
        <v>-1</v>
      </c>
    </row>
    <row r="40" spans="1:10" x14ac:dyDescent="0.35">
      <c r="B40" s="57" t="s">
        <v>131</v>
      </c>
      <c r="C40" s="57" t="str">
        <f>'Haver Pivoted'!A39</f>
        <v>gfeghhx</v>
      </c>
      <c r="D40">
        <v>638.77099999999996</v>
      </c>
      <c r="E40" s="57">
        <f>'Haver Pivoted'!HE39</f>
        <v>0</v>
      </c>
      <c r="F40" s="57">
        <f t="shared" si="0"/>
        <v>-638.77099999999996</v>
      </c>
      <c r="G40" s="64">
        <f t="shared" si="1"/>
        <v>-1</v>
      </c>
    </row>
    <row r="41" spans="1:10" x14ac:dyDescent="0.35">
      <c r="A41" s="57" t="s">
        <v>132</v>
      </c>
      <c r="B41" s="57" t="s">
        <v>133</v>
      </c>
      <c r="C41" s="57" t="str">
        <f>'Haver Pivoted'!A40</f>
        <v>gfeghdx</v>
      </c>
      <c r="D41">
        <v>605.63699999999994</v>
      </c>
      <c r="E41" s="57">
        <f>'Haver Pivoted'!HE40</f>
        <v>0</v>
      </c>
      <c r="F41" s="57">
        <f t="shared" si="0"/>
        <v>-605.63699999999994</v>
      </c>
      <c r="G41" s="64">
        <f t="shared" si="1"/>
        <v>-1</v>
      </c>
    </row>
    <row r="42" spans="1:10" x14ac:dyDescent="0.35">
      <c r="A42" s="57" t="s">
        <v>51</v>
      </c>
      <c r="B42" s="57" t="s">
        <v>134</v>
      </c>
      <c r="C42" s="57" t="str">
        <f>'Haver Pivoted'!A41</f>
        <v>gfeigx</v>
      </c>
      <c r="D42">
        <v>140.262</v>
      </c>
      <c r="E42" s="57">
        <f>'Haver Pivoted'!HE41</f>
        <v>0</v>
      </c>
      <c r="F42" s="57">
        <f t="shared" si="0"/>
        <v>-140.262</v>
      </c>
      <c r="G42" s="64">
        <f t="shared" si="1"/>
        <v>-1</v>
      </c>
    </row>
    <row r="43" spans="1:10" x14ac:dyDescent="0.35">
      <c r="B43" s="57" t="s">
        <v>135</v>
      </c>
      <c r="C43" s="57" t="str">
        <f>'Haver Pivoted'!A42</f>
        <v>gfsub</v>
      </c>
      <c r="D43">
        <v>113.8</v>
      </c>
      <c r="E43" s="57">
        <f>'Haver Pivoted'!HE42</f>
        <v>0</v>
      </c>
      <c r="F43" s="57">
        <f t="shared" si="0"/>
        <v>-113.8</v>
      </c>
      <c r="G43" s="64">
        <f t="shared" si="1"/>
        <v>-1</v>
      </c>
      <c r="I43" s="68"/>
      <c r="J43" s="65"/>
    </row>
    <row r="44" spans="1:10" x14ac:dyDescent="0.35">
      <c r="B44" s="57" t="s">
        <v>136</v>
      </c>
      <c r="C44" s="57" t="str">
        <f>'Haver Pivoted'!A43</f>
        <v>gssub</v>
      </c>
      <c r="D44">
        <v>0.7</v>
      </c>
      <c r="E44" s="57">
        <f>'Haver Pivoted'!HE43</f>
        <v>0</v>
      </c>
      <c r="F44" s="57">
        <f t="shared" si="0"/>
        <v>-0.7</v>
      </c>
      <c r="G44" s="64">
        <f t="shared" si="1"/>
        <v>-1</v>
      </c>
      <c r="I44" s="58"/>
      <c r="J44" s="65"/>
    </row>
    <row r="45" spans="1:10" x14ac:dyDescent="0.35">
      <c r="B45" s="57" t="s">
        <v>52</v>
      </c>
      <c r="C45" s="57" t="str">
        <f>'Haver Pivoted'!A44</f>
        <v>gsub</v>
      </c>
      <c r="D45">
        <v>114.5</v>
      </c>
      <c r="E45" s="57">
        <f>'Haver Pivoted'!HE44</f>
        <v>0</v>
      </c>
      <c r="F45" s="57">
        <f t="shared" si="0"/>
        <v>-114.5</v>
      </c>
      <c r="G45" s="64">
        <f t="shared" si="1"/>
        <v>-1</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0</v>
      </c>
      <c r="F49" s="57">
        <f t="shared" si="0"/>
        <v>-8.1</v>
      </c>
      <c r="G49" s="64">
        <f t="shared" si="1"/>
        <v>-1</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v>
      </c>
      <c r="F51" s="57">
        <f t="shared" si="0"/>
        <v>-0.3</v>
      </c>
      <c r="G51" s="64">
        <f t="shared" si="1"/>
        <v>-1</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0</v>
      </c>
      <c r="F53" s="57">
        <f t="shared" si="0"/>
        <v>-20.2</v>
      </c>
      <c r="G53" s="64">
        <f t="shared" si="1"/>
        <v>-1</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0</v>
      </c>
      <c r="F55" s="57">
        <f t="shared" si="0"/>
        <v>-5.9</v>
      </c>
      <c r="G55" s="64">
        <f t="shared" si="1"/>
        <v>-1</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0</v>
      </c>
      <c r="F58" s="57">
        <f t="shared" si="0"/>
        <v>-68.3</v>
      </c>
      <c r="G58" s="64">
        <f t="shared" si="1"/>
        <v>-1</v>
      </c>
      <c r="H58" s="50"/>
      <c r="I58" s="51"/>
    </row>
    <row r="59" spans="1:9" x14ac:dyDescent="0.35">
      <c r="A59" s="57" t="s">
        <v>151</v>
      </c>
      <c r="B59" s="56" t="s">
        <v>152</v>
      </c>
      <c r="C59" s="57" t="str">
        <f>'Haver Pivoted'!A58</f>
        <v>gfegv</v>
      </c>
      <c r="D59">
        <v>7.5</v>
      </c>
      <c r="E59" s="57">
        <f>'Haver Pivoted'!HE58</f>
        <v>0</v>
      </c>
      <c r="F59" s="57">
        <f t="shared" si="0"/>
        <v>-7.5</v>
      </c>
      <c r="G59" s="64">
        <f t="shared" si="1"/>
        <v>-1</v>
      </c>
    </row>
    <row r="60" spans="1:9" x14ac:dyDescent="0.35">
      <c r="A60" s="57" t="s">
        <v>53</v>
      </c>
      <c r="B60" s="57" t="s">
        <v>153</v>
      </c>
      <c r="C60" s="57" t="str">
        <f>'Haver Pivoted'!A59</f>
        <v>yptue</v>
      </c>
      <c r="D60">
        <v>0.3</v>
      </c>
      <c r="E60" s="57">
        <f>'Haver Pivoted'!HE59</f>
        <v>0</v>
      </c>
      <c r="F60" s="57">
        <f t="shared" si="0"/>
        <v>-0.3</v>
      </c>
      <c r="G60" s="64">
        <f t="shared" si="1"/>
        <v>-1</v>
      </c>
    </row>
    <row r="61" spans="1:9" x14ac:dyDescent="0.35">
      <c r="A61" s="57" t="s">
        <v>53</v>
      </c>
      <c r="B61" s="57" t="s">
        <v>154</v>
      </c>
      <c r="C61" s="57" t="str">
        <f>'Haver Pivoted'!A60</f>
        <v>yptup</v>
      </c>
      <c r="D61">
        <v>0.2</v>
      </c>
      <c r="E61" s="57">
        <f>'Haver Pivoted'!HE60</f>
        <v>0</v>
      </c>
      <c r="F61" s="57">
        <f t="shared" si="0"/>
        <v>-0.2</v>
      </c>
      <c r="G61" s="64">
        <f t="shared" si="1"/>
        <v>-1</v>
      </c>
    </row>
    <row r="62" spans="1:9" x14ac:dyDescent="0.35">
      <c r="A62" s="57" t="s">
        <v>53</v>
      </c>
      <c r="B62" s="57" t="s">
        <v>155</v>
      </c>
      <c r="C62" s="57" t="str">
        <f>'Haver Pivoted'!A61</f>
        <v>yptuc</v>
      </c>
      <c r="D62">
        <v>0</v>
      </c>
      <c r="E62" s="57">
        <f>'Haver Pivoted'!HE61</f>
        <v>0</v>
      </c>
      <c r="F62" s="57">
        <f t="shared" si="0"/>
        <v>0</v>
      </c>
      <c r="G62" s="64" t="e">
        <f t="shared" si="1"/>
        <v>#DIV/0!</v>
      </c>
    </row>
    <row r="63" spans="1:9" x14ac:dyDescent="0.35">
      <c r="B63" s="57" t="s">
        <v>156</v>
      </c>
      <c r="C63" s="57" t="str">
        <f>'Haver Pivoted'!A62</f>
        <v>gftfpu</v>
      </c>
      <c r="D63">
        <v>0.5</v>
      </c>
      <c r="E63" s="57">
        <f>'Haver Pivoted'!HE62</f>
        <v>0</v>
      </c>
      <c r="F63" s="57">
        <f t="shared" si="0"/>
        <v>-0.5</v>
      </c>
      <c r="G63" s="64">
        <f t="shared" si="1"/>
        <v>-1</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0</v>
      </c>
      <c r="F66" s="57">
        <f t="shared" si="0"/>
        <v>-206.4</v>
      </c>
      <c r="G66" s="64">
        <f t="shared" si="1"/>
        <v>-1</v>
      </c>
      <c r="H66" s="56"/>
      <c r="I66" s="56"/>
    </row>
    <row r="67" spans="1:9" x14ac:dyDescent="0.35">
      <c r="A67" s="57" t="s">
        <v>57</v>
      </c>
      <c r="B67" s="55" t="s">
        <v>160</v>
      </c>
      <c r="C67" s="57" t="str">
        <f>'Haver Pivoted'!A66</f>
        <v>gftffx</v>
      </c>
      <c r="D67">
        <v>111.59099999999999</v>
      </c>
      <c r="E67" s="57">
        <f>'Haver Pivoted'!HE66</f>
        <v>0</v>
      </c>
      <c r="F67" s="57">
        <f t="shared" si="0"/>
        <v>-111.59099999999999</v>
      </c>
      <c r="G67" s="64">
        <f t="shared" si="1"/>
        <v>-1</v>
      </c>
      <c r="H67" s="56"/>
      <c r="I67" s="56"/>
    </row>
    <row r="68" spans="1:9" x14ac:dyDescent="0.35">
      <c r="B68" s="57" t="s">
        <v>161</v>
      </c>
      <c r="C68" s="57" t="str">
        <f>'Haver Pivoted'!A67</f>
        <v>cpiu</v>
      </c>
      <c r="D68">
        <v>295.88400000000001</v>
      </c>
      <c r="E68" s="57">
        <f>'Haver Pivoted'!HE67</f>
        <v>0</v>
      </c>
      <c r="F68" s="57">
        <f t="shared" ref="F68:F81" si="2">E68-D68</f>
        <v>-295.88400000000001</v>
      </c>
      <c r="G68" s="64">
        <f t="shared" ref="G68:G81" si="3">F68/D68</f>
        <v>-1</v>
      </c>
      <c r="H68" s="56"/>
      <c r="I68" s="56"/>
    </row>
    <row r="69" spans="1:9" x14ac:dyDescent="0.35">
      <c r="C69" s="57" t="str">
        <f>'Haver Pivoted'!A68</f>
        <v>pcw</v>
      </c>
      <c r="D69">
        <v>291.26533333333299</v>
      </c>
      <c r="E69" s="57">
        <f>'Haver Pivoted'!HE68</f>
        <v>0</v>
      </c>
      <c r="F69" s="57">
        <f t="shared" si="2"/>
        <v>-291.26533333333299</v>
      </c>
      <c r="G69" s="64">
        <f t="shared" si="3"/>
        <v>-1</v>
      </c>
    </row>
    <row r="70" spans="1:9" x14ac:dyDescent="0.35">
      <c r="B70" s="57" t="s">
        <v>162</v>
      </c>
      <c r="C70" s="57" t="str">
        <f>'Haver Pivoted'!A69</f>
        <v>gdppothq</v>
      </c>
      <c r="D70">
        <v>20197.900000000001</v>
      </c>
      <c r="E70" s="57">
        <f>'Haver Pivoted'!HE69</f>
        <v>0</v>
      </c>
      <c r="F70" s="57">
        <f t="shared" si="2"/>
        <v>-20197.900000000001</v>
      </c>
      <c r="G70" s="64">
        <f t="shared" si="3"/>
        <v>-1</v>
      </c>
    </row>
    <row r="71" spans="1:9" x14ac:dyDescent="0.35">
      <c r="B71" s="57" t="s">
        <v>163</v>
      </c>
      <c r="C71" s="57" t="str">
        <f>'Haver Pivoted'!A70</f>
        <v>gdppotq</v>
      </c>
      <c r="D71">
        <v>25289.599999999999</v>
      </c>
      <c r="E71" s="57">
        <f>'Haver Pivoted'!HE70</f>
        <v>0</v>
      </c>
      <c r="F71" s="57">
        <f t="shared" si="2"/>
        <v>-25289.599999999999</v>
      </c>
      <c r="G71" s="64">
        <f t="shared" si="3"/>
        <v>-1</v>
      </c>
    </row>
    <row r="72" spans="1:9" x14ac:dyDescent="0.35">
      <c r="B72" s="57" t="s">
        <v>164</v>
      </c>
      <c r="C72" s="57" t="str">
        <f>'Haver Pivoted'!A71</f>
        <v>recessq</v>
      </c>
      <c r="D72">
        <v>-1</v>
      </c>
      <c r="E72" s="57">
        <f>'Haver Pivoted'!HE71</f>
        <v>0</v>
      </c>
      <c r="F72" s="57">
        <f t="shared" si="2"/>
        <v>1</v>
      </c>
      <c r="G72" s="64">
        <f t="shared" si="3"/>
        <v>-1</v>
      </c>
    </row>
    <row r="73" spans="1:9" x14ac:dyDescent="0.35">
      <c r="A73" s="57" t="s">
        <v>165</v>
      </c>
      <c r="B73" s="57" t="s">
        <v>166</v>
      </c>
      <c r="C73" s="57" t="str">
        <f>'Haver Pivoted'!A72</f>
        <v>lasgova</v>
      </c>
      <c r="D73">
        <v>5260</v>
      </c>
      <c r="E73" s="57">
        <f>'Haver Pivoted'!HE72</f>
        <v>0</v>
      </c>
      <c r="F73" s="57">
        <f t="shared" si="2"/>
        <v>-5260</v>
      </c>
      <c r="G73" s="64">
        <f t="shared" si="3"/>
        <v>-1</v>
      </c>
    </row>
    <row r="74" spans="1:9" x14ac:dyDescent="0.35">
      <c r="A74" s="57" t="s">
        <v>165</v>
      </c>
      <c r="B74" s="57" t="s">
        <v>167</v>
      </c>
      <c r="C74" s="57" t="str">
        <f>'Haver Pivoted'!A73</f>
        <v>lalgova</v>
      </c>
      <c r="D74">
        <v>14186</v>
      </c>
      <c r="E74" s="57">
        <f>'Haver Pivoted'!HE73</f>
        <v>0</v>
      </c>
      <c r="F74" s="57">
        <f t="shared" si="2"/>
        <v>-14186</v>
      </c>
      <c r="G74" s="64">
        <f t="shared" si="3"/>
        <v>-1</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0</v>
      </c>
      <c r="F76" s="52">
        <f t="shared" si="2"/>
        <v>-1.0731676568384901E-2</v>
      </c>
      <c r="G76" s="64">
        <f t="shared" si="3"/>
        <v>-1</v>
      </c>
    </row>
    <row r="77" spans="1:9" x14ac:dyDescent="0.35">
      <c r="B77" s="57" t="s">
        <v>170</v>
      </c>
      <c r="C77" s="57" t="str">
        <f>'Haver Pivoted'!A76</f>
        <v>jc_growth</v>
      </c>
      <c r="D77">
        <v>1.06239639389509E-2</v>
      </c>
      <c r="E77" s="57">
        <f>'Haver Pivoted'!HE76</f>
        <v>0</v>
      </c>
      <c r="F77" s="52">
        <f t="shared" si="2"/>
        <v>-1.06239639389509E-2</v>
      </c>
      <c r="G77" s="64">
        <f t="shared" si="3"/>
        <v>-1</v>
      </c>
    </row>
    <row r="78" spans="1:9" x14ac:dyDescent="0.35">
      <c r="B78" s="57" t="s">
        <v>171</v>
      </c>
      <c r="C78" s="57" t="str">
        <f>'Haver Pivoted'!A77</f>
        <v>jgf_growth</v>
      </c>
      <c r="D78">
        <v>1.1839505254193999E-2</v>
      </c>
      <c r="E78" s="57">
        <f>'Haver Pivoted'!HE77</f>
        <v>0</v>
      </c>
      <c r="F78" s="52">
        <f t="shared" si="2"/>
        <v>-1.1839505254193999E-2</v>
      </c>
      <c r="G78" s="64">
        <f t="shared" si="3"/>
        <v>-1</v>
      </c>
    </row>
    <row r="79" spans="1:9" x14ac:dyDescent="0.35">
      <c r="B79" s="57" t="s">
        <v>172</v>
      </c>
      <c r="C79" s="57" t="str">
        <f>'Haver Pivoted'!A78</f>
        <v>jgs_growth</v>
      </c>
      <c r="D79">
        <v>7.1861535090920201E-3</v>
      </c>
      <c r="E79" s="57">
        <f>'Haver Pivoted'!HE78</f>
        <v>0</v>
      </c>
      <c r="F79" s="52">
        <f>E79/D79-1</f>
        <v>-1</v>
      </c>
      <c r="G79" s="64">
        <f t="shared" si="3"/>
        <v>-139.15650406504486</v>
      </c>
    </row>
    <row r="80" spans="1:9" x14ac:dyDescent="0.35">
      <c r="B80" s="57" t="s">
        <v>173</v>
      </c>
      <c r="C80" s="57" t="str">
        <f>'Haver Pivoted'!A79</f>
        <v>jgse_growth</v>
      </c>
      <c r="D80">
        <v>4.0806177967589504E-3</v>
      </c>
      <c r="E80" s="57">
        <f>'Haver Pivoted'!HE79</f>
        <v>0</v>
      </c>
      <c r="F80" s="52">
        <f t="shared" si="2"/>
        <v>-4.0806177967589504E-3</v>
      </c>
      <c r="G80" s="64">
        <f t="shared" si="3"/>
        <v>-1</v>
      </c>
    </row>
    <row r="81" spans="2:7" x14ac:dyDescent="0.35">
      <c r="B81" s="57" t="s">
        <v>174</v>
      </c>
      <c r="C81" s="57" t="str">
        <f>'Haver Pivoted'!A80</f>
        <v>jgsi_growth</v>
      </c>
      <c r="D81">
        <v>2.2543407123629702E-2</v>
      </c>
      <c r="E81" s="57">
        <f>'Haver Pivoted'!HE80</f>
        <v>0</v>
      </c>
      <c r="F81" s="52">
        <f t="shared" si="2"/>
        <v>-2.2543407123629702E-2</v>
      </c>
      <c r="G81" s="64">
        <f t="shared" si="3"/>
        <v>-1</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E11" sqref="E11"/>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087" t="s">
        <v>1855</v>
      </c>
      <c r="C2" s="1087"/>
      <c r="D2" s="1087"/>
      <c r="E2" s="1087"/>
      <c r="F2" s="1087"/>
      <c r="G2" s="1087"/>
      <c r="H2" s="1087"/>
      <c r="I2" s="1087"/>
      <c r="J2" s="1087"/>
      <c r="K2" s="1087"/>
      <c r="L2" s="1087"/>
      <c r="M2" s="1087"/>
    </row>
    <row r="3" spans="2:13" x14ac:dyDescent="0.35">
      <c r="B3" t="str">
        <f>forecast!A1</f>
        <v>name</v>
      </c>
      <c r="C3" t="str">
        <f>forecast!B1</f>
        <v>variable</v>
      </c>
      <c r="D3" t="str">
        <f>forecast!D1</f>
        <v>2022 Q4</v>
      </c>
      <c r="E3" t="str">
        <f>forecast!E1</f>
        <v>2023 Q1</v>
      </c>
      <c r="F3" t="str">
        <f>forecast!F1</f>
        <v>2023 Q2</v>
      </c>
      <c r="G3" t="str">
        <f>forecast!G1</f>
        <v>2023 Q3</v>
      </c>
      <c r="H3" t="str">
        <f>forecast!H1</f>
        <v>2023 Q4</v>
      </c>
      <c r="I3" t="str">
        <f>forecast!I1</f>
        <v>2024 Q1</v>
      </c>
      <c r="J3" t="str">
        <f>forecast!J1</f>
        <v>2024 Q2</v>
      </c>
      <c r="K3" t="s">
        <v>175</v>
      </c>
      <c r="L3" t="s">
        <v>176</v>
      </c>
      <c r="M3" t="s">
        <v>177</v>
      </c>
    </row>
    <row r="4" spans="2:13" x14ac:dyDescent="0.35">
      <c r="B4" t="str">
        <f>forecast!A2</f>
        <v>Consumption Grants</v>
      </c>
      <c r="C4" t="str">
        <f>forecast!B2</f>
        <v>consumption_grants</v>
      </c>
      <c r="D4" s="71">
        <f>forecast!D2</f>
        <v>106.390928</v>
      </c>
      <c r="E4" s="71">
        <f>forecast!E2</f>
        <v>151.0389119651158</v>
      </c>
      <c r="F4" s="71">
        <f>forecast!F2</f>
        <v>152.45432146619868</v>
      </c>
      <c r="G4" s="71">
        <f>forecast!G2</f>
        <v>148.36827954230918</v>
      </c>
      <c r="H4" s="71">
        <f>forecast!H2</f>
        <v>145.78741066666663</v>
      </c>
      <c r="I4" s="71">
        <f>forecast!I2</f>
        <v>131.40695407572048</v>
      </c>
      <c r="J4" s="71">
        <f>forecast!J2</f>
        <v>108.54513356484662</v>
      </c>
      <c r="K4" s="71">
        <f>forecast!K2</f>
        <v>109.97585848400158</v>
      </c>
      <c r="L4" s="71">
        <f>forecast!L2</f>
        <v>111.66763343333332</v>
      </c>
      <c r="M4" s="71">
        <f>forecast!M2</f>
        <v>91.747312758749317</v>
      </c>
    </row>
    <row r="5" spans="2:13" x14ac:dyDescent="0.35">
      <c r="B5" t="str">
        <f>forecast!A3</f>
        <v>Investment Grants</v>
      </c>
      <c r="C5" t="str">
        <f>forecast!B3</f>
        <v>investment_grants</v>
      </c>
      <c r="D5" s="71">
        <f>forecast!D3</f>
        <v>76.15900000000002</v>
      </c>
      <c r="E5" s="71">
        <f>forecast!E3</f>
        <v>76.15900000000002</v>
      </c>
      <c r="F5" s="71">
        <f>forecast!F3</f>
        <v>76.15900000000002</v>
      </c>
      <c r="G5" s="71">
        <f>forecast!G3</f>
        <v>76.15900000000002</v>
      </c>
      <c r="H5" s="71">
        <f>forecast!H3</f>
        <v>77.818000000000012</v>
      </c>
      <c r="I5" s="71">
        <f>forecast!I3</f>
        <v>77.818000000000012</v>
      </c>
      <c r="J5" s="71">
        <f>forecast!J3</f>
        <v>77.818000000000012</v>
      </c>
      <c r="K5" s="71">
        <f>forecast!K3</f>
        <v>77.818000000000012</v>
      </c>
      <c r="L5" s="71">
        <f>forecast!L3</f>
        <v>79.41200000000002</v>
      </c>
      <c r="M5" s="71">
        <f>forecast!M3</f>
        <v>79.41200000000002</v>
      </c>
    </row>
    <row r="6" spans="2:13" x14ac:dyDescent="0.35">
      <c r="B6" t="str">
        <f>forecast!A4</f>
        <v>Federal Purchases (NIPA Consistent)</v>
      </c>
      <c r="C6" t="str">
        <f>forecast!B4</f>
        <v>federal_purchases</v>
      </c>
      <c r="D6" s="71">
        <f>forecast!D4</f>
        <v>0</v>
      </c>
      <c r="E6" s="71">
        <f>forecast!E4</f>
        <v>4.5430000000000001</v>
      </c>
      <c r="F6" s="71">
        <f>forecast!F4</f>
        <v>4.5430000000000001</v>
      </c>
      <c r="G6" s="71">
        <f>forecast!G4</f>
        <v>4.5430000000000001</v>
      </c>
      <c r="H6" s="71">
        <f>forecast!H4</f>
        <v>5.6079999999999997</v>
      </c>
      <c r="I6" s="71">
        <f>forecast!I4</f>
        <v>5.6079999999999997</v>
      </c>
      <c r="J6" s="71">
        <f>forecast!J4</f>
        <v>5.6079999999999997</v>
      </c>
      <c r="K6" s="71">
        <f>forecast!K4</f>
        <v>5.6079999999999997</v>
      </c>
      <c r="L6" s="71">
        <f>forecast!L4</f>
        <v>8.16</v>
      </c>
      <c r="M6" s="71">
        <f>forecast!M4</f>
        <v>8.16</v>
      </c>
    </row>
    <row r="7" spans="2:13" x14ac:dyDescent="0.35">
      <c r="B7" t="str">
        <f>forecast!A5</f>
        <v>State Purchases (NIPA Consistent)</v>
      </c>
      <c r="C7" t="str">
        <f>forecast!B5</f>
        <v>state_purchases</v>
      </c>
      <c r="D7" s="71">
        <f>forecast!D5</f>
        <v>0</v>
      </c>
      <c r="E7" s="71">
        <f>forecast!E5</f>
        <v>0</v>
      </c>
      <c r="F7" s="71">
        <f>forecast!F5</f>
        <v>0</v>
      </c>
      <c r="G7" s="71">
        <f>forecast!G5</f>
        <v>0</v>
      </c>
      <c r="H7" s="71">
        <f>forecast!H5</f>
        <v>0</v>
      </c>
      <c r="I7" s="71">
        <f>forecast!I5</f>
        <v>0</v>
      </c>
      <c r="J7" s="71">
        <f>forecast!J5</f>
        <v>0</v>
      </c>
      <c r="K7" s="71">
        <f>forecast!K5</f>
        <v>0</v>
      </c>
      <c r="L7" s="71">
        <f>forecast!L5</f>
        <v>0</v>
      </c>
      <c r="M7" s="71">
        <f>forecast!M5</f>
        <v>3137.5691162790699</v>
      </c>
    </row>
    <row r="8" spans="2:13" x14ac:dyDescent="0.35">
      <c r="B8" t="str">
        <f>forecast!A6</f>
        <v>Non-ARP Subsidies + ARP Provider Relief and PPP</v>
      </c>
      <c r="C8" t="str">
        <f>forecast!B6</f>
        <v>federal_subsidies</v>
      </c>
      <c r="D8" s="71">
        <f>forecast!D6</f>
        <v>-12.726000000000001</v>
      </c>
      <c r="E8" s="71">
        <f>forecast!E6</f>
        <v>75.782000000000011</v>
      </c>
      <c r="F8" s="71">
        <f>forecast!F6</f>
        <v>75.782000000000011</v>
      </c>
      <c r="G8" s="71">
        <f>forecast!G6</f>
        <v>75.782000000000011</v>
      </c>
      <c r="H8" s="71">
        <f>forecast!H6</f>
        <v>84.266000000000005</v>
      </c>
      <c r="I8" s="71">
        <f>forecast!I6</f>
        <v>84.266000000000005</v>
      </c>
      <c r="J8" s="71">
        <f>forecast!J6</f>
        <v>84.266000000000005</v>
      </c>
      <c r="K8" s="71">
        <f>forecast!K6</f>
        <v>84.266000000000005</v>
      </c>
      <c r="L8" s="71">
        <f>forecast!L6</f>
        <v>91.364999999999995</v>
      </c>
      <c r="M8" s="71">
        <f>forecast!M6</f>
        <v>91.364999999999995</v>
      </c>
    </row>
    <row r="9" spans="2:13" x14ac:dyDescent="0.35">
      <c r="B9" t="str">
        <f>forecast!A7</f>
        <v>ARP Subsidies less Provider Relief and PPP</v>
      </c>
      <c r="C9" t="str">
        <f>forecast!B7</f>
        <v>federal_aid_to_small_businesses_arp</v>
      </c>
      <c r="D9" s="71">
        <f>forecast!D7</f>
        <v>12.726000000000001</v>
      </c>
      <c r="E9" s="71">
        <f>forecast!E7</f>
        <v>12.726000000000001</v>
      </c>
      <c r="F9" s="71">
        <f>forecast!F7</f>
        <v>12.726000000000001</v>
      </c>
      <c r="G9" s="71">
        <f>forecast!G7</f>
        <v>12.726000000000001</v>
      </c>
      <c r="H9" s="71">
        <f>forecast!H7</f>
        <v>1.365</v>
      </c>
      <c r="I9" s="71">
        <f>forecast!I7</f>
        <v>1.365</v>
      </c>
      <c r="J9" s="71">
        <f>forecast!J7</f>
        <v>1.365</v>
      </c>
      <c r="K9" s="71">
        <f>forecast!K7</f>
        <v>1.365</v>
      </c>
      <c r="L9" s="71">
        <f>forecast!L7</f>
        <v>-0.90100000000000025</v>
      </c>
      <c r="M9" s="71">
        <f>forecast!M7</f>
        <v>-0.90100000000000025</v>
      </c>
    </row>
    <row r="10" spans="2:13"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c r="K10" s="71">
        <f>forecast!K8</f>
        <v>0</v>
      </c>
      <c r="L10" s="71">
        <f>forecast!L8</f>
        <v>0</v>
      </c>
      <c r="M10" s="71">
        <f>forecast!M8</f>
        <v>0</v>
      </c>
    </row>
    <row r="11" spans="2:13" x14ac:dyDescent="0.35">
      <c r="B11" t="str">
        <f>forecast!A9</f>
        <v>State UI</v>
      </c>
      <c r="C11" t="str">
        <f>forecast!B9</f>
        <v>state_ui</v>
      </c>
      <c r="D11" s="71">
        <f>forecast!D9</f>
        <v>0</v>
      </c>
      <c r="E11" s="71">
        <f>forecast!E9</f>
        <v>0</v>
      </c>
      <c r="F11" s="71">
        <f>forecast!F9</f>
        <v>0</v>
      </c>
      <c r="G11" s="71">
        <f>forecast!G9</f>
        <v>0</v>
      </c>
      <c r="H11" s="71">
        <f>forecast!H9</f>
        <v>0</v>
      </c>
      <c r="I11" s="71">
        <f>forecast!I9</f>
        <v>0</v>
      </c>
      <c r="J11" s="71">
        <f>forecast!J9</f>
        <v>0</v>
      </c>
      <c r="K11" s="71">
        <f>forecast!K9</f>
        <v>0</v>
      </c>
      <c r="L11" s="71">
        <f>forecast!L9</f>
        <v>0</v>
      </c>
      <c r="M11" s="71">
        <f>forecast!M9</f>
        <v>0</v>
      </c>
    </row>
    <row r="12" spans="2:13" x14ac:dyDescent="0.35">
      <c r="B12" t="str">
        <f>forecast!A10</f>
        <v>Federal Medicaid</v>
      </c>
      <c r="C12" t="str">
        <f>forecast!B10</f>
        <v>medicaid_grants</v>
      </c>
      <c r="D12" s="71" t="e">
        <f>forecast!D10</f>
        <v>#DIV/0!</v>
      </c>
      <c r="E12" s="71" t="e">
        <f>forecast!E10</f>
        <v>#DIV/0!</v>
      </c>
      <c r="F12" s="71" t="e">
        <f>forecast!F10</f>
        <v>#DIV/0!</v>
      </c>
      <c r="G12" s="71" t="e">
        <f>forecast!G10</f>
        <v>#DIV/0!</v>
      </c>
      <c r="H12" s="71" t="e">
        <f>forecast!H10</f>
        <v>#DIV/0!</v>
      </c>
      <c r="I12" s="71" t="e">
        <f>forecast!I10</f>
        <v>#DIV/0!</v>
      </c>
      <c r="J12" s="71" t="e">
        <f>forecast!J10</f>
        <v>#DIV/0!</v>
      </c>
      <c r="K12" s="71" t="e">
        <f>forecast!K10</f>
        <v>#DIV/0!</v>
      </c>
      <c r="L12" s="71" t="e">
        <f>forecast!L10</f>
        <v>#DIV/0!</v>
      </c>
      <c r="M12" s="71" t="e">
        <f>forecast!M10</f>
        <v>#DIV/0!</v>
      </c>
    </row>
    <row r="13" spans="2:13" x14ac:dyDescent="0.35">
      <c r="B13" t="str">
        <f>forecast!A11</f>
        <v>Total Medicaid</v>
      </c>
      <c r="C13" t="str">
        <f>forecast!B11</f>
        <v>medicaid</v>
      </c>
      <c r="D13" s="71">
        <f>forecast!D11</f>
        <v>0</v>
      </c>
      <c r="E13" s="71" t="e">
        <f>forecast!E11</f>
        <v>#DIV/0!</v>
      </c>
      <c r="F13" s="71" t="e">
        <f>forecast!F11</f>
        <v>#DIV/0!</v>
      </c>
      <c r="G13" s="71" t="e">
        <f>forecast!G11</f>
        <v>#DIV/0!</v>
      </c>
      <c r="H13" s="71" t="e">
        <f>forecast!H11</f>
        <v>#DIV/0!</v>
      </c>
      <c r="I13" s="71" t="e">
        <f>forecast!I11</f>
        <v>#DIV/0!</v>
      </c>
      <c r="J13" s="71" t="e">
        <f>forecast!J11</f>
        <v>#DIV/0!</v>
      </c>
      <c r="K13" s="71" t="e">
        <f>forecast!K11</f>
        <v>#DIV/0!</v>
      </c>
      <c r="L13" s="71" t="e">
        <f>forecast!L11</f>
        <v>#DIV/0!</v>
      </c>
      <c r="M13" s="71" t="e">
        <f>forecast!M11</f>
        <v>#DIV/0!</v>
      </c>
    </row>
    <row r="14" spans="2:13" x14ac:dyDescent="0.35">
      <c r="B14" t="str">
        <f>forecast!A12</f>
        <v>Medicare</v>
      </c>
      <c r="C14" t="str">
        <f>forecast!B12</f>
        <v>medicare</v>
      </c>
      <c r="D14" s="71">
        <f>forecast!D12</f>
        <v>0</v>
      </c>
      <c r="E14" s="71">
        <f>forecast!E12</f>
        <v>0</v>
      </c>
      <c r="F14" s="71">
        <f>forecast!F12</f>
        <v>0</v>
      </c>
      <c r="G14" s="71">
        <f>forecast!G12</f>
        <v>0</v>
      </c>
      <c r="H14" s="71">
        <f>forecast!H12</f>
        <v>0</v>
      </c>
      <c r="I14" s="71">
        <f>forecast!I12</f>
        <v>0</v>
      </c>
      <c r="J14" s="71">
        <f>forecast!J12</f>
        <v>0</v>
      </c>
      <c r="K14" s="71">
        <f>forecast!K12</f>
        <v>0</v>
      </c>
      <c r="L14" s="71">
        <f>forecast!L12</f>
        <v>0</v>
      </c>
      <c r="M14" s="71">
        <f>forecast!M12</f>
        <v>0</v>
      </c>
    </row>
    <row r="15" spans="2:13"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K15" s="71">
        <f>forecast!K13</f>
        <v>0</v>
      </c>
      <c r="L15" s="71">
        <f>forecast!L13</f>
        <v>0</v>
      </c>
      <c r="M15" s="71">
        <f>forecast!M13</f>
        <v>0</v>
      </c>
    </row>
    <row r="16" spans="2:13"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K16" s="71">
        <f>forecast!K14</f>
        <v>0</v>
      </c>
      <c r="L16" s="71">
        <f>forecast!L14</f>
        <v>0</v>
      </c>
      <c r="M16" s="71">
        <f>forecast!M14</f>
        <v>0</v>
      </c>
    </row>
    <row r="17" spans="2:13" x14ac:dyDescent="0.35">
      <c r="B17" t="str">
        <f>forecast!A15</f>
        <v>ARP Other Vulnerable</v>
      </c>
      <c r="C17" t="str">
        <f>forecast!B15</f>
        <v>federal_other_vulnerable_arp</v>
      </c>
      <c r="D17" s="71">
        <f>forecast!D15</f>
        <v>12</v>
      </c>
      <c r="E17" s="71">
        <f>forecast!E15</f>
        <v>12</v>
      </c>
      <c r="F17" s="71">
        <f>forecast!F15</f>
        <v>12</v>
      </c>
      <c r="G17" s="71">
        <f>forecast!G15</f>
        <v>12</v>
      </c>
      <c r="H17" s="71">
        <f>forecast!H15</f>
        <v>4.2219999999999995</v>
      </c>
      <c r="I17" s="71">
        <f>forecast!I15</f>
        <v>4.2219999999999995</v>
      </c>
      <c r="J17" s="71">
        <f>forecast!J15</f>
        <v>4.2219999999999995</v>
      </c>
      <c r="K17" s="71">
        <f>forecast!K15</f>
        <v>4.2219999999999995</v>
      </c>
      <c r="L17" s="71">
        <f>forecast!L15</f>
        <v>2.3719999999999999</v>
      </c>
      <c r="M17" s="71">
        <f>forecast!M15</f>
        <v>2.3719999999999999</v>
      </c>
    </row>
    <row r="18" spans="2:13" x14ac:dyDescent="0.35">
      <c r="B18" t="str">
        <f>forecast!A16</f>
        <v xml:space="preserve">ARP Other Direct Aid plus Provider Relief </v>
      </c>
      <c r="C18" t="str">
        <f>forecast!B16</f>
        <v>federal_other_direct_aid_arp</v>
      </c>
      <c r="D18" s="71">
        <f>forecast!D16</f>
        <v>1.4159999999999999</v>
      </c>
      <c r="E18" s="71">
        <f>forecast!E16</f>
        <v>1.4159999999999999</v>
      </c>
      <c r="F18" s="71">
        <f>forecast!F16</f>
        <v>1.4159999999999999</v>
      </c>
      <c r="G18" s="71">
        <f>forecast!G16</f>
        <v>1.4159999999999999</v>
      </c>
      <c r="H18" s="71">
        <f>forecast!H16</f>
        <v>1.4790000000000001</v>
      </c>
      <c r="I18" s="71">
        <f>forecast!I16</f>
        <v>1.4790000000000001</v>
      </c>
      <c r="J18" s="71">
        <f>forecast!J16</f>
        <v>1.4790000000000001</v>
      </c>
      <c r="K18" s="71">
        <f>forecast!K16</f>
        <v>1.4790000000000001</v>
      </c>
      <c r="L18" s="71">
        <f>forecast!L16</f>
        <v>1.63</v>
      </c>
      <c r="M18" s="71">
        <f>forecast!M16</f>
        <v>1.63</v>
      </c>
    </row>
    <row r="19" spans="2:13" x14ac:dyDescent="0.35">
      <c r="B19" t="str">
        <f>forecast!A17</f>
        <v>Other Federal Social Benefits (including all SNAP)</v>
      </c>
      <c r="C19" t="str">
        <f>forecast!B17</f>
        <v>federal_social_benefits</v>
      </c>
      <c r="D19" s="71">
        <f>forecast!D17</f>
        <v>2.4739999999998332</v>
      </c>
      <c r="E19" s="71">
        <f>forecast!E17</f>
        <v>46.905574999999899</v>
      </c>
      <c r="F19" s="71">
        <f>forecast!F17</f>
        <v>53.905574999999899</v>
      </c>
      <c r="G19" s="71">
        <f>forecast!G17</f>
        <v>60.905574999999899</v>
      </c>
      <c r="H19" s="71">
        <f>forecast!H17</f>
        <v>63.154574999999902</v>
      </c>
      <c r="I19" s="71">
        <f>forecast!I17</f>
        <v>71.354574999999954</v>
      </c>
      <c r="J19" s="71">
        <f>forecast!J17</f>
        <v>78.354574999999954</v>
      </c>
      <c r="K19" s="71">
        <f>forecast!K17</f>
        <v>85.354574999999954</v>
      </c>
      <c r="L19" s="71">
        <f>forecast!L17</f>
        <v>93.382574999999946</v>
      </c>
      <c r="M19" s="71">
        <f>forecast!M17</f>
        <v>101.822575</v>
      </c>
    </row>
    <row r="20" spans="2:13" x14ac:dyDescent="0.35">
      <c r="B20" t="str">
        <f>forecast!A18</f>
        <v>State Social Benefits ex Medicaid</v>
      </c>
      <c r="C20" t="str">
        <f>forecast!B18</f>
        <v>state_social_benefits</v>
      </c>
      <c r="D20" s="71">
        <f>forecast!D18</f>
        <v>177.85179962461578</v>
      </c>
      <c r="E20" s="71">
        <f>forecast!E18</f>
        <v>180.60976738544733</v>
      </c>
      <c r="F20" s="71">
        <f>forecast!F18</f>
        <v>183.41050326100046</v>
      </c>
      <c r="G20" s="71">
        <f>forecast!G18</f>
        <v>186.25467046121651</v>
      </c>
      <c r="H20" s="71">
        <f>forecast!H18</f>
        <v>189.14294248050757</v>
      </c>
      <c r="I20" s="71">
        <f>forecast!I18</f>
        <v>192.07600325723899</v>
      </c>
      <c r="J20" s="71">
        <f>forecast!J18</f>
        <v>195.05454733568487</v>
      </c>
      <c r="K20" s="71">
        <f>forecast!K18</f>
        <v>198.07928003049508</v>
      </c>
      <c r="L20" s="71">
        <f>forecast!L18</f>
        <v>201.15091759371273</v>
      </c>
      <c r="M20" s="71">
        <f>forecast!M18</f>
        <v>204.27018738438153</v>
      </c>
    </row>
    <row r="21" spans="2:13" x14ac:dyDescent="0.35">
      <c r="B21" t="str">
        <f>forecast!A19</f>
        <v>Federal Non-Corporate Taxes</v>
      </c>
      <c r="C21" t="str">
        <f>forecast!B19</f>
        <v>federal_non_corporate_taxes</v>
      </c>
      <c r="D21" s="71">
        <f>forecast!D19</f>
        <v>0</v>
      </c>
      <c r="E21" s="71">
        <f>forecast!E19</f>
        <v>2811.4083280843943</v>
      </c>
      <c r="F21" s="71">
        <f>forecast!F19</f>
        <v>2802.4617977497601</v>
      </c>
      <c r="G21" s="71">
        <f>forecast!G19</f>
        <v>2793.5804598604063</v>
      </c>
      <c r="H21" s="71">
        <f>forecast!H19</f>
        <v>2782.272179807348</v>
      </c>
      <c r="I21" s="71">
        <f>forecast!I19</f>
        <v>2774.2034387079302</v>
      </c>
      <c r="J21" s="71">
        <f>forecast!J19</f>
        <v>2766.1761593994979</v>
      </c>
      <c r="K21" s="71">
        <f>forecast!K19</f>
        <v>2758.1902654382329</v>
      </c>
      <c r="L21" s="71">
        <f>forecast!L19</f>
        <v>2762.1576317601116</v>
      </c>
      <c r="M21" s="71">
        <f>forecast!M19</f>
        <v>2761.3592688503127</v>
      </c>
    </row>
    <row r="22" spans="2:13" x14ac:dyDescent="0.35">
      <c r="B22" t="str">
        <f>forecast!A20</f>
        <v>State Non-Corporate Taxes</v>
      </c>
      <c r="C22" t="str">
        <f>forecast!B20</f>
        <v>state_non_corporate_taxes</v>
      </c>
      <c r="D22" s="71">
        <f>forecast!D20</f>
        <v>20</v>
      </c>
      <c r="E22" s="71" t="e">
        <f>forecast!E20</f>
        <v>#DIV/0!</v>
      </c>
      <c r="F22" s="71" t="e">
        <f>forecast!F20</f>
        <v>#DIV/0!</v>
      </c>
      <c r="G22" s="71" t="e">
        <f>forecast!G20</f>
        <v>#DIV/0!</v>
      </c>
      <c r="H22" s="71" t="e">
        <f>forecast!H20</f>
        <v>#DIV/0!</v>
      </c>
      <c r="I22" s="71" t="e">
        <f>forecast!I20</f>
        <v>#DIV/0!</v>
      </c>
      <c r="J22" s="71" t="e">
        <f>forecast!J20</f>
        <v>#DIV/0!</v>
      </c>
      <c r="K22" s="71" t="e">
        <f>forecast!K20</f>
        <v>#DIV/0!</v>
      </c>
      <c r="L22" s="71" t="e">
        <f>forecast!L20</f>
        <v>#DIV/0!</v>
      </c>
      <c r="M22" s="71" t="e">
        <f>forecast!M20</f>
        <v>#DIV/0!</v>
      </c>
    </row>
    <row r="23" spans="2:13" x14ac:dyDescent="0.35">
      <c r="B23" t="str">
        <f>forecast!A21</f>
        <v>Federal Corporate Taxes</v>
      </c>
      <c r="C23" t="str">
        <f>forecast!B21</f>
        <v>federal_corporate_taxes</v>
      </c>
      <c r="D23" s="71">
        <f>forecast!D21</f>
        <v>388.41200041587678</v>
      </c>
      <c r="E23" s="71">
        <f>forecast!E21</f>
        <v>401.36538320225492</v>
      </c>
      <c r="F23" s="71">
        <f>forecast!F21</f>
        <v>414.7939642367329</v>
      </c>
      <c r="G23" s="71">
        <f>forecast!G21</f>
        <v>428.71517629179345</v>
      </c>
      <c r="H23" s="71">
        <f>forecast!H21</f>
        <v>434.09697515017842</v>
      </c>
      <c r="I23" s="71">
        <f>forecast!I21</f>
        <v>438.81811152739004</v>
      </c>
      <c r="J23" s="71">
        <f>forecast!J21</f>
        <v>443.59524173997403</v>
      </c>
      <c r="K23" s="71">
        <f>forecast!K21</f>
        <v>448.42902988855133</v>
      </c>
      <c r="L23" s="71">
        <f>forecast!L21</f>
        <v>434.57553490347539</v>
      </c>
      <c r="M23" s="71">
        <f>forecast!M21</f>
        <v>430.24614575494007</v>
      </c>
    </row>
    <row r="24" spans="2:13" x14ac:dyDescent="0.35">
      <c r="B24" t="str">
        <f>forecast!A22</f>
        <v>State Corporate Taxes</v>
      </c>
      <c r="C24" s="36" t="str">
        <f>forecast!B22</f>
        <v>state_corporate_taxes</v>
      </c>
      <c r="D24" s="71">
        <f>forecast!D22</f>
        <v>102.34079475027342</v>
      </c>
      <c r="E24" s="71">
        <f>forecast!E22</f>
        <v>102.15559606270507</v>
      </c>
      <c r="F24" s="71">
        <f>forecast!F22</f>
        <v>101.60411552639042</v>
      </c>
      <c r="G24" s="71">
        <f>forecast!G22</f>
        <v>100.98678656782923</v>
      </c>
      <c r="H24" s="71">
        <f>forecast!H22</f>
        <v>100.44765261068578</v>
      </c>
      <c r="I24" s="71">
        <f>forecast!I22</f>
        <v>99.982598128569691</v>
      </c>
      <c r="J24" s="71">
        <f>forecast!J22</f>
        <v>99.863247863247864</v>
      </c>
      <c r="K24" s="71">
        <f>forecast!K22</f>
        <v>99.513428120063196</v>
      </c>
      <c r="L24" s="71">
        <f>forecast!L22</f>
        <v>100.06079312998746</v>
      </c>
      <c r="M24" s="71">
        <f>forecast!M22</f>
        <v>100.42295945234335</v>
      </c>
    </row>
    <row r="25" spans="2:13" x14ac:dyDescent="0.35">
      <c r="B25" s="36" t="str">
        <f>forecast!A23</f>
        <v>Federal Student Loans</v>
      </c>
      <c r="C25" s="36" t="str">
        <f>forecast!B23</f>
        <v>federal_student_loans</v>
      </c>
      <c r="D25" s="71">
        <f>forecast!D23</f>
        <v>0</v>
      </c>
      <c r="E25" s="71">
        <f>forecast!E23</f>
        <v>0</v>
      </c>
      <c r="F25" s="71">
        <f>forecast!F23</f>
        <v>0</v>
      </c>
      <c r="G25" s="71">
        <f>forecast!G23</f>
        <v>20.815079999999998</v>
      </c>
      <c r="H25" s="71">
        <f>forecast!H23</f>
        <v>21.006180000000001</v>
      </c>
      <c r="I25" s="71">
        <f>forecast!I23</f>
        <v>25.815300000000001</v>
      </c>
      <c r="J25" s="71">
        <f>forecast!J23</f>
        <v>26.04045</v>
      </c>
      <c r="K25" s="71">
        <f>forecast!K23</f>
        <v>26.26465</v>
      </c>
      <c r="L25" s="71">
        <f>forecast!L23</f>
        <v>26.498349999999999</v>
      </c>
      <c r="M25" s="71">
        <f>forecast!M23</f>
        <v>26.454419999999999</v>
      </c>
    </row>
    <row r="27" spans="2:13" x14ac:dyDescent="0.35">
      <c r="B27" s="1087" t="s">
        <v>1856</v>
      </c>
      <c r="C27" s="1087"/>
      <c r="D27" s="1087"/>
      <c r="E27" s="1087"/>
      <c r="F27" s="1087"/>
      <c r="G27" s="1087"/>
      <c r="H27" s="1087"/>
      <c r="I27" s="1087"/>
      <c r="J27" s="1087"/>
      <c r="K27" s="1087"/>
      <c r="L27" s="1087"/>
      <c r="M27" s="1087"/>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106.390928</v>
      </c>
      <c r="E29" s="71">
        <v>151.0389119651158</v>
      </c>
      <c r="F29" s="71">
        <v>152.45432146619868</v>
      </c>
      <c r="G29" s="71">
        <v>148.36827954230918</v>
      </c>
      <c r="H29" s="71">
        <v>145.78741066666663</v>
      </c>
      <c r="I29" s="71">
        <v>131.40695407572048</v>
      </c>
      <c r="J29" s="71">
        <v>108.54513356484662</v>
      </c>
      <c r="K29" s="71">
        <v>109.97585848400158</v>
      </c>
      <c r="L29" s="71">
        <v>111.66763343333332</v>
      </c>
      <c r="M29" s="71">
        <v>91.747312758749317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0</v>
      </c>
      <c r="E31" s="71">
        <v>4.5430000000000001</v>
      </c>
      <c r="F31" s="71">
        <v>4.5430000000000001</v>
      </c>
      <c r="G31" s="71">
        <v>4.5430000000000001</v>
      </c>
      <c r="H31" s="71">
        <v>5.6079999999999997</v>
      </c>
      <c r="I31" s="71">
        <v>5.6079999999999997</v>
      </c>
      <c r="J31" s="71">
        <v>5.6079999999999997</v>
      </c>
      <c r="K31" s="71">
        <v>5.6079999999999997</v>
      </c>
      <c r="L31" s="71">
        <v>8.16</v>
      </c>
      <c r="M31" s="71">
        <v>8.16</v>
      </c>
    </row>
    <row r="32" spans="2:13" x14ac:dyDescent="0.35">
      <c r="B32" t="s">
        <v>197</v>
      </c>
      <c r="C32" t="s">
        <v>198</v>
      </c>
      <c r="D32" s="71">
        <v>0</v>
      </c>
      <c r="E32" s="71">
        <v>0</v>
      </c>
      <c r="F32" s="71">
        <v>0</v>
      </c>
      <c r="G32" s="71">
        <v>0</v>
      </c>
      <c r="H32" s="71">
        <v>0</v>
      </c>
      <c r="I32" s="71">
        <v>0</v>
      </c>
      <c r="J32" s="71">
        <v>0</v>
      </c>
      <c r="K32" s="71">
        <v>0</v>
      </c>
      <c r="L32" s="71">
        <v>0</v>
      </c>
      <c r="M32" s="71">
        <v>3137.5691162790699</v>
      </c>
    </row>
    <row r="33" spans="2:13" x14ac:dyDescent="0.35">
      <c r="B33" t="s">
        <v>199</v>
      </c>
      <c r="C33" t="s">
        <v>200</v>
      </c>
      <c r="D33" s="71">
        <v>-12.726000000000001</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v>
      </c>
      <c r="E35" s="71">
        <v>0</v>
      </c>
      <c r="F35" s="71">
        <v>0</v>
      </c>
      <c r="G35" s="71">
        <v>0</v>
      </c>
      <c r="H35" s="71">
        <v>0</v>
      </c>
      <c r="I35" s="71">
        <v>0</v>
      </c>
      <c r="J35" s="71">
        <v>0</v>
      </c>
      <c r="K35" s="71">
        <v>0</v>
      </c>
      <c r="L35" s="71">
        <v>0</v>
      </c>
      <c r="M35" s="71">
        <v>0</v>
      </c>
    </row>
    <row r="36" spans="2:13" x14ac:dyDescent="0.35">
      <c r="B36" t="s">
        <v>205</v>
      </c>
      <c r="C36" t="s">
        <v>206</v>
      </c>
      <c r="D36" s="71">
        <v>0</v>
      </c>
      <c r="E36" s="71">
        <v>0</v>
      </c>
      <c r="F36" s="71">
        <v>0</v>
      </c>
      <c r="G36" s="71">
        <v>0</v>
      </c>
      <c r="H36" s="71">
        <v>0</v>
      </c>
      <c r="I36" s="71">
        <v>0</v>
      </c>
      <c r="J36" s="71">
        <v>0</v>
      </c>
      <c r="K36" s="71">
        <v>0</v>
      </c>
      <c r="L36" s="71">
        <v>0</v>
      </c>
      <c r="M36" s="71">
        <v>0</v>
      </c>
    </row>
    <row r="37" spans="2:13" x14ac:dyDescent="0.35">
      <c r="B37" t="s">
        <v>207</v>
      </c>
      <c r="C37" t="s">
        <v>208</v>
      </c>
      <c r="D37" s="71" t="e">
        <v>#DIV/0!</v>
      </c>
      <c r="E37" s="71" t="e">
        <v>#DIV/0!</v>
      </c>
      <c r="F37" s="71" t="e">
        <v>#DIV/0!</v>
      </c>
      <c r="G37" s="71" t="e">
        <v>#DIV/0!</v>
      </c>
      <c r="H37" s="71" t="e">
        <v>#DIV/0!</v>
      </c>
      <c r="I37" s="71" t="e">
        <v>#DIV/0!</v>
      </c>
      <c r="J37" s="71" t="e">
        <v>#DIV/0!</v>
      </c>
      <c r="K37" s="71" t="e">
        <v>#DIV/0!</v>
      </c>
      <c r="L37" s="71" t="e">
        <v>#DIV/0!</v>
      </c>
      <c r="M37" s="71" t="e">
        <v>#DIV/0!</v>
      </c>
    </row>
    <row r="38" spans="2:13" x14ac:dyDescent="0.35">
      <c r="B38" t="s">
        <v>209</v>
      </c>
      <c r="C38" t="s">
        <v>210</v>
      </c>
      <c r="D38" s="71">
        <v>0</v>
      </c>
      <c r="E38" s="71" t="e">
        <v>#DIV/0!</v>
      </c>
      <c r="F38" s="71" t="e">
        <v>#DIV/0!</v>
      </c>
      <c r="G38" s="71" t="e">
        <v>#DIV/0!</v>
      </c>
      <c r="H38" s="71" t="e">
        <v>#DIV/0!</v>
      </c>
      <c r="I38" s="71" t="e">
        <v>#DIV/0!</v>
      </c>
      <c r="J38" s="71" t="e">
        <v>#DIV/0!</v>
      </c>
      <c r="K38" s="71" t="e">
        <v>#DIV/0!</v>
      </c>
      <c r="L38" s="71" t="e">
        <v>#DIV/0!</v>
      </c>
      <c r="M38" s="71" t="e">
        <v>#DIV/0!</v>
      </c>
    </row>
    <row r="39" spans="2:13" x14ac:dyDescent="0.35">
      <c r="B39" t="s">
        <v>55</v>
      </c>
      <c r="C39" t="s">
        <v>211</v>
      </c>
      <c r="D39" s="71">
        <v>0</v>
      </c>
      <c r="E39" s="71">
        <v>0</v>
      </c>
      <c r="F39" s="71">
        <v>0</v>
      </c>
      <c r="G39" s="71">
        <v>0</v>
      </c>
      <c r="H39" s="71">
        <v>0</v>
      </c>
      <c r="I39" s="71">
        <v>0</v>
      </c>
      <c r="J39" s="71">
        <v>0</v>
      </c>
      <c r="K39" s="71">
        <v>0</v>
      </c>
      <c r="L39" s="71">
        <v>0</v>
      </c>
      <c r="M39" s="71">
        <v>0</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864</v>
      </c>
      <c r="C43" t="s">
        <v>219</v>
      </c>
      <c r="D43" s="71">
        <v>1.4159999999999999</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2.4739999999998332</v>
      </c>
      <c r="E44" s="71">
        <v>46.905574999999899</v>
      </c>
      <c r="F44" s="71">
        <v>53.905574999999899</v>
      </c>
      <c r="G44" s="71">
        <v>60.905574999999899</v>
      </c>
      <c r="H44" s="71">
        <v>63.154574999999902</v>
      </c>
      <c r="I44" s="71">
        <v>71.354574999999954</v>
      </c>
      <c r="J44" s="71">
        <v>78.354574999999954</v>
      </c>
      <c r="K44" s="71">
        <v>85.354574999999954</v>
      </c>
      <c r="L44" s="71">
        <v>93.382574999999946</v>
      </c>
      <c r="M44" s="71">
        <v>101.822575</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0</v>
      </c>
      <c r="E46" s="71">
        <v>2811.4083280843943</v>
      </c>
      <c r="F46" s="71">
        <v>2802.4617977497601</v>
      </c>
      <c r="G46" s="71">
        <v>2793.5804598604063</v>
      </c>
      <c r="H46" s="71">
        <v>2782.272179807348</v>
      </c>
      <c r="I46" s="71">
        <v>2774.2034387079302</v>
      </c>
      <c r="J46" s="71">
        <v>2766.1761593994979</v>
      </c>
      <c r="K46" s="71">
        <v>2758.1902654382329</v>
      </c>
      <c r="L46" s="71">
        <v>2762.1576317601116</v>
      </c>
      <c r="M46" s="71">
        <v>2761.3592688503127</v>
      </c>
    </row>
    <row r="47" spans="2:13" x14ac:dyDescent="0.35">
      <c r="B47" t="s">
        <v>226</v>
      </c>
      <c r="C47" t="s">
        <v>227</v>
      </c>
      <c r="D47" s="71">
        <v>20</v>
      </c>
      <c r="E47" s="71" t="e">
        <v>#DIV/0!</v>
      </c>
      <c r="F47" s="71" t="e">
        <v>#DIV/0!</v>
      </c>
      <c r="G47" s="71" t="e">
        <v>#DIV/0!</v>
      </c>
      <c r="H47" s="71" t="e">
        <v>#DIV/0!</v>
      </c>
      <c r="I47" s="71" t="e">
        <v>#DIV/0!</v>
      </c>
      <c r="J47" s="71" t="e">
        <v>#DIV/0!</v>
      </c>
      <c r="K47" s="71" t="e">
        <v>#DIV/0!</v>
      </c>
      <c r="L47" s="71" t="e">
        <v>#DIV/0!</v>
      </c>
      <c r="M47" s="71" t="e">
        <v>#DIV/0!</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1486</v>
      </c>
      <c r="C50" s="36" t="s">
        <v>1485</v>
      </c>
      <c r="D50" s="71">
        <v>0</v>
      </c>
      <c r="E50" s="71">
        <v>0</v>
      </c>
      <c r="F50" s="71">
        <v>0</v>
      </c>
      <c r="G50" s="71">
        <v>20.815079999999998</v>
      </c>
      <c r="H50" s="71">
        <v>21.006180000000001</v>
      </c>
      <c r="I50" s="71">
        <v>25.815300000000001</v>
      </c>
      <c r="J50" s="71">
        <v>26.04045</v>
      </c>
      <c r="K50" s="71">
        <v>26.26465</v>
      </c>
      <c r="L50" s="71">
        <v>26.498349999999999</v>
      </c>
      <c r="M50" s="71">
        <v>26.454419999999999</v>
      </c>
    </row>
    <row r="52" spans="2:13" x14ac:dyDescent="0.35">
      <c r="B52" s="1087" t="s">
        <v>232</v>
      </c>
      <c r="C52" s="1087"/>
      <c r="D52" s="1087"/>
      <c r="E52" s="1087"/>
      <c r="F52" s="1087"/>
      <c r="G52" s="1087"/>
      <c r="H52" s="1087"/>
      <c r="I52" s="1087"/>
      <c r="J52" s="1087"/>
      <c r="K52" s="1087"/>
      <c r="L52" s="1087"/>
      <c r="M52" s="1087"/>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t="s">
        <v>192</v>
      </c>
      <c r="C54" t="s">
        <v>193</v>
      </c>
      <c r="D54" s="71">
        <f t="shared" ref="D54:M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t="s">
        <v>195</v>
      </c>
      <c r="C56"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t="s">
        <v>197</v>
      </c>
      <c r="C57" t="s">
        <v>198</v>
      </c>
      <c r="D57" s="71">
        <f t="shared" ref="D57:M57" si="3">D7-D32</f>
        <v>0</v>
      </c>
      <c r="E57" s="71">
        <f t="shared" si="3"/>
        <v>0</v>
      </c>
      <c r="F57" s="71">
        <f t="shared" si="3"/>
        <v>0</v>
      </c>
      <c r="G57" s="71">
        <f t="shared" si="3"/>
        <v>0</v>
      </c>
      <c r="H57" s="71">
        <f t="shared" si="3"/>
        <v>0</v>
      </c>
      <c r="I57" s="71">
        <f t="shared" si="3"/>
        <v>0</v>
      </c>
      <c r="J57" s="71">
        <f t="shared" si="3"/>
        <v>0</v>
      </c>
      <c r="K57" s="71">
        <f t="shared" si="3"/>
        <v>0</v>
      </c>
      <c r="L57" s="71">
        <f t="shared" si="3"/>
        <v>0</v>
      </c>
      <c r="M57" s="71">
        <f t="shared" si="3"/>
        <v>0</v>
      </c>
    </row>
    <row r="58" spans="2:13" x14ac:dyDescent="0.35">
      <c r="B58" t="s">
        <v>199</v>
      </c>
      <c r="C58"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t="s">
        <v>205</v>
      </c>
      <c r="C61"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t="s">
        <v>207</v>
      </c>
      <c r="C62" t="s">
        <v>208</v>
      </c>
      <c r="D62" s="71" t="e">
        <f t="shared" ref="D62:M62" si="8">D12-D37</f>
        <v>#DIV/0!</v>
      </c>
      <c r="E62" s="71" t="e">
        <f t="shared" si="8"/>
        <v>#DIV/0!</v>
      </c>
      <c r="F62" s="71" t="e">
        <f t="shared" si="8"/>
        <v>#DIV/0!</v>
      </c>
      <c r="G62" s="71" t="e">
        <f t="shared" si="8"/>
        <v>#DIV/0!</v>
      </c>
      <c r="H62" s="71" t="e">
        <f t="shared" si="8"/>
        <v>#DIV/0!</v>
      </c>
      <c r="I62" s="71" t="e">
        <f t="shared" si="8"/>
        <v>#DIV/0!</v>
      </c>
      <c r="J62" s="71" t="e">
        <f t="shared" si="8"/>
        <v>#DIV/0!</v>
      </c>
      <c r="K62" s="71" t="e">
        <f t="shared" si="8"/>
        <v>#DIV/0!</v>
      </c>
      <c r="L62" s="71" t="e">
        <f t="shared" si="8"/>
        <v>#DIV/0!</v>
      </c>
      <c r="M62" s="71" t="e">
        <f t="shared" si="8"/>
        <v>#DIV/0!</v>
      </c>
    </row>
    <row r="63" spans="2:13" x14ac:dyDescent="0.35">
      <c r="B63" t="s">
        <v>209</v>
      </c>
      <c r="C63" t="s">
        <v>210</v>
      </c>
      <c r="D63" s="71">
        <f t="shared" ref="D63:M63" si="9">D13-D38</f>
        <v>0</v>
      </c>
      <c r="E63" s="71" t="e">
        <f t="shared" si="9"/>
        <v>#DIV/0!</v>
      </c>
      <c r="F63" s="71" t="e">
        <f t="shared" si="9"/>
        <v>#DIV/0!</v>
      </c>
      <c r="G63" s="71" t="e">
        <f t="shared" si="9"/>
        <v>#DIV/0!</v>
      </c>
      <c r="H63" s="71" t="e">
        <f t="shared" si="9"/>
        <v>#DIV/0!</v>
      </c>
      <c r="I63" s="71" t="e">
        <f t="shared" si="9"/>
        <v>#DIV/0!</v>
      </c>
      <c r="J63" s="71" t="e">
        <f t="shared" si="9"/>
        <v>#DIV/0!</v>
      </c>
      <c r="K63" s="71" t="e">
        <f t="shared" si="9"/>
        <v>#DIV/0!</v>
      </c>
      <c r="L63" s="71" t="e">
        <f t="shared" si="9"/>
        <v>#DIV/0!</v>
      </c>
      <c r="M63" s="71" t="e">
        <f t="shared" si="9"/>
        <v>#DIV/0!</v>
      </c>
    </row>
    <row r="64" spans="2:13" x14ac:dyDescent="0.35">
      <c r="B64" t="s">
        <v>55</v>
      </c>
      <c r="C64"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891</v>
      </c>
      <c r="C68"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t="s">
        <v>220</v>
      </c>
      <c r="C69" t="s">
        <v>221</v>
      </c>
      <c r="D69" s="71">
        <f t="shared" ref="D69:M69" si="15">D19-D44</f>
        <v>0</v>
      </c>
      <c r="E69" s="71">
        <f t="shared" si="15"/>
        <v>0</v>
      </c>
      <c r="F69" s="71">
        <f t="shared" si="15"/>
        <v>0</v>
      </c>
      <c r="G69" s="71">
        <f t="shared" si="15"/>
        <v>0</v>
      </c>
      <c r="H69" s="71">
        <f t="shared" si="15"/>
        <v>0</v>
      </c>
      <c r="I69" s="71">
        <f t="shared" si="15"/>
        <v>0</v>
      </c>
      <c r="J69" s="71">
        <f t="shared" si="15"/>
        <v>0</v>
      </c>
      <c r="K69" s="71">
        <f t="shared" si="15"/>
        <v>0</v>
      </c>
      <c r="L69" s="71">
        <f t="shared" si="15"/>
        <v>0</v>
      </c>
      <c r="M69" s="71">
        <f t="shared" si="15"/>
        <v>0</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t="s">
        <v>224</v>
      </c>
      <c r="C71" t="s">
        <v>225</v>
      </c>
      <c r="D71" s="71">
        <f t="shared" ref="D71:M71" si="17">D21-D46</f>
        <v>0</v>
      </c>
      <c r="E71" s="71">
        <f t="shared" si="17"/>
        <v>0</v>
      </c>
      <c r="F71" s="71">
        <f t="shared" si="17"/>
        <v>0</v>
      </c>
      <c r="G71" s="71">
        <f t="shared" si="17"/>
        <v>0</v>
      </c>
      <c r="H71" s="71">
        <f t="shared" si="17"/>
        <v>0</v>
      </c>
      <c r="I71" s="71">
        <f t="shared" si="17"/>
        <v>0</v>
      </c>
      <c r="J71" s="71">
        <f t="shared" si="17"/>
        <v>0</v>
      </c>
      <c r="K71" s="71">
        <f t="shared" si="17"/>
        <v>0</v>
      </c>
      <c r="L71" s="71">
        <f t="shared" si="17"/>
        <v>0</v>
      </c>
      <c r="M71" s="71">
        <f t="shared" si="17"/>
        <v>0</v>
      </c>
    </row>
    <row r="72" spans="2:13" x14ac:dyDescent="0.35">
      <c r="B72" t="s">
        <v>226</v>
      </c>
      <c r="C72" t="s">
        <v>227</v>
      </c>
      <c r="D72" s="71">
        <f t="shared" ref="D72:M72" si="18">D22-D47</f>
        <v>0</v>
      </c>
      <c r="E72" s="71" t="e">
        <f t="shared" si="18"/>
        <v>#DIV/0!</v>
      </c>
      <c r="F72" s="71" t="e">
        <f t="shared" si="18"/>
        <v>#DIV/0!</v>
      </c>
      <c r="G72" s="71" t="e">
        <f t="shared" si="18"/>
        <v>#DIV/0!</v>
      </c>
      <c r="H72" s="71" t="e">
        <f t="shared" si="18"/>
        <v>#DIV/0!</v>
      </c>
      <c r="I72" s="71" t="e">
        <f t="shared" si="18"/>
        <v>#DIV/0!</v>
      </c>
      <c r="J72" s="71" t="e">
        <f t="shared" si="18"/>
        <v>#DIV/0!</v>
      </c>
      <c r="K72" s="71" t="e">
        <f t="shared" si="18"/>
        <v>#DIV/0!</v>
      </c>
      <c r="L72" s="71" t="e">
        <f t="shared" si="18"/>
        <v>#DIV/0!</v>
      </c>
      <c r="M72" s="71" t="e">
        <f t="shared" si="18"/>
        <v>#DIV/0!</v>
      </c>
    </row>
    <row r="73" spans="2:13" x14ac:dyDescent="0.35">
      <c r="B73" t="s">
        <v>228</v>
      </c>
      <c r="C73"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t="s">
        <v>230</v>
      </c>
      <c r="C74"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6" t="s">
        <v>1486</v>
      </c>
      <c r="C75" s="36" t="s">
        <v>1485</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087" t="s">
        <v>233</v>
      </c>
      <c r="C78" s="1087"/>
      <c r="D78" s="1087"/>
      <c r="E78" s="1087"/>
      <c r="F78" s="1087"/>
      <c r="G78" s="1087"/>
      <c r="H78" s="1087"/>
      <c r="I78" s="1087"/>
      <c r="J78" s="1087"/>
      <c r="K78" s="1087"/>
      <c r="L78" s="1087"/>
      <c r="M78" s="1087"/>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t="e">
        <f t="shared" ref="D82:M82" si="24">(D6/D31-1)</f>
        <v>#DIV/0!</v>
      </c>
      <c r="E82" s="72">
        <f t="shared" si="24"/>
        <v>0</v>
      </c>
      <c r="F82" s="72">
        <f t="shared" si="24"/>
        <v>0</v>
      </c>
      <c r="G82" s="72">
        <f t="shared" si="24"/>
        <v>0</v>
      </c>
      <c r="H82" s="72">
        <f t="shared" si="24"/>
        <v>0</v>
      </c>
      <c r="I82" s="72">
        <f t="shared" si="24"/>
        <v>0</v>
      </c>
      <c r="J82" s="72">
        <f t="shared" si="24"/>
        <v>0</v>
      </c>
      <c r="K82" s="72">
        <f t="shared" si="24"/>
        <v>0</v>
      </c>
      <c r="L82" s="72">
        <f t="shared" si="24"/>
        <v>0</v>
      </c>
      <c r="M82" s="72">
        <f t="shared" si="24"/>
        <v>0</v>
      </c>
    </row>
    <row r="83" spans="2:13" x14ac:dyDescent="0.35">
      <c r="B83" t="s">
        <v>197</v>
      </c>
      <c r="C83" t="s">
        <v>198</v>
      </c>
      <c r="D83" s="72" t="e">
        <f t="shared" ref="D83:M83" si="25">(D7/D32-1)</f>
        <v>#DIV/0!</v>
      </c>
      <c r="E83" s="72" t="e">
        <f t="shared" si="25"/>
        <v>#DIV/0!</v>
      </c>
      <c r="F83" s="72" t="e">
        <f t="shared" si="25"/>
        <v>#DIV/0!</v>
      </c>
      <c r="G83" s="72" t="e">
        <f t="shared" si="25"/>
        <v>#DIV/0!</v>
      </c>
      <c r="H83" s="72" t="e">
        <f t="shared" si="25"/>
        <v>#DIV/0!</v>
      </c>
      <c r="I83" s="72" t="e">
        <f t="shared" si="25"/>
        <v>#DIV/0!</v>
      </c>
      <c r="J83" s="72" t="e">
        <f t="shared" si="25"/>
        <v>#DIV/0!</v>
      </c>
      <c r="K83" s="72" t="e">
        <f t="shared" si="25"/>
        <v>#DIV/0!</v>
      </c>
      <c r="L83" s="72" t="e">
        <f t="shared" si="25"/>
        <v>#DIV/0!</v>
      </c>
      <c r="M83" s="72">
        <f t="shared" si="25"/>
        <v>0</v>
      </c>
    </row>
    <row r="84" spans="2:13" x14ac:dyDescent="0.35">
      <c r="B84" t="s">
        <v>199</v>
      </c>
      <c r="C84" t="s">
        <v>200</v>
      </c>
      <c r="D84" s="72">
        <f t="shared" ref="D84:M84" si="26">(D8/D33-1)</f>
        <v>0</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t="e">
        <f t="shared" ref="D86:M86" si="28">(D10/D35-1)</f>
        <v>#DIV/0!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row>
    <row r="87" spans="2:13" x14ac:dyDescent="0.35">
      <c r="B87" t="s">
        <v>205</v>
      </c>
      <c r="C87" t="s">
        <v>206</v>
      </c>
      <c r="D87" s="72" t="e">
        <f t="shared" ref="D87:M87" si="29">(D11/D36-1)</f>
        <v>#DIV/0!</v>
      </c>
      <c r="E87" s="72" t="e">
        <f t="shared" si="29"/>
        <v>#DIV/0!</v>
      </c>
      <c r="F87" s="72" t="e">
        <f t="shared" si="29"/>
        <v>#DIV/0!</v>
      </c>
      <c r="G87" s="72" t="e">
        <f t="shared" si="29"/>
        <v>#DIV/0!</v>
      </c>
      <c r="H87" s="72" t="e">
        <f t="shared" si="29"/>
        <v>#DIV/0!</v>
      </c>
      <c r="I87" s="72" t="e">
        <f t="shared" si="29"/>
        <v>#DIV/0!</v>
      </c>
      <c r="J87" s="72" t="e">
        <f t="shared" si="29"/>
        <v>#DIV/0!</v>
      </c>
      <c r="K87" s="72" t="e">
        <f t="shared" si="29"/>
        <v>#DIV/0!</v>
      </c>
      <c r="L87" s="72" t="e">
        <f t="shared" si="29"/>
        <v>#DIV/0!</v>
      </c>
      <c r="M87" s="72" t="e">
        <f t="shared" si="29"/>
        <v>#DIV/0!</v>
      </c>
    </row>
    <row r="88" spans="2:13" x14ac:dyDescent="0.35">
      <c r="B88" t="s">
        <v>207</v>
      </c>
      <c r="C88" t="s">
        <v>208</v>
      </c>
      <c r="D88" s="72" t="e">
        <f t="shared" ref="D88:M88" si="30">(D12/D37-1)</f>
        <v>#DIV/0!</v>
      </c>
      <c r="E88" s="72" t="e">
        <f t="shared" si="30"/>
        <v>#DIV/0!</v>
      </c>
      <c r="F88" s="72" t="e">
        <f t="shared" si="30"/>
        <v>#DIV/0!</v>
      </c>
      <c r="G88" s="72" t="e">
        <f t="shared" si="30"/>
        <v>#DIV/0!</v>
      </c>
      <c r="H88" s="72" t="e">
        <f t="shared" si="30"/>
        <v>#DIV/0!</v>
      </c>
      <c r="I88" s="72" t="e">
        <f t="shared" si="30"/>
        <v>#DIV/0!</v>
      </c>
      <c r="J88" s="72" t="e">
        <f t="shared" si="30"/>
        <v>#DIV/0!</v>
      </c>
      <c r="K88" s="72" t="e">
        <f t="shared" si="30"/>
        <v>#DIV/0!</v>
      </c>
      <c r="L88" s="72" t="e">
        <f t="shared" si="30"/>
        <v>#DIV/0!</v>
      </c>
      <c r="M88" s="72" t="e">
        <f t="shared" si="30"/>
        <v>#DIV/0!</v>
      </c>
    </row>
    <row r="89" spans="2:13" x14ac:dyDescent="0.35">
      <c r="B89" t="s">
        <v>209</v>
      </c>
      <c r="C89" t="s">
        <v>210</v>
      </c>
      <c r="D89" s="72" t="e">
        <f t="shared" ref="D89:M89" si="31">(D13/D38-1)</f>
        <v>#DIV/0!</v>
      </c>
      <c r="E89" s="72" t="e">
        <f t="shared" si="31"/>
        <v>#DIV/0!</v>
      </c>
      <c r="F89" s="72" t="e">
        <f t="shared" si="31"/>
        <v>#DIV/0!</v>
      </c>
      <c r="G89" s="72" t="e">
        <f t="shared" si="31"/>
        <v>#DIV/0!</v>
      </c>
      <c r="H89" s="72" t="e">
        <f t="shared" si="31"/>
        <v>#DIV/0!</v>
      </c>
      <c r="I89" s="72" t="e">
        <f t="shared" si="31"/>
        <v>#DIV/0!</v>
      </c>
      <c r="J89" s="72" t="e">
        <f t="shared" si="31"/>
        <v>#DIV/0!</v>
      </c>
      <c r="K89" s="72" t="e">
        <f t="shared" si="31"/>
        <v>#DIV/0!</v>
      </c>
      <c r="L89" s="72" t="e">
        <f t="shared" si="31"/>
        <v>#DIV/0!</v>
      </c>
      <c r="M89" s="72" t="e">
        <f t="shared" si="31"/>
        <v>#DIV/0!</v>
      </c>
    </row>
    <row r="90" spans="2:13" x14ac:dyDescent="0.35">
      <c r="B90" t="s">
        <v>55</v>
      </c>
      <c r="C90" t="s">
        <v>211</v>
      </c>
      <c r="D90" s="72" t="e">
        <f t="shared" ref="D90:M90" si="32">(D14/D39-1)</f>
        <v>#DIV/0!</v>
      </c>
      <c r="E90" s="72" t="e">
        <f t="shared" si="32"/>
        <v>#DIV/0!</v>
      </c>
      <c r="F90" s="72" t="e">
        <f t="shared" si="32"/>
        <v>#DIV/0!</v>
      </c>
      <c r="G90" s="72" t="e">
        <f t="shared" si="32"/>
        <v>#DIV/0!</v>
      </c>
      <c r="H90" s="72" t="e">
        <f t="shared" si="32"/>
        <v>#DIV/0!</v>
      </c>
      <c r="I90" s="72" t="e">
        <f t="shared" si="32"/>
        <v>#DIV/0!</v>
      </c>
      <c r="J90" s="72" t="e">
        <f t="shared" si="32"/>
        <v>#DIV/0!</v>
      </c>
      <c r="K90" s="72" t="e">
        <f t="shared" si="32"/>
        <v>#DIV/0!</v>
      </c>
      <c r="L90" s="72" t="e">
        <f t="shared" si="32"/>
        <v>#DIV/0!</v>
      </c>
      <c r="M90" s="72" t="e">
        <f t="shared" si="32"/>
        <v>#DIV/0!</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0</v>
      </c>
      <c r="E95" s="72">
        <f t="shared" si="37"/>
        <v>0</v>
      </c>
      <c r="F95" s="72">
        <f t="shared" si="37"/>
        <v>0</v>
      </c>
      <c r="G95" s="72">
        <f t="shared" si="37"/>
        <v>0</v>
      </c>
      <c r="H95" s="72">
        <f t="shared" si="37"/>
        <v>0</v>
      </c>
      <c r="I95" s="72">
        <f t="shared" si="37"/>
        <v>0</v>
      </c>
      <c r="J95" s="72">
        <f t="shared" si="37"/>
        <v>0</v>
      </c>
      <c r="K95" s="72">
        <f t="shared" si="37"/>
        <v>0</v>
      </c>
      <c r="L95" s="72">
        <f t="shared" si="37"/>
        <v>0</v>
      </c>
      <c r="M95" s="72">
        <f t="shared" si="37"/>
        <v>0</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t="e">
        <f t="shared" ref="D97:M97" si="39">(D21/D46-1)</f>
        <v>#DIV/0!</v>
      </c>
      <c r="E97" s="72">
        <f t="shared" si="39"/>
        <v>0</v>
      </c>
      <c r="F97" s="72">
        <f t="shared" si="39"/>
        <v>0</v>
      </c>
      <c r="G97" s="72">
        <f t="shared" si="39"/>
        <v>0</v>
      </c>
      <c r="H97" s="72">
        <f t="shared" si="39"/>
        <v>0</v>
      </c>
      <c r="I97" s="72">
        <f t="shared" si="39"/>
        <v>0</v>
      </c>
      <c r="J97" s="72">
        <f t="shared" si="39"/>
        <v>0</v>
      </c>
      <c r="K97" s="72">
        <f t="shared" si="39"/>
        <v>0</v>
      </c>
      <c r="L97" s="72">
        <f t="shared" si="39"/>
        <v>0</v>
      </c>
      <c r="M97" s="72">
        <f t="shared" si="39"/>
        <v>0</v>
      </c>
    </row>
    <row r="98" spans="2:13" x14ac:dyDescent="0.35">
      <c r="B98" t="s">
        <v>226</v>
      </c>
      <c r="C98" t="s">
        <v>227</v>
      </c>
      <c r="D98" s="72">
        <f t="shared" ref="D98:M98" si="40">(D22/D47-1)</f>
        <v>0</v>
      </c>
      <c r="E98" s="72" t="e">
        <f t="shared" si="40"/>
        <v>#DIV/0!</v>
      </c>
      <c r="F98" s="72" t="e">
        <f t="shared" si="40"/>
        <v>#DIV/0!</v>
      </c>
      <c r="G98" s="72" t="e">
        <f t="shared" si="40"/>
        <v>#DIV/0!</v>
      </c>
      <c r="H98" s="72" t="e">
        <f t="shared" si="40"/>
        <v>#DIV/0!</v>
      </c>
      <c r="I98" s="72" t="e">
        <f t="shared" si="40"/>
        <v>#DIV/0!</v>
      </c>
      <c r="J98" s="72" t="e">
        <f t="shared" si="40"/>
        <v>#DIV/0!</v>
      </c>
      <c r="K98" s="72" t="e">
        <f t="shared" si="40"/>
        <v>#DIV/0!</v>
      </c>
      <c r="L98" s="72" t="e">
        <f t="shared" si="40"/>
        <v>#DIV/0!</v>
      </c>
      <c r="M98" s="72" t="e">
        <f t="shared" si="40"/>
        <v>#DIV/0!</v>
      </c>
    </row>
    <row r="99" spans="2:13" x14ac:dyDescent="0.35">
      <c r="B99" t="s">
        <v>228</v>
      </c>
      <c r="C99" t="s">
        <v>229</v>
      </c>
      <c r="D99" s="72">
        <f t="shared" ref="D99:M99" si="41">(D23/D48-1)</f>
        <v>0</v>
      </c>
      <c r="E99" s="72">
        <f t="shared" si="41"/>
        <v>0</v>
      </c>
      <c r="F99" s="72">
        <f t="shared" si="41"/>
        <v>0</v>
      </c>
      <c r="G99" s="72">
        <f t="shared" si="41"/>
        <v>0</v>
      </c>
      <c r="H99" s="72">
        <f t="shared" si="41"/>
        <v>0</v>
      </c>
      <c r="I99" s="72">
        <f t="shared" si="41"/>
        <v>0</v>
      </c>
      <c r="J99" s="72">
        <f t="shared" si="41"/>
        <v>0</v>
      </c>
      <c r="K99" s="72">
        <f t="shared" si="41"/>
        <v>0</v>
      </c>
      <c r="L99" s="72">
        <f t="shared" si="41"/>
        <v>0</v>
      </c>
      <c r="M99" s="72">
        <f t="shared" si="41"/>
        <v>0</v>
      </c>
    </row>
    <row r="100" spans="2:13" x14ac:dyDescent="0.35">
      <c r="B100" t="s">
        <v>230</v>
      </c>
      <c r="C100" t="s">
        <v>231</v>
      </c>
      <c r="D100" s="72">
        <f t="shared" ref="D100:M100" si="42">(D24/D49-1)</f>
        <v>0</v>
      </c>
      <c r="E100" s="72">
        <f t="shared" si="42"/>
        <v>0</v>
      </c>
      <c r="F100" s="72">
        <f t="shared" si="42"/>
        <v>0</v>
      </c>
      <c r="G100" s="72">
        <f t="shared" si="42"/>
        <v>0</v>
      </c>
      <c r="H100" s="72">
        <f t="shared" si="42"/>
        <v>0</v>
      </c>
      <c r="I100" s="72">
        <f t="shared" si="42"/>
        <v>0</v>
      </c>
      <c r="J100" s="72">
        <f t="shared" si="42"/>
        <v>0</v>
      </c>
      <c r="K100" s="72">
        <f t="shared" si="42"/>
        <v>0</v>
      </c>
      <c r="L100" s="72">
        <f t="shared" si="42"/>
        <v>0</v>
      </c>
      <c r="M100" s="72">
        <f t="shared" si="42"/>
        <v>0</v>
      </c>
    </row>
    <row r="101" spans="2:13" x14ac:dyDescent="0.35">
      <c r="B101" s="36" t="s">
        <v>1486</v>
      </c>
      <c r="C101" s="36" t="s">
        <v>1485</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1.453125" defaultRowHeight="14.5" x14ac:dyDescent="0.35"/>
  <cols>
    <col min="1" max="1" width="41.1796875" customWidth="1"/>
    <col min="2" max="2" width="23.453125" customWidth="1"/>
    <col min="3" max="9" width="10.453125" customWidth="1"/>
  </cols>
  <sheetData>
    <row r="1" spans="1:14" x14ac:dyDescent="0.3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5">
      <c r="A2" t="s">
        <v>192</v>
      </c>
      <c r="B2" t="s">
        <v>193</v>
      </c>
      <c r="C2" s="71">
        <f>Grants!S85</f>
        <v>492.38786800000003</v>
      </c>
      <c r="D2" s="71">
        <f>Grants!T85</f>
        <v>106.390928</v>
      </c>
      <c r="E2" s="71">
        <f>Grants!U85</f>
        <v>151.0389119651158</v>
      </c>
      <c r="F2" s="71">
        <f>Grants!V85</f>
        <v>152.45432146619868</v>
      </c>
      <c r="G2" s="71">
        <f>Grants!W85</f>
        <v>148.36827954230918</v>
      </c>
      <c r="H2" s="71">
        <f>Grants!X85</f>
        <v>145.78741066666663</v>
      </c>
      <c r="I2" s="71">
        <f>Grants!Y85</f>
        <v>131.40695407572048</v>
      </c>
      <c r="J2" s="71">
        <f>Grants!Z85</f>
        <v>108.54513356484662</v>
      </c>
      <c r="K2" s="71">
        <f>Grants!AA85</f>
        <v>109.97585848400158</v>
      </c>
      <c r="L2" s="71">
        <f>Grants!AB85</f>
        <v>111.66763343333332</v>
      </c>
      <c r="M2" s="71">
        <f>Grants!AC85</f>
        <v>91.747312758749317</v>
      </c>
      <c r="N2" s="71"/>
    </row>
    <row r="3" spans="1:14" x14ac:dyDescent="0.3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5">
      <c r="A4" t="s">
        <v>195</v>
      </c>
      <c r="B4" t="s">
        <v>196</v>
      </c>
      <c r="C4" s="71">
        <f>'Federal and State Purchases'!S13</f>
        <v>1657.1</v>
      </c>
      <c r="D4" s="71">
        <f>'Federal and State Purchases'!T13</f>
        <v>0</v>
      </c>
      <c r="E4" s="71">
        <f>'Federal and State Purchases'!U13</f>
        <v>4.5430000000000001</v>
      </c>
      <c r="F4" s="71">
        <f>'Federal and State Purchases'!V13</f>
        <v>4.5430000000000001</v>
      </c>
      <c r="G4" s="71">
        <f>'Federal and State Purchases'!W13</f>
        <v>4.5430000000000001</v>
      </c>
      <c r="H4" s="71">
        <f>'Federal and State Purchases'!X13</f>
        <v>5.6079999999999997</v>
      </c>
      <c r="I4" s="71">
        <f>'Federal and State Purchases'!Y13</f>
        <v>5.6079999999999997</v>
      </c>
      <c r="J4" s="71">
        <f>'Federal and State Purchases'!Z13</f>
        <v>5.6079999999999997</v>
      </c>
      <c r="K4" s="71">
        <f>'Federal and State Purchases'!AA13</f>
        <v>5.6079999999999997</v>
      </c>
      <c r="L4" s="71">
        <f>'Federal and State Purchases'!AB13</f>
        <v>8.16</v>
      </c>
      <c r="M4" s="71">
        <f>'Federal and State Purchases'!AC13</f>
        <v>8.16</v>
      </c>
      <c r="N4" s="71"/>
    </row>
    <row r="5" spans="1:14" x14ac:dyDescent="0.35">
      <c r="A5" t="s">
        <v>197</v>
      </c>
      <c r="B5" t="s">
        <v>198</v>
      </c>
      <c r="C5" s="71">
        <f>'Federal and State Purchases'!S35</f>
        <v>2836</v>
      </c>
      <c r="D5" s="71">
        <f>'Federal and State Purchases'!T35</f>
        <v>0</v>
      </c>
      <c r="E5" s="71">
        <f>'Federal and State Purchases'!U35</f>
        <v>0</v>
      </c>
      <c r="F5" s="71">
        <f>'Federal and State Purchases'!V35</f>
        <v>0</v>
      </c>
      <c r="G5" s="71">
        <f>'Federal and State Purchases'!W35</f>
        <v>0</v>
      </c>
      <c r="H5" s="71">
        <f>'Federal and State Purchases'!X35</f>
        <v>0</v>
      </c>
      <c r="I5" s="71">
        <f>'Federal and State Purchases'!Y35</f>
        <v>0</v>
      </c>
      <c r="J5" s="71">
        <f>'Federal and State Purchases'!Z35</f>
        <v>0</v>
      </c>
      <c r="K5" s="71">
        <f>'Federal and State Purchases'!AA35</f>
        <v>0</v>
      </c>
      <c r="L5" s="71">
        <f>'Federal and State Purchases'!AB35</f>
        <v>0</v>
      </c>
      <c r="M5" s="71">
        <f>'Federal and State Purchases'!AC35</f>
        <v>3137.5691162790699</v>
      </c>
      <c r="N5" s="71"/>
    </row>
    <row r="6" spans="1:14" x14ac:dyDescent="0.35">
      <c r="A6" t="s">
        <v>199</v>
      </c>
      <c r="B6" t="s">
        <v>200</v>
      </c>
      <c r="C6" s="71">
        <f>Subsidies!S46</f>
        <v>3.5520000000000067</v>
      </c>
      <c r="D6" s="71">
        <f>Subsidies!T46</f>
        <v>-12.726000000000001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35">
      <c r="A9" t="s">
        <v>205</v>
      </c>
      <c r="B9" t="s">
        <v>206</v>
      </c>
      <c r="C9" s="71">
        <f>'Unemployment Insurance'!S20</f>
        <v>18</v>
      </c>
      <c r="D9" s="71">
        <f>'Unemployment Insurance'!T20</f>
        <v>0</v>
      </c>
      <c r="E9" s="71">
        <f>'Unemployment Insurance'!U20</f>
        <v>0</v>
      </c>
      <c r="F9" s="71">
        <f>'Unemployment Insurance'!V20</f>
        <v>0</v>
      </c>
      <c r="G9" s="71">
        <f>'Unemployment Insurance'!W20</f>
        <v>0</v>
      </c>
      <c r="H9" s="71">
        <f>'Unemployment Insurance'!X20</f>
        <v>0</v>
      </c>
      <c r="I9" s="71">
        <f>'Unemployment Insurance'!Y20</f>
        <v>0</v>
      </c>
      <c r="J9" s="71">
        <f>'Unemployment Insurance'!Z20</f>
        <v>0</v>
      </c>
      <c r="K9" s="71">
        <f>'Unemployment Insurance'!AA20</f>
        <v>0</v>
      </c>
      <c r="L9" s="71">
        <f>'Unemployment Insurance'!AB20</f>
        <v>0</v>
      </c>
      <c r="M9" s="71">
        <f>'Unemployment Insurance'!AC20</f>
        <v>0</v>
      </c>
      <c r="N9" s="71"/>
    </row>
    <row r="10" spans="1:14" x14ac:dyDescent="0.35">
      <c r="A10" s="36" t="s">
        <v>207</v>
      </c>
      <c r="B10" s="36" t="s">
        <v>208</v>
      </c>
      <c r="C10" s="71">
        <f>Medicaid!S34</f>
        <v>605.63699999999994</v>
      </c>
      <c r="D10" s="71" t="e">
        <f>Medicaid!T34</f>
        <v>#DIV/0!</v>
      </c>
      <c r="E10" s="71" t="e">
        <f>Medicaid!U34</f>
        <v>#DIV/0!</v>
      </c>
      <c r="F10" s="71" t="e">
        <f>Medicaid!V34</f>
        <v>#DIV/0!</v>
      </c>
      <c r="G10" s="71" t="e">
        <f>Medicaid!W34</f>
        <v>#DIV/0!</v>
      </c>
      <c r="H10" s="71" t="e">
        <f>Medicaid!X34</f>
        <v>#DIV/0!</v>
      </c>
      <c r="I10" s="71" t="e">
        <f>Medicaid!Y34</f>
        <v>#DIV/0!</v>
      </c>
      <c r="J10" s="71" t="e">
        <f>Medicaid!Z34</f>
        <v>#DIV/0!</v>
      </c>
      <c r="K10" s="71" t="e">
        <f>Medicaid!AA34</f>
        <v>#DIV/0!</v>
      </c>
      <c r="L10" s="71" t="e">
        <f>Medicaid!AB34</f>
        <v>#DIV/0!</v>
      </c>
      <c r="M10" s="71" t="e">
        <f>Medicaid!AC34</f>
        <v>#DIV/0!</v>
      </c>
      <c r="N10" s="71"/>
    </row>
    <row r="11" spans="1:14" x14ac:dyDescent="0.35">
      <c r="A11" s="36" t="s">
        <v>209</v>
      </c>
      <c r="B11" s="36" t="s">
        <v>210</v>
      </c>
      <c r="C11" s="71">
        <f>Medicaid!S32</f>
        <v>786.1</v>
      </c>
      <c r="D11" s="71">
        <f>Medicaid!T32</f>
        <v>0</v>
      </c>
      <c r="E11" s="71" t="e">
        <f>Medicaid!U32</f>
        <v>#DIV/0!</v>
      </c>
      <c r="F11" s="71" t="e">
        <f>Medicaid!V32</f>
        <v>#DIV/0!</v>
      </c>
      <c r="G11" s="71" t="e">
        <f>Medicaid!W32</f>
        <v>#DIV/0!</v>
      </c>
      <c r="H11" s="71" t="e">
        <f>Medicaid!X32</f>
        <v>#DIV/0!</v>
      </c>
      <c r="I11" s="71" t="e">
        <f>Medicaid!Y32</f>
        <v>#DIV/0!</v>
      </c>
      <c r="J11" s="71" t="e">
        <f>Medicaid!Z32</f>
        <v>#DIV/0!</v>
      </c>
      <c r="K11" s="71" t="e">
        <f>Medicaid!AA32</f>
        <v>#DIV/0!</v>
      </c>
      <c r="L11" s="71" t="e">
        <f>Medicaid!AB32</f>
        <v>#DIV/0!</v>
      </c>
      <c r="M11" s="71" t="e">
        <f>Medicaid!AC32</f>
        <v>#DIV/0!</v>
      </c>
      <c r="N11" s="71"/>
    </row>
    <row r="12" spans="1:14" x14ac:dyDescent="0.35">
      <c r="A12" t="s">
        <v>55</v>
      </c>
      <c r="B12" t="s">
        <v>211</v>
      </c>
      <c r="C12" s="71">
        <f>Medicare!S10</f>
        <v>920.3</v>
      </c>
      <c r="D12" s="71">
        <f>Medicare!T10</f>
        <v>0</v>
      </c>
      <c r="E12" s="71">
        <f>Medicare!U10</f>
        <v>0</v>
      </c>
      <c r="F12" s="71">
        <f>Medicare!V10</f>
        <v>0</v>
      </c>
      <c r="G12" s="71">
        <f>Medicare!W10</f>
        <v>0</v>
      </c>
      <c r="H12" s="71">
        <f>Medicare!X10</f>
        <v>0</v>
      </c>
      <c r="I12" s="71">
        <f>Medicare!Y10</f>
        <v>0</v>
      </c>
      <c r="J12" s="71">
        <f>Medicare!Z10</f>
        <v>0</v>
      </c>
      <c r="K12" s="71">
        <f>Medicare!AA10</f>
        <v>0</v>
      </c>
      <c r="L12" s="71">
        <f>Medicare!AB10</f>
        <v>0</v>
      </c>
      <c r="M12" s="71">
        <f>Medicare!AC10</f>
        <v>0</v>
      </c>
      <c r="N12" s="71"/>
    </row>
    <row r="13" spans="1:14" x14ac:dyDescent="0.3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5">
      <c r="A17" t="s">
        <v>220</v>
      </c>
      <c r="B17" t="s">
        <v>221</v>
      </c>
      <c r="C17" s="71">
        <f>'Social Benefits'!S28</f>
        <v>1817.6019999999999</v>
      </c>
      <c r="D17" s="71">
        <f>'Social Benefits'!T28</f>
        <v>2.4739999999998332</v>
      </c>
      <c r="E17" s="71">
        <f>'Social Benefits'!U28</f>
        <v>46.905574999999899</v>
      </c>
      <c r="F17" s="71">
        <f>'Social Benefits'!V28</f>
        <v>53.905574999999899</v>
      </c>
      <c r="G17" s="71">
        <f>'Social Benefits'!W28</f>
        <v>60.905574999999899</v>
      </c>
      <c r="H17" s="71">
        <f>'Social Benefits'!X28</f>
        <v>63.154574999999902</v>
      </c>
      <c r="I17" s="71">
        <f>'Social Benefits'!Y28</f>
        <v>71.354574999999954</v>
      </c>
      <c r="J17" s="71">
        <f>'Social Benefits'!Z28</f>
        <v>78.354574999999954</v>
      </c>
      <c r="K17" s="71">
        <f>'Social Benefits'!AA28</f>
        <v>85.354574999999954</v>
      </c>
      <c r="L17" s="71">
        <f>'Social Benefits'!AB28</f>
        <v>93.382574999999946</v>
      </c>
      <c r="M17" s="71">
        <f>'Social Benefits'!AC28</f>
        <v>101.822575</v>
      </c>
      <c r="N17" s="71"/>
    </row>
    <row r="18" spans="1:14" x14ac:dyDescent="0.3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5">
      <c r="A19" t="s">
        <v>224</v>
      </c>
      <c r="B19" t="s">
        <v>225</v>
      </c>
      <c r="C19" s="71">
        <f>Taxes!S9</f>
        <v>4500</v>
      </c>
      <c r="D19" s="71">
        <f>Taxes!T9</f>
        <v>0</v>
      </c>
      <c r="E19" s="71">
        <f>Taxes!U9</f>
        <v>2811.4083280843943</v>
      </c>
      <c r="F19" s="71">
        <f>Taxes!V9</f>
        <v>2802.4617977497601</v>
      </c>
      <c r="G19" s="71">
        <f>Taxes!W9</f>
        <v>2793.5804598604063</v>
      </c>
      <c r="H19" s="71">
        <f>Taxes!X9</f>
        <v>2782.272179807348</v>
      </c>
      <c r="I19" s="71">
        <f>Taxes!Y9</f>
        <v>2774.2034387079302</v>
      </c>
      <c r="J19" s="71">
        <f>Taxes!Z9</f>
        <v>2766.1761593994979</v>
      </c>
      <c r="K19" s="71">
        <f>Taxes!AA9</f>
        <v>2758.1902654382329</v>
      </c>
      <c r="L19" s="71">
        <f>Taxes!AB9</f>
        <v>2762.1576317601116</v>
      </c>
      <c r="M19" s="71">
        <f>Taxes!AC9</f>
        <v>2761.3592688503127</v>
      </c>
      <c r="N19" s="71"/>
    </row>
    <row r="20" spans="1:14" x14ac:dyDescent="0.35">
      <c r="A20" t="s">
        <v>226</v>
      </c>
      <c r="B20" t="s">
        <v>227</v>
      </c>
      <c r="C20" s="71">
        <f>Taxes!S22</f>
        <v>2221</v>
      </c>
      <c r="D20" s="71">
        <f>Taxes!T22</f>
        <v>20</v>
      </c>
      <c r="E20" s="71" t="e">
        <f>Taxes!U22</f>
        <v>#DIV/0!</v>
      </c>
      <c r="F20" s="71" t="e">
        <f>Taxes!V22</f>
        <v>#DIV/0!</v>
      </c>
      <c r="G20" s="71" t="e">
        <f>Taxes!W22</f>
        <v>#DIV/0!</v>
      </c>
      <c r="H20" s="71" t="e">
        <f>Taxes!X22</f>
        <v>#DIV/0!</v>
      </c>
      <c r="I20" s="71" t="e">
        <f>Taxes!Y22</f>
        <v>#DIV/0!</v>
      </c>
      <c r="J20" s="71" t="e">
        <f>Taxes!Z22</f>
        <v>#DIV/0!</v>
      </c>
      <c r="K20" s="71" t="e">
        <f>Taxes!AA22</f>
        <v>#DIV/0!</v>
      </c>
      <c r="L20" s="71" t="e">
        <f>Taxes!AB22</f>
        <v>#DIV/0!</v>
      </c>
      <c r="M20" s="71" t="e">
        <f>Taxes!AC22</f>
        <v>#DIV/0!</v>
      </c>
      <c r="N20" s="71"/>
    </row>
    <row r="21" spans="1:14" x14ac:dyDescent="0.35">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35">
      <c r="A22" t="s">
        <v>230</v>
      </c>
      <c r="B22" t="s">
        <v>231</v>
      </c>
      <c r="C22" s="71">
        <f>Taxes!S27</f>
        <v>101.6</v>
      </c>
      <c r="D22" s="71">
        <f>Taxes!T27</f>
        <v>102.34079475027342</v>
      </c>
      <c r="E22" s="71">
        <f>Taxes!U27</f>
        <v>102.15559606270507</v>
      </c>
      <c r="F22" s="71">
        <f>Taxes!V27</f>
        <v>101.60411552639042</v>
      </c>
      <c r="G22" s="71">
        <f>Taxes!W27</f>
        <v>100.98678656782923</v>
      </c>
      <c r="H22" s="71">
        <f>Taxes!X27</f>
        <v>100.44765261068578</v>
      </c>
      <c r="I22" s="71">
        <f>Taxes!Y27</f>
        <v>99.982598128569691</v>
      </c>
      <c r="J22" s="71">
        <f>Taxes!Z27</f>
        <v>99.863247863247864</v>
      </c>
      <c r="K22" s="71">
        <f>Taxes!AA27</f>
        <v>99.513428120063196</v>
      </c>
      <c r="L22" s="71">
        <f>Taxes!AB27</f>
        <v>100.06079312998746</v>
      </c>
      <c r="M22" s="71">
        <f>Taxes!AC27</f>
        <v>100.42295945234335</v>
      </c>
      <c r="N22" s="71"/>
    </row>
    <row r="23" spans="1:14" x14ac:dyDescent="0.3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5">
      <c r="A24" s="73"/>
      <c r="C24" s="76"/>
      <c r="D24" s="76"/>
      <c r="E24" s="76"/>
      <c r="F24" s="76"/>
      <c r="G24" s="76"/>
      <c r="H24" s="76"/>
      <c r="I24" s="76"/>
      <c r="J24" s="76"/>
      <c r="K24" s="76"/>
      <c r="L24" s="76"/>
      <c r="M24" s="76"/>
    </row>
    <row r="25" spans="1:14" x14ac:dyDescent="0.35">
      <c r="A25" s="74"/>
      <c r="C25" s="76"/>
      <c r="D25" s="76"/>
      <c r="E25" s="76"/>
      <c r="F25" s="76"/>
      <c r="G25" s="76"/>
      <c r="H25" s="76"/>
      <c r="I25" s="76"/>
      <c r="J25" s="76"/>
      <c r="K25" s="76"/>
      <c r="L25" s="76"/>
      <c r="M25" s="76"/>
    </row>
    <row r="26" spans="1:14" x14ac:dyDescent="0.35">
      <c r="A26" s="74"/>
      <c r="C26" s="76"/>
      <c r="D26" s="76"/>
      <c r="E26" s="76"/>
      <c r="F26" s="76"/>
      <c r="G26" s="76"/>
      <c r="H26" s="76"/>
      <c r="I26" s="76"/>
      <c r="J26" s="76"/>
      <c r="K26" s="76"/>
      <c r="L26" s="76"/>
      <c r="M26" s="76"/>
    </row>
    <row r="27" spans="1:14" x14ac:dyDescent="0.35">
      <c r="A27" s="74"/>
      <c r="C27" s="76"/>
      <c r="D27" s="76"/>
      <c r="E27" s="76"/>
      <c r="F27" s="76"/>
      <c r="G27" s="76"/>
      <c r="H27" s="76"/>
      <c r="I27" s="76"/>
      <c r="J27" s="76"/>
      <c r="K27" s="76"/>
      <c r="L27" s="76"/>
      <c r="M27" s="76"/>
    </row>
    <row r="28" spans="1:14" x14ac:dyDescent="0.3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53125" defaultRowHeight="14.5" x14ac:dyDescent="0.35"/>
  <cols>
    <col min="1" max="1" width="6.54296875" customWidth="1"/>
    <col min="2" max="2" width="65" customWidth="1"/>
    <col min="3" max="13" width="11.54296875" customWidth="1"/>
    <col min="14" max="14" width="18.1796875" customWidth="1"/>
  </cols>
  <sheetData>
    <row r="2" spans="1:18" x14ac:dyDescent="0.35">
      <c r="A2" s="1092" t="s">
        <v>986</v>
      </c>
      <c r="B2" s="1092"/>
      <c r="C2" s="1092"/>
      <c r="D2" s="1092"/>
      <c r="E2" s="1092"/>
      <c r="F2" s="1092"/>
      <c r="G2" s="1092"/>
      <c r="H2" s="1092"/>
      <c r="I2" s="1092"/>
      <c r="J2" s="1092"/>
      <c r="K2" s="1092"/>
      <c r="L2" s="1092"/>
      <c r="M2" s="1092"/>
      <c r="N2" s="1092"/>
      <c r="O2" s="1092"/>
      <c r="P2" s="1092"/>
      <c r="Q2" s="1092"/>
      <c r="R2" s="1092"/>
    </row>
    <row r="3" spans="1:18" x14ac:dyDescent="0.35">
      <c r="A3" s="1092" t="s">
        <v>957</v>
      </c>
      <c r="B3" s="1092"/>
      <c r="C3" s="1092"/>
      <c r="D3" s="1092"/>
      <c r="E3" s="1092"/>
      <c r="F3" s="1092"/>
      <c r="G3" s="1092"/>
      <c r="H3" s="1092"/>
      <c r="I3" s="1092"/>
      <c r="J3" s="1092"/>
      <c r="K3" s="1092"/>
      <c r="L3" s="1092"/>
      <c r="M3" s="1092"/>
      <c r="N3" s="1092"/>
      <c r="O3" s="1092"/>
      <c r="P3" s="1092"/>
      <c r="Q3" s="1092"/>
      <c r="R3" s="1092"/>
    </row>
    <row r="4" spans="1:18" ht="15" customHeight="1" x14ac:dyDescent="0.35">
      <c r="A4" s="1093"/>
      <c r="B4" s="1093"/>
      <c r="C4" s="1093"/>
      <c r="D4" s="93"/>
      <c r="E4" s="93"/>
      <c r="F4" s="93"/>
      <c r="G4" s="93"/>
      <c r="H4" s="93"/>
      <c r="I4" s="93"/>
      <c r="J4" s="93"/>
      <c r="K4" s="93"/>
      <c r="L4" s="93"/>
      <c r="M4" s="988"/>
    </row>
    <row r="5" spans="1:18" x14ac:dyDescent="0.35">
      <c r="A5" s="82"/>
      <c r="B5" s="91"/>
      <c r="C5" s="1094"/>
      <c r="D5" s="1094"/>
      <c r="E5" s="1094"/>
      <c r="F5" s="1094"/>
      <c r="G5" s="1094"/>
      <c r="H5" s="36"/>
      <c r="I5" s="36"/>
      <c r="J5" s="36"/>
      <c r="K5" s="36"/>
      <c r="L5" s="36"/>
      <c r="M5" s="36"/>
      <c r="N5" s="36"/>
    </row>
    <row r="6" spans="1:18" x14ac:dyDescent="0.35">
      <c r="A6" s="122" t="s">
        <v>884</v>
      </c>
      <c r="B6" s="92"/>
      <c r="C6" s="1095"/>
      <c r="D6" s="1096"/>
      <c r="E6" s="98">
        <v>2022</v>
      </c>
      <c r="F6" s="94"/>
      <c r="G6" s="94"/>
      <c r="H6" s="90"/>
      <c r="I6" s="122"/>
      <c r="J6" s="122"/>
      <c r="K6" s="122"/>
      <c r="L6" s="122"/>
      <c r="M6" s="989"/>
      <c r="N6" s="83"/>
    </row>
    <row r="7" spans="1:18" ht="15" customHeight="1" thickBot="1" x14ac:dyDescent="0.4">
      <c r="A7" s="95"/>
      <c r="B7" s="100"/>
      <c r="C7" s="124" t="s">
        <v>234</v>
      </c>
      <c r="D7" s="125" t="s">
        <v>235</v>
      </c>
      <c r="E7" s="125" t="s">
        <v>236</v>
      </c>
      <c r="F7" s="125" t="s">
        <v>237</v>
      </c>
      <c r="G7" s="125" t="s">
        <v>1007</v>
      </c>
      <c r="H7" s="125" t="s">
        <v>1020</v>
      </c>
      <c r="I7" s="125" t="s">
        <v>1280</v>
      </c>
      <c r="J7" s="126" t="s">
        <v>1487</v>
      </c>
      <c r="K7" s="122" t="s">
        <v>1538</v>
      </c>
      <c r="L7" s="122" t="s">
        <v>1545</v>
      </c>
      <c r="M7" s="989" t="s">
        <v>2158</v>
      </c>
      <c r="N7" s="84" t="s">
        <v>1540</v>
      </c>
    </row>
    <row r="8" spans="1:18" x14ac:dyDescent="0.35">
      <c r="A8" s="101">
        <v>1</v>
      </c>
      <c r="B8" s="110" t="s">
        <v>239</v>
      </c>
      <c r="C8" s="112">
        <v>21205.7</v>
      </c>
      <c r="D8" s="115">
        <v>21319.5</v>
      </c>
      <c r="E8" s="115">
        <v>21434.3</v>
      </c>
      <c r="F8" s="112">
        <v>21503.599999999999</v>
      </c>
      <c r="G8" s="115">
        <v>21624.3</v>
      </c>
      <c r="H8" s="115">
        <v>21687</v>
      </c>
      <c r="I8" s="990">
        <v>21781.7</v>
      </c>
      <c r="J8" s="990">
        <v>21859.9</v>
      </c>
      <c r="K8" s="990">
        <v>21942.6</v>
      </c>
      <c r="L8" s="990">
        <v>22092</v>
      </c>
      <c r="M8" s="991">
        <v>22172.1</v>
      </c>
      <c r="N8" s="85"/>
    </row>
    <row r="9" spans="1:18" x14ac:dyDescent="0.35">
      <c r="A9" s="77">
        <v>2</v>
      </c>
      <c r="B9" s="111" t="s">
        <v>240</v>
      </c>
      <c r="C9" s="113">
        <v>13174.5</v>
      </c>
      <c r="D9" s="116">
        <v>13269.4</v>
      </c>
      <c r="E9" s="116">
        <v>13335.3</v>
      </c>
      <c r="F9" s="113">
        <v>13396.5</v>
      </c>
      <c r="G9" s="116">
        <v>13471.4</v>
      </c>
      <c r="H9" s="116">
        <v>13468.8</v>
      </c>
      <c r="I9" s="992">
        <v>13573.8</v>
      </c>
      <c r="J9" s="992">
        <v>13623</v>
      </c>
      <c r="K9" s="992">
        <v>13699.4</v>
      </c>
      <c r="L9" s="992">
        <v>13765.2</v>
      </c>
      <c r="M9" s="993">
        <v>13831.7</v>
      </c>
      <c r="N9" s="85"/>
    </row>
    <row r="10" spans="1:18" x14ac:dyDescent="0.35">
      <c r="A10" s="102">
        <v>3</v>
      </c>
      <c r="B10" s="114" t="s">
        <v>241</v>
      </c>
      <c r="C10" s="97">
        <v>10851.2</v>
      </c>
      <c r="D10" s="117">
        <v>10933.6</v>
      </c>
      <c r="E10" s="117">
        <v>10991.7</v>
      </c>
      <c r="F10" s="97">
        <v>11045</v>
      </c>
      <c r="G10" s="117">
        <v>11110.6</v>
      </c>
      <c r="H10" s="117">
        <v>11104</v>
      </c>
      <c r="I10" s="994">
        <v>11196.6</v>
      </c>
      <c r="J10" s="994">
        <v>11237.1</v>
      </c>
      <c r="K10" s="994">
        <v>11303.8</v>
      </c>
      <c r="L10" s="994">
        <v>11360.4</v>
      </c>
      <c r="M10" s="995">
        <v>11417.5</v>
      </c>
      <c r="N10" s="85"/>
    </row>
    <row r="11" spans="1:18" x14ac:dyDescent="0.35">
      <c r="A11" s="36">
        <v>4</v>
      </c>
      <c r="B11" s="127" t="s">
        <v>242</v>
      </c>
      <c r="C11" s="99">
        <v>9268.7999999999993</v>
      </c>
      <c r="D11" s="119">
        <v>9345.6</v>
      </c>
      <c r="E11" s="119">
        <v>9398.7999999999993</v>
      </c>
      <c r="F11" s="99">
        <v>9449.9</v>
      </c>
      <c r="G11" s="119">
        <v>9508.5</v>
      </c>
      <c r="H11" s="119">
        <v>9500.1</v>
      </c>
      <c r="I11" s="996">
        <v>9581.2000000000007</v>
      </c>
      <c r="J11" s="996">
        <v>9612.2999999999993</v>
      </c>
      <c r="K11" s="996">
        <v>9672.7000000000007</v>
      </c>
      <c r="L11" s="996">
        <v>9723.6</v>
      </c>
      <c r="M11" s="997">
        <v>9775.1</v>
      </c>
      <c r="N11" s="85"/>
    </row>
    <row r="12" spans="1:18" x14ac:dyDescent="0.35">
      <c r="A12" s="102">
        <v>5</v>
      </c>
      <c r="B12" s="114" t="s">
        <v>243</v>
      </c>
      <c r="C12" s="97">
        <v>1582.4</v>
      </c>
      <c r="D12" s="117">
        <v>1588</v>
      </c>
      <c r="E12" s="117">
        <v>1592.8</v>
      </c>
      <c r="F12" s="97">
        <v>1595.1</v>
      </c>
      <c r="G12" s="117">
        <v>1602.1</v>
      </c>
      <c r="H12" s="117">
        <v>1603.9</v>
      </c>
      <c r="I12" s="994">
        <v>1615.4</v>
      </c>
      <c r="J12" s="994">
        <v>1624.8</v>
      </c>
      <c r="K12" s="994">
        <v>1631.1</v>
      </c>
      <c r="L12" s="994">
        <v>1636.8</v>
      </c>
      <c r="M12" s="995">
        <v>1642.4</v>
      </c>
      <c r="N12" s="85"/>
    </row>
    <row r="13" spans="1:18" x14ac:dyDescent="0.35">
      <c r="A13" s="36">
        <v>6</v>
      </c>
      <c r="B13" s="127" t="s">
        <v>244</v>
      </c>
      <c r="C13" s="99">
        <v>2323.3000000000002</v>
      </c>
      <c r="D13" s="119">
        <v>2335.6999999999998</v>
      </c>
      <c r="E13" s="119">
        <v>2343.6</v>
      </c>
      <c r="F13" s="99">
        <v>2351.5</v>
      </c>
      <c r="G13" s="119">
        <v>2360.8000000000002</v>
      </c>
      <c r="H13" s="119">
        <v>2364.8000000000002</v>
      </c>
      <c r="I13" s="996">
        <v>2377.3000000000002</v>
      </c>
      <c r="J13" s="996">
        <v>2385.9</v>
      </c>
      <c r="K13" s="996">
        <v>2395.6999999999998</v>
      </c>
      <c r="L13" s="996">
        <v>2404.8000000000002</v>
      </c>
      <c r="M13" s="997">
        <v>2414.1999999999998</v>
      </c>
      <c r="N13" s="85"/>
    </row>
    <row r="14" spans="1:18" x14ac:dyDescent="0.35">
      <c r="A14" s="101">
        <v>7</v>
      </c>
      <c r="B14" s="128" t="s">
        <v>245</v>
      </c>
      <c r="C14" s="118">
        <v>1780.7</v>
      </c>
      <c r="D14" s="120">
        <v>1808.6</v>
      </c>
      <c r="E14" s="120">
        <v>1844.9</v>
      </c>
      <c r="F14" s="118">
        <v>1827.2</v>
      </c>
      <c r="G14" s="120">
        <v>1836.2</v>
      </c>
      <c r="H14" s="120">
        <v>1842.6</v>
      </c>
      <c r="I14" s="998">
        <v>1846.5</v>
      </c>
      <c r="J14" s="998">
        <v>1869.7</v>
      </c>
      <c r="K14" s="998">
        <v>1874.4</v>
      </c>
      <c r="L14" s="998">
        <v>1871.2</v>
      </c>
      <c r="M14" s="999">
        <v>1867.5</v>
      </c>
      <c r="N14" s="85"/>
    </row>
    <row r="15" spans="1:18" x14ac:dyDescent="0.35">
      <c r="A15" s="36">
        <v>8</v>
      </c>
      <c r="B15" s="127" t="s">
        <v>246</v>
      </c>
      <c r="C15" s="99">
        <v>51.2</v>
      </c>
      <c r="D15" s="119">
        <v>71.099999999999994</v>
      </c>
      <c r="E15" s="119">
        <v>100.9</v>
      </c>
      <c r="F15" s="99">
        <v>97.7</v>
      </c>
      <c r="G15" s="119">
        <v>95.7</v>
      </c>
      <c r="H15" s="119">
        <v>93.7</v>
      </c>
      <c r="I15" s="996">
        <v>94.8</v>
      </c>
      <c r="J15" s="996">
        <v>95.9</v>
      </c>
      <c r="K15" s="996">
        <v>97.1</v>
      </c>
      <c r="L15" s="996">
        <v>93.2</v>
      </c>
      <c r="M15" s="997">
        <v>89.3</v>
      </c>
      <c r="N15" s="85"/>
    </row>
    <row r="16" spans="1:18" x14ac:dyDescent="0.35">
      <c r="A16" s="102"/>
      <c r="B16" s="129" t="s">
        <v>249</v>
      </c>
      <c r="C16" s="97" t="s">
        <v>1488</v>
      </c>
      <c r="D16" s="117"/>
      <c r="E16" s="117"/>
      <c r="F16" s="97" t="s">
        <v>1539</v>
      </c>
      <c r="G16" s="117"/>
      <c r="H16" s="117"/>
      <c r="I16" s="994"/>
      <c r="J16" s="994"/>
      <c r="K16" s="994"/>
      <c r="L16" s="994"/>
      <c r="M16" s="995"/>
      <c r="N16" s="85"/>
    </row>
    <row r="17" spans="1:15" ht="16.25" customHeight="1" x14ac:dyDescent="0.35">
      <c r="A17" s="102">
        <v>9</v>
      </c>
      <c r="B17" s="114" t="s">
        <v>976</v>
      </c>
      <c r="C17" s="97">
        <v>0.3</v>
      </c>
      <c r="D17" s="117">
        <v>0.2</v>
      </c>
      <c r="E17" s="117">
        <v>1.3</v>
      </c>
      <c r="F17" s="97">
        <v>0</v>
      </c>
      <c r="G17" s="117">
        <v>0</v>
      </c>
      <c r="H17" s="117">
        <v>0</v>
      </c>
      <c r="I17" s="994">
        <v>0</v>
      </c>
      <c r="J17" s="994">
        <v>0</v>
      </c>
      <c r="K17" s="994">
        <v>0</v>
      </c>
      <c r="L17" s="994">
        <v>0</v>
      </c>
      <c r="M17" s="995">
        <v>0</v>
      </c>
      <c r="N17" s="85"/>
    </row>
    <row r="18" spans="1:15" ht="16.25" customHeight="1" x14ac:dyDescent="0.35">
      <c r="A18" s="104">
        <v>10</v>
      </c>
      <c r="B18" s="107" t="s">
        <v>977</v>
      </c>
      <c r="C18" s="99">
        <v>0</v>
      </c>
      <c r="D18" s="119">
        <v>0</v>
      </c>
      <c r="E18" s="119">
        <v>0</v>
      </c>
      <c r="F18" s="99">
        <v>0</v>
      </c>
      <c r="G18" s="119">
        <v>0</v>
      </c>
      <c r="H18" s="119">
        <v>0</v>
      </c>
      <c r="I18" s="996">
        <v>0</v>
      </c>
      <c r="J18" s="996">
        <v>0</v>
      </c>
      <c r="K18" s="996">
        <v>0</v>
      </c>
      <c r="L18" s="996">
        <v>0</v>
      </c>
      <c r="M18" s="997">
        <v>0</v>
      </c>
      <c r="N18" s="86"/>
    </row>
    <row r="19" spans="1:15" x14ac:dyDescent="0.35">
      <c r="A19" s="102">
        <v>11</v>
      </c>
      <c r="B19" s="114" t="s">
        <v>250</v>
      </c>
      <c r="C19" s="97">
        <v>1729.6</v>
      </c>
      <c r="D19" s="117">
        <v>1737.5</v>
      </c>
      <c r="E19" s="117">
        <v>1743.9</v>
      </c>
      <c r="F19" s="97">
        <v>1729.6</v>
      </c>
      <c r="G19" s="117">
        <v>1740.5</v>
      </c>
      <c r="H19" s="117">
        <v>1749</v>
      </c>
      <c r="I19" s="994">
        <v>1751.7</v>
      </c>
      <c r="J19" s="994">
        <v>1773.7</v>
      </c>
      <c r="K19" s="994">
        <v>1777.4</v>
      </c>
      <c r="L19" s="994">
        <v>1778</v>
      </c>
      <c r="M19" s="995">
        <v>1778.3</v>
      </c>
      <c r="N19" s="85"/>
    </row>
    <row r="20" spans="1:15" x14ac:dyDescent="0.35">
      <c r="B20" s="130" t="s">
        <v>251</v>
      </c>
      <c r="C20" s="99" t="s">
        <v>1488</v>
      </c>
      <c r="D20" s="119"/>
      <c r="E20" s="119"/>
      <c r="F20" s="99" t="s">
        <v>1539</v>
      </c>
      <c r="G20" s="119"/>
      <c r="H20" s="119"/>
      <c r="I20" s="996"/>
      <c r="J20" s="996"/>
      <c r="K20" s="996"/>
      <c r="L20" s="996"/>
      <c r="M20" s="997"/>
      <c r="N20" s="85"/>
    </row>
    <row r="21" spans="1:15" ht="16.25" customHeight="1" x14ac:dyDescent="0.35">
      <c r="A21" s="104">
        <v>12</v>
      </c>
      <c r="B21" s="107" t="s">
        <v>977</v>
      </c>
      <c r="C21" s="99">
        <v>0</v>
      </c>
      <c r="D21" s="119">
        <v>0</v>
      </c>
      <c r="E21" s="119">
        <v>0</v>
      </c>
      <c r="F21" s="99">
        <v>0</v>
      </c>
      <c r="G21" s="119">
        <v>0</v>
      </c>
      <c r="H21" s="119">
        <v>0</v>
      </c>
      <c r="I21" s="996">
        <v>0</v>
      </c>
      <c r="J21" s="996">
        <v>0</v>
      </c>
      <c r="K21" s="996">
        <v>0</v>
      </c>
      <c r="L21" s="996">
        <v>0</v>
      </c>
      <c r="M21" s="997">
        <v>0</v>
      </c>
      <c r="N21" s="86"/>
    </row>
    <row r="22" spans="1:15" x14ac:dyDescent="0.35">
      <c r="A22" s="101">
        <v>13</v>
      </c>
      <c r="B22" s="128" t="s">
        <v>252</v>
      </c>
      <c r="C22" s="118">
        <v>739.2</v>
      </c>
      <c r="D22" s="120">
        <v>743.3</v>
      </c>
      <c r="E22" s="120">
        <v>752.1</v>
      </c>
      <c r="F22" s="118">
        <v>759.9</v>
      </c>
      <c r="G22" s="120">
        <v>775.8</v>
      </c>
      <c r="H22" s="120">
        <v>792</v>
      </c>
      <c r="I22" s="998">
        <v>792.9</v>
      </c>
      <c r="J22" s="998">
        <v>794.9</v>
      </c>
      <c r="K22" s="998">
        <v>797</v>
      </c>
      <c r="L22" s="998">
        <v>795.7</v>
      </c>
      <c r="M22" s="999">
        <v>794.7</v>
      </c>
      <c r="N22" s="85"/>
    </row>
    <row r="23" spans="1:15" x14ac:dyDescent="0.35">
      <c r="A23" s="77">
        <v>14</v>
      </c>
      <c r="B23" s="111" t="s">
        <v>253</v>
      </c>
      <c r="C23" s="113">
        <v>3265.4</v>
      </c>
      <c r="D23" s="116">
        <v>3267.6</v>
      </c>
      <c r="E23" s="116">
        <v>3276.5</v>
      </c>
      <c r="F23" s="113">
        <v>3296.5</v>
      </c>
      <c r="G23" s="116">
        <v>3324.2</v>
      </c>
      <c r="H23" s="116">
        <v>3348.4</v>
      </c>
      <c r="I23" s="992">
        <v>3350.6</v>
      </c>
      <c r="J23" s="992">
        <v>3358.1</v>
      </c>
      <c r="K23" s="992">
        <v>3367.7</v>
      </c>
      <c r="L23" s="992">
        <v>3399.8</v>
      </c>
      <c r="M23" s="993">
        <v>3416</v>
      </c>
      <c r="N23" s="85"/>
    </row>
    <row r="24" spans="1:15" x14ac:dyDescent="0.35">
      <c r="A24" s="102">
        <v>15</v>
      </c>
      <c r="B24" s="114" t="s">
        <v>254</v>
      </c>
      <c r="C24" s="97">
        <v>1664.6</v>
      </c>
      <c r="D24" s="117">
        <v>1670.8</v>
      </c>
      <c r="E24" s="117">
        <v>1676.9</v>
      </c>
      <c r="F24" s="97">
        <v>1692.6</v>
      </c>
      <c r="G24" s="117">
        <v>1708.5</v>
      </c>
      <c r="H24" s="117">
        <v>1724.6</v>
      </c>
      <c r="I24" s="994">
        <v>1731.1</v>
      </c>
      <c r="J24" s="994">
        <v>1738</v>
      </c>
      <c r="K24" s="994">
        <v>1745.2</v>
      </c>
      <c r="L24" s="994">
        <v>1755.5</v>
      </c>
      <c r="M24" s="995">
        <v>1766.5</v>
      </c>
      <c r="N24" s="85"/>
    </row>
    <row r="25" spans="1:15" x14ac:dyDescent="0.35">
      <c r="A25" s="36">
        <v>16</v>
      </c>
      <c r="B25" s="127" t="s">
        <v>255</v>
      </c>
      <c r="C25" s="99">
        <v>1600.8</v>
      </c>
      <c r="D25" s="119">
        <v>1596.8</v>
      </c>
      <c r="E25" s="119">
        <v>1599.6</v>
      </c>
      <c r="F25" s="99">
        <v>1603.8</v>
      </c>
      <c r="G25" s="119">
        <v>1615.6</v>
      </c>
      <c r="H25" s="119">
        <v>1623.8</v>
      </c>
      <c r="I25" s="996">
        <v>1619.5</v>
      </c>
      <c r="J25" s="996">
        <v>1620.1</v>
      </c>
      <c r="K25" s="996">
        <v>1622.6</v>
      </c>
      <c r="L25" s="996">
        <v>1644.2</v>
      </c>
      <c r="M25" s="997">
        <v>1649.5</v>
      </c>
      <c r="N25" s="85"/>
    </row>
    <row r="26" spans="1:15" x14ac:dyDescent="0.35">
      <c r="A26" s="101">
        <v>17</v>
      </c>
      <c r="B26" s="128" t="s">
        <v>256</v>
      </c>
      <c r="C26" s="118">
        <v>3869.5</v>
      </c>
      <c r="D26" s="120">
        <v>3866.5</v>
      </c>
      <c r="E26" s="120">
        <v>3870.2</v>
      </c>
      <c r="F26" s="118">
        <v>3875.3</v>
      </c>
      <c r="G26" s="120">
        <v>3877.8</v>
      </c>
      <c r="H26" s="120">
        <v>3896.4</v>
      </c>
      <c r="I26" s="998">
        <v>3891.7</v>
      </c>
      <c r="J26" s="998">
        <v>3893.9</v>
      </c>
      <c r="K26" s="998">
        <v>3892.9</v>
      </c>
      <c r="L26" s="998">
        <v>3956.6</v>
      </c>
      <c r="M26" s="999">
        <v>3966.3</v>
      </c>
      <c r="N26" s="85"/>
    </row>
    <row r="27" spans="1:15" x14ac:dyDescent="0.35">
      <c r="A27" s="36">
        <v>18</v>
      </c>
      <c r="B27" s="127" t="s">
        <v>257</v>
      </c>
      <c r="C27" s="99">
        <v>3797.8</v>
      </c>
      <c r="D27" s="119">
        <v>3795.5</v>
      </c>
      <c r="E27" s="119">
        <v>3799.7</v>
      </c>
      <c r="F27" s="99">
        <v>3805.1</v>
      </c>
      <c r="G27" s="119">
        <v>3807.9</v>
      </c>
      <c r="H27" s="119">
        <v>3814.4</v>
      </c>
      <c r="I27" s="996">
        <v>3821.1</v>
      </c>
      <c r="J27" s="996">
        <v>3824.5</v>
      </c>
      <c r="K27" s="996">
        <v>3823.5</v>
      </c>
      <c r="L27" s="996">
        <v>3887.2</v>
      </c>
      <c r="M27" s="997">
        <v>3896.9</v>
      </c>
      <c r="N27" s="85"/>
    </row>
    <row r="28" spans="1:15" x14ac:dyDescent="0.35">
      <c r="A28" s="102">
        <v>19</v>
      </c>
      <c r="B28" s="114" t="s">
        <v>258</v>
      </c>
      <c r="C28" s="97">
        <v>1195.8</v>
      </c>
      <c r="D28" s="117">
        <v>1197.5999999999999</v>
      </c>
      <c r="E28" s="117">
        <v>1202.7</v>
      </c>
      <c r="F28" s="97">
        <v>1204.4000000000001</v>
      </c>
      <c r="G28" s="117">
        <v>1207.2</v>
      </c>
      <c r="H28" s="117">
        <v>1209</v>
      </c>
      <c r="I28" s="994">
        <v>1211.0999999999999</v>
      </c>
      <c r="J28" s="994">
        <v>1215.9000000000001</v>
      </c>
      <c r="K28" s="994">
        <v>1216.9000000000001</v>
      </c>
      <c r="L28" s="994">
        <v>1227.5999999999999</v>
      </c>
      <c r="M28" s="995">
        <v>1224.3</v>
      </c>
      <c r="N28" s="85"/>
    </row>
    <row r="29" spans="1:15" x14ac:dyDescent="0.35">
      <c r="A29" s="104">
        <v>20</v>
      </c>
      <c r="B29" s="105" t="s">
        <v>259</v>
      </c>
      <c r="C29" s="99">
        <v>905</v>
      </c>
      <c r="D29" s="119">
        <v>907.8</v>
      </c>
      <c r="E29" s="119">
        <v>911.2</v>
      </c>
      <c r="F29" s="99">
        <v>907.1</v>
      </c>
      <c r="G29" s="119">
        <v>911.6</v>
      </c>
      <c r="H29" s="119">
        <v>916.6</v>
      </c>
      <c r="I29" s="996">
        <v>914.1</v>
      </c>
      <c r="J29" s="996">
        <v>920.1</v>
      </c>
      <c r="K29" s="996">
        <v>926.7</v>
      </c>
      <c r="L29" s="996">
        <v>933.8</v>
      </c>
      <c r="M29" s="997">
        <v>941.5</v>
      </c>
      <c r="N29" s="87">
        <v>942.65830121332203</v>
      </c>
    </row>
    <row r="30" spans="1:15" x14ac:dyDescent="0.35">
      <c r="A30" s="102"/>
      <c r="B30" s="129" t="s">
        <v>260</v>
      </c>
      <c r="C30" s="97" t="s">
        <v>1488</v>
      </c>
      <c r="D30" s="117" t="s">
        <v>1488</v>
      </c>
      <c r="E30" s="117" t="s">
        <v>1488</v>
      </c>
      <c r="F30" s="97" t="s">
        <v>1539</v>
      </c>
      <c r="G30" s="117" t="s">
        <v>1539</v>
      </c>
      <c r="H30" s="117" t="s">
        <v>1806</v>
      </c>
      <c r="I30" s="994" t="s">
        <v>2159</v>
      </c>
      <c r="J30" s="994" t="s">
        <v>2159</v>
      </c>
      <c r="K30" s="994" t="s">
        <v>2159</v>
      </c>
      <c r="L30" s="994" t="s">
        <v>2159</v>
      </c>
      <c r="M30" s="995" t="s">
        <v>2159</v>
      </c>
      <c r="N30" s="85"/>
      <c r="O30" s="72"/>
    </row>
    <row r="31" spans="1:15" ht="16.25" customHeight="1" x14ac:dyDescent="0.35">
      <c r="A31" s="102">
        <v>21</v>
      </c>
      <c r="B31" s="114" t="s">
        <v>978</v>
      </c>
      <c r="C31" s="97">
        <v>15.8</v>
      </c>
      <c r="D31" s="117">
        <v>15.8</v>
      </c>
      <c r="E31" s="117">
        <v>15.9</v>
      </c>
      <c r="F31" s="97">
        <v>7.9</v>
      </c>
      <c r="G31" s="117">
        <v>7.9</v>
      </c>
      <c r="H31" s="117">
        <v>8</v>
      </c>
      <c r="I31" s="994">
        <v>0</v>
      </c>
      <c r="J31" s="994">
        <v>0</v>
      </c>
      <c r="K31" s="994">
        <v>0</v>
      </c>
      <c r="L31" s="994">
        <v>0</v>
      </c>
      <c r="M31" s="995">
        <v>0</v>
      </c>
      <c r="N31" s="85"/>
    </row>
    <row r="32" spans="1:15" x14ac:dyDescent="0.35">
      <c r="A32" s="104">
        <v>22</v>
      </c>
      <c r="B32" s="105" t="s">
        <v>261</v>
      </c>
      <c r="C32" s="99">
        <v>756.6</v>
      </c>
      <c r="D32" s="119">
        <v>763.8</v>
      </c>
      <c r="E32" s="119">
        <v>769</v>
      </c>
      <c r="F32" s="99">
        <v>780.7</v>
      </c>
      <c r="G32" s="119">
        <v>790.6</v>
      </c>
      <c r="H32" s="119">
        <v>797.2</v>
      </c>
      <c r="I32" s="996">
        <v>790.3</v>
      </c>
      <c r="J32" s="996">
        <v>785.3</v>
      </c>
      <c r="K32" s="996">
        <v>782.8</v>
      </c>
      <c r="L32" s="996">
        <v>782.7</v>
      </c>
      <c r="M32" s="997">
        <v>782.4</v>
      </c>
      <c r="N32" s="87">
        <f>forecast!D11</f>
        <v>0</v>
      </c>
    </row>
    <row r="33" spans="1:14" x14ac:dyDescent="0.35">
      <c r="A33" s="104">
        <v>23</v>
      </c>
      <c r="B33" s="105" t="s">
        <v>262</v>
      </c>
      <c r="C33" s="97">
        <v>25.5</v>
      </c>
      <c r="D33" s="117">
        <v>23.6</v>
      </c>
      <c r="E33" s="117">
        <v>21.7</v>
      </c>
      <c r="F33" s="97">
        <v>19.5</v>
      </c>
      <c r="G33" s="117">
        <v>18.2</v>
      </c>
      <c r="H33" s="117">
        <v>18.100000000000001</v>
      </c>
      <c r="I33" s="994">
        <v>18.7</v>
      </c>
      <c r="J33" s="994">
        <v>18.899999999999999</v>
      </c>
      <c r="K33" s="994">
        <v>18</v>
      </c>
      <c r="L33" s="994">
        <v>18.899999999999999</v>
      </c>
      <c r="M33" s="995">
        <v>20.6</v>
      </c>
      <c r="N33" s="87">
        <f>forecast!D9+forecast!D8</f>
        <v>0</v>
      </c>
    </row>
    <row r="34" spans="1:14" ht="16.25" customHeight="1" x14ac:dyDescent="0.35">
      <c r="B34" s="131" t="s">
        <v>979</v>
      </c>
      <c r="C34" s="99" t="s">
        <v>1488</v>
      </c>
      <c r="D34" s="119"/>
      <c r="E34" s="119"/>
      <c r="F34" s="99" t="s">
        <v>1539</v>
      </c>
      <c r="G34" s="119"/>
      <c r="H34" s="119"/>
      <c r="I34" s="996"/>
      <c r="J34" s="996"/>
      <c r="K34" s="996"/>
      <c r="L34" s="996"/>
      <c r="M34" s="997"/>
      <c r="N34" s="85"/>
    </row>
    <row r="35" spans="1:14" x14ac:dyDescent="0.35">
      <c r="A35" s="36">
        <v>24</v>
      </c>
      <c r="B35" s="132" t="s">
        <v>263</v>
      </c>
      <c r="C35" s="99">
        <v>0.2</v>
      </c>
      <c r="D35" s="119">
        <v>0.2</v>
      </c>
      <c r="E35" s="119">
        <v>0.2</v>
      </c>
      <c r="F35" s="99">
        <v>0.1</v>
      </c>
      <c r="G35" s="119">
        <v>0</v>
      </c>
      <c r="H35" s="119">
        <v>0</v>
      </c>
      <c r="I35" s="996">
        <v>0</v>
      </c>
      <c r="J35" s="996">
        <v>0</v>
      </c>
      <c r="K35" s="996">
        <v>0</v>
      </c>
      <c r="L35" s="996">
        <v>0</v>
      </c>
      <c r="M35" s="997">
        <v>0</v>
      </c>
      <c r="N35" s="85"/>
    </row>
    <row r="36" spans="1:14" x14ac:dyDescent="0.35">
      <c r="A36" s="102">
        <v>25</v>
      </c>
      <c r="B36" s="133" t="s">
        <v>264</v>
      </c>
      <c r="C36" s="97">
        <v>0.9</v>
      </c>
      <c r="D36" s="117">
        <v>0.8</v>
      </c>
      <c r="E36" s="117">
        <v>0.7</v>
      </c>
      <c r="F36" s="97">
        <v>0.7</v>
      </c>
      <c r="G36" s="117">
        <v>0.5</v>
      </c>
      <c r="H36" s="117">
        <v>0.4</v>
      </c>
      <c r="I36" s="994">
        <v>0.4</v>
      </c>
      <c r="J36" s="994">
        <v>0.3</v>
      </c>
      <c r="K36" s="994">
        <v>0.3</v>
      </c>
      <c r="L36" s="994">
        <v>0.2</v>
      </c>
      <c r="M36" s="995">
        <v>0.2</v>
      </c>
      <c r="N36" s="85"/>
    </row>
    <row r="37" spans="1:14" x14ac:dyDescent="0.35">
      <c r="A37" s="36">
        <v>26</v>
      </c>
      <c r="B37" s="132" t="s">
        <v>265</v>
      </c>
      <c r="C37" s="99">
        <v>1</v>
      </c>
      <c r="D37" s="119">
        <v>0.7</v>
      </c>
      <c r="E37" s="119">
        <v>0.6</v>
      </c>
      <c r="F37" s="99">
        <v>0.5</v>
      </c>
      <c r="G37" s="119">
        <v>0.3</v>
      </c>
      <c r="H37" s="119">
        <v>0.3</v>
      </c>
      <c r="I37" s="996">
        <v>0.2</v>
      </c>
      <c r="J37" s="996">
        <v>0.2</v>
      </c>
      <c r="K37" s="996">
        <v>0.2</v>
      </c>
      <c r="L37" s="996">
        <v>0.1</v>
      </c>
      <c r="M37" s="997">
        <v>0.2</v>
      </c>
      <c r="N37" s="85"/>
    </row>
    <row r="38" spans="1:14" x14ac:dyDescent="0.35">
      <c r="A38" s="102">
        <v>27</v>
      </c>
      <c r="B38" s="133" t="s">
        <v>266</v>
      </c>
      <c r="C38" s="97">
        <v>0</v>
      </c>
      <c r="D38" s="117">
        <v>0</v>
      </c>
      <c r="E38" s="117">
        <v>0</v>
      </c>
      <c r="F38" s="97">
        <v>0</v>
      </c>
      <c r="G38" s="117">
        <v>0</v>
      </c>
      <c r="H38" s="117">
        <v>0</v>
      </c>
      <c r="I38" s="994">
        <v>0</v>
      </c>
      <c r="J38" s="994">
        <v>0</v>
      </c>
      <c r="K38" s="994">
        <v>0</v>
      </c>
      <c r="L38" s="994">
        <v>0</v>
      </c>
      <c r="M38" s="995">
        <v>0</v>
      </c>
      <c r="N38" s="85"/>
    </row>
    <row r="39" spans="1:14" x14ac:dyDescent="0.35">
      <c r="A39" s="36">
        <v>28</v>
      </c>
      <c r="B39" s="127" t="s">
        <v>267</v>
      </c>
      <c r="C39" s="99">
        <v>157.19999999999999</v>
      </c>
      <c r="D39" s="119">
        <v>157.6</v>
      </c>
      <c r="E39" s="119">
        <v>158.1</v>
      </c>
      <c r="F39" s="99">
        <v>159.1</v>
      </c>
      <c r="G39" s="119">
        <v>159.69999999999999</v>
      </c>
      <c r="H39" s="119">
        <v>160.4</v>
      </c>
      <c r="I39" s="996">
        <v>161.1</v>
      </c>
      <c r="J39" s="996">
        <v>161.6</v>
      </c>
      <c r="K39" s="996">
        <v>162.5</v>
      </c>
      <c r="L39" s="996">
        <v>163.19999999999999</v>
      </c>
      <c r="M39" s="997">
        <v>164</v>
      </c>
      <c r="N39" s="85"/>
    </row>
    <row r="40" spans="1:14" x14ac:dyDescent="0.35">
      <c r="A40" s="102">
        <v>29</v>
      </c>
      <c r="B40" s="114" t="s">
        <v>268</v>
      </c>
      <c r="C40" s="97">
        <v>757.8</v>
      </c>
      <c r="D40" s="117">
        <v>745.1</v>
      </c>
      <c r="E40" s="117">
        <v>736.9</v>
      </c>
      <c r="F40" s="97">
        <v>734.2</v>
      </c>
      <c r="G40" s="117">
        <v>720.5</v>
      </c>
      <c r="H40" s="117">
        <v>713.2</v>
      </c>
      <c r="I40" s="994">
        <v>725.8</v>
      </c>
      <c r="J40" s="994">
        <v>722.7</v>
      </c>
      <c r="K40" s="994">
        <v>716.6</v>
      </c>
      <c r="L40" s="994">
        <v>761</v>
      </c>
      <c r="M40" s="995">
        <v>764</v>
      </c>
      <c r="N40" s="85"/>
    </row>
    <row r="41" spans="1:14" x14ac:dyDescent="0.35">
      <c r="B41" s="131" t="s">
        <v>269</v>
      </c>
      <c r="C41" s="99" t="s">
        <v>1488</v>
      </c>
      <c r="D41" s="119"/>
      <c r="E41" s="119"/>
      <c r="F41" s="99" t="s">
        <v>1539</v>
      </c>
      <c r="G41" s="119"/>
      <c r="H41" s="119"/>
      <c r="I41" s="996"/>
      <c r="J41" s="996"/>
      <c r="K41" s="996"/>
      <c r="L41" s="996"/>
      <c r="M41" s="997"/>
      <c r="N41" s="85"/>
    </row>
    <row r="42" spans="1:14" ht="16.25" customHeight="1" x14ac:dyDescent="0.35">
      <c r="A42" s="104">
        <v>30</v>
      </c>
      <c r="B42" s="106" t="s">
        <v>980</v>
      </c>
      <c r="C42" s="99">
        <v>94.3</v>
      </c>
      <c r="D42" s="119">
        <v>94.3</v>
      </c>
      <c r="E42" s="119">
        <v>94.3</v>
      </c>
      <c r="F42" s="99">
        <v>94.3</v>
      </c>
      <c r="G42" s="119">
        <v>94.3</v>
      </c>
      <c r="H42" s="119">
        <v>94.3</v>
      </c>
      <c r="I42" s="996">
        <v>94.3</v>
      </c>
      <c r="J42" s="996">
        <v>94.3</v>
      </c>
      <c r="K42" s="996">
        <v>94.3</v>
      </c>
      <c r="L42" s="996">
        <v>94.3</v>
      </c>
      <c r="M42" s="997">
        <v>94.3</v>
      </c>
      <c r="N42" s="87">
        <f>'Social Benefits'!T21</f>
        <v>0</v>
      </c>
    </row>
    <row r="43" spans="1:14" ht="16.25" customHeight="1" x14ac:dyDescent="0.35">
      <c r="A43" s="104">
        <v>31</v>
      </c>
      <c r="B43" s="106" t="s">
        <v>981</v>
      </c>
      <c r="C43" s="97">
        <v>0</v>
      </c>
      <c r="D43" s="117">
        <v>0</v>
      </c>
      <c r="E43" s="117">
        <v>0</v>
      </c>
      <c r="F43" s="97">
        <v>0</v>
      </c>
      <c r="G43" s="117">
        <v>0</v>
      </c>
      <c r="H43" s="117">
        <v>0</v>
      </c>
      <c r="I43" s="994">
        <v>0</v>
      </c>
      <c r="J43" s="994">
        <v>0</v>
      </c>
      <c r="K43" s="994">
        <v>0</v>
      </c>
      <c r="L43" s="994">
        <v>0</v>
      </c>
      <c r="M43" s="995">
        <v>0</v>
      </c>
      <c r="N43" s="86"/>
    </row>
    <row r="44" spans="1:14" ht="16.25" customHeight="1" x14ac:dyDescent="0.35">
      <c r="A44" s="36">
        <v>32</v>
      </c>
      <c r="B44" s="132" t="s">
        <v>982</v>
      </c>
      <c r="C44" s="99">
        <v>0</v>
      </c>
      <c r="D44" s="119">
        <v>0</v>
      </c>
      <c r="E44" s="119">
        <v>0</v>
      </c>
      <c r="F44" s="99">
        <v>0</v>
      </c>
      <c r="G44" s="119">
        <v>0</v>
      </c>
      <c r="H44" s="119">
        <v>0</v>
      </c>
      <c r="I44" s="996">
        <v>0</v>
      </c>
      <c r="J44" s="996">
        <v>0</v>
      </c>
      <c r="K44" s="996">
        <v>0</v>
      </c>
      <c r="L44" s="996">
        <v>0</v>
      </c>
      <c r="M44" s="997">
        <v>0</v>
      </c>
      <c r="N44" s="85"/>
    </row>
    <row r="45" spans="1:14" ht="16.25" customHeight="1" x14ac:dyDescent="0.35">
      <c r="A45" s="104">
        <v>33</v>
      </c>
      <c r="B45" s="107" t="s">
        <v>983</v>
      </c>
      <c r="C45" s="97">
        <v>0</v>
      </c>
      <c r="D45" s="117">
        <v>0</v>
      </c>
      <c r="E45" s="117">
        <v>0</v>
      </c>
      <c r="F45" s="97">
        <v>0</v>
      </c>
      <c r="G45" s="117">
        <v>0</v>
      </c>
      <c r="H45" s="117">
        <v>0</v>
      </c>
      <c r="I45" s="994">
        <v>0</v>
      </c>
      <c r="J45" s="994">
        <v>0</v>
      </c>
      <c r="K45" s="994">
        <v>0</v>
      </c>
      <c r="L45" s="994">
        <v>0</v>
      </c>
      <c r="M45" s="995">
        <v>0</v>
      </c>
      <c r="N45" s="86"/>
    </row>
    <row r="46" spans="1:14" ht="16.25" customHeight="1" x14ac:dyDescent="0.35">
      <c r="A46" s="104">
        <v>34</v>
      </c>
      <c r="B46" s="81" t="s">
        <v>984</v>
      </c>
      <c r="C46" s="99">
        <v>32.700000000000003</v>
      </c>
      <c r="D46" s="119">
        <v>23.6</v>
      </c>
      <c r="E46" s="119">
        <v>24.3</v>
      </c>
      <c r="F46" s="99">
        <v>27.3</v>
      </c>
      <c r="G46" s="119">
        <v>17.8</v>
      </c>
      <c r="H46" s="119">
        <v>14.8</v>
      </c>
      <c r="I46" s="996">
        <v>11.8</v>
      </c>
      <c r="J46" s="996">
        <v>9.8000000000000007</v>
      </c>
      <c r="K46" s="996">
        <v>2.8</v>
      </c>
      <c r="L46" s="996">
        <v>3.2</v>
      </c>
      <c r="M46" s="997">
        <v>8.1</v>
      </c>
      <c r="N46" s="88">
        <f>'Provider Relief'!T11</f>
        <v>0</v>
      </c>
    </row>
    <row r="47" spans="1:14" x14ac:dyDescent="0.35">
      <c r="A47" s="102">
        <v>35</v>
      </c>
      <c r="B47" s="114" t="s">
        <v>270</v>
      </c>
      <c r="C47" s="97">
        <v>71.7</v>
      </c>
      <c r="D47" s="117">
        <v>71</v>
      </c>
      <c r="E47" s="117">
        <v>70.5</v>
      </c>
      <c r="F47" s="97">
        <v>70.2</v>
      </c>
      <c r="G47" s="117">
        <v>70</v>
      </c>
      <c r="H47" s="117">
        <v>82</v>
      </c>
      <c r="I47" s="994">
        <v>70.7</v>
      </c>
      <c r="J47" s="994">
        <v>69.400000000000006</v>
      </c>
      <c r="K47" s="994">
        <v>69.400000000000006</v>
      </c>
      <c r="L47" s="994">
        <v>69.400000000000006</v>
      </c>
      <c r="M47" s="995">
        <v>69.5</v>
      </c>
      <c r="N47" s="85"/>
    </row>
    <row r="48" spans="1:14" x14ac:dyDescent="0.35">
      <c r="A48" s="77">
        <v>36</v>
      </c>
      <c r="B48" s="111" t="s">
        <v>271</v>
      </c>
      <c r="C48" s="113">
        <v>1623.6</v>
      </c>
      <c r="D48" s="116">
        <v>1635.9</v>
      </c>
      <c r="E48" s="116">
        <v>1644.7</v>
      </c>
      <c r="F48" s="113">
        <v>1651.8</v>
      </c>
      <c r="G48" s="116">
        <v>1661.2</v>
      </c>
      <c r="H48" s="116">
        <v>1661.3</v>
      </c>
      <c r="I48" s="992">
        <v>1673.9</v>
      </c>
      <c r="J48" s="992">
        <v>1679.7</v>
      </c>
      <c r="K48" s="992">
        <v>1688.8</v>
      </c>
      <c r="L48" s="992">
        <v>1696.5</v>
      </c>
      <c r="M48" s="993">
        <v>1704.3</v>
      </c>
      <c r="N48" s="96">
        <f>Taxes!T13+Taxes!T25</f>
        <v>0</v>
      </c>
    </row>
    <row r="49" spans="1:15" x14ac:dyDescent="0.35">
      <c r="A49" s="101">
        <v>37</v>
      </c>
      <c r="B49" s="128" t="s">
        <v>272</v>
      </c>
      <c r="C49" s="118">
        <v>3125.7</v>
      </c>
      <c r="D49" s="120">
        <v>3147</v>
      </c>
      <c r="E49" s="120">
        <v>3163.7</v>
      </c>
      <c r="F49" s="118">
        <v>3183.6</v>
      </c>
      <c r="G49" s="120">
        <v>3199.3</v>
      </c>
      <c r="H49" s="120">
        <v>3198.5</v>
      </c>
      <c r="I49" s="998">
        <v>3216.6</v>
      </c>
      <c r="J49" s="998">
        <v>3227.9</v>
      </c>
      <c r="K49" s="998">
        <v>3243.1</v>
      </c>
      <c r="L49" s="998">
        <v>3257.1</v>
      </c>
      <c r="M49" s="999">
        <v>3268.6</v>
      </c>
      <c r="N49" s="96">
        <f>Taxes!T10+Taxes!T24</f>
        <v>0</v>
      </c>
    </row>
    <row r="50" spans="1:15" x14ac:dyDescent="0.35">
      <c r="A50" s="77">
        <v>38</v>
      </c>
      <c r="B50" s="111" t="s">
        <v>273</v>
      </c>
      <c r="C50" s="113">
        <v>18080</v>
      </c>
      <c r="D50" s="116">
        <v>18172.5</v>
      </c>
      <c r="E50" s="116">
        <v>18270.599999999999</v>
      </c>
      <c r="F50" s="113">
        <v>18320</v>
      </c>
      <c r="G50" s="116">
        <v>18425</v>
      </c>
      <c r="H50" s="116">
        <v>18488.5</v>
      </c>
      <c r="I50" s="992">
        <v>18565.099999999999</v>
      </c>
      <c r="J50" s="992">
        <v>18631.900000000001</v>
      </c>
      <c r="K50" s="992">
        <v>18699.5</v>
      </c>
      <c r="L50" s="992">
        <v>18834.900000000001</v>
      </c>
      <c r="M50" s="993">
        <v>18903.5</v>
      </c>
      <c r="N50" s="85"/>
      <c r="O50" s="72"/>
    </row>
    <row r="51" spans="1:15" x14ac:dyDescent="0.35">
      <c r="A51" s="101">
        <v>39</v>
      </c>
      <c r="B51" s="128" t="s">
        <v>274</v>
      </c>
      <c r="C51" s="118">
        <v>17234.400000000001</v>
      </c>
      <c r="D51" s="120">
        <v>17359.2</v>
      </c>
      <c r="E51" s="120">
        <v>17574.8</v>
      </c>
      <c r="F51" s="118">
        <v>17645.400000000001</v>
      </c>
      <c r="G51" s="120">
        <v>17768.400000000001</v>
      </c>
      <c r="H51" s="120">
        <v>17982.2</v>
      </c>
      <c r="I51" s="998">
        <v>17983.400000000001</v>
      </c>
      <c r="J51" s="998">
        <v>18132.7</v>
      </c>
      <c r="K51" s="998">
        <v>18257.400000000001</v>
      </c>
      <c r="L51" s="998">
        <v>18415.7</v>
      </c>
      <c r="M51" s="999">
        <v>18442.3</v>
      </c>
      <c r="N51" s="85"/>
      <c r="O51" s="72">
        <f>K49/C49-1</f>
        <v>3.755958665258996E-2</v>
      </c>
    </row>
    <row r="52" spans="1:15" x14ac:dyDescent="0.35">
      <c r="A52" s="36">
        <v>40</v>
      </c>
      <c r="B52" s="127" t="s">
        <v>275</v>
      </c>
      <c r="C52" s="99">
        <v>16725.599999999999</v>
      </c>
      <c r="D52" s="119">
        <v>16844.5</v>
      </c>
      <c r="E52" s="119">
        <v>17054.2</v>
      </c>
      <c r="F52" s="99">
        <v>17115.599999999999</v>
      </c>
      <c r="G52" s="119">
        <v>17231.099999999999</v>
      </c>
      <c r="H52" s="119">
        <v>17437.400000000001</v>
      </c>
      <c r="I52" s="996">
        <v>17420.3</v>
      </c>
      <c r="J52" s="996">
        <v>17550.900000000001</v>
      </c>
      <c r="K52" s="996">
        <v>17656.8</v>
      </c>
      <c r="L52" s="996">
        <v>17808.3</v>
      </c>
      <c r="M52" s="997">
        <v>17828.099999999999</v>
      </c>
      <c r="N52" s="85"/>
    </row>
    <row r="53" spans="1:15" x14ac:dyDescent="0.35">
      <c r="A53" s="102">
        <v>41</v>
      </c>
      <c r="B53" s="114" t="s">
        <v>276</v>
      </c>
      <c r="C53" s="97">
        <v>288.10000000000002</v>
      </c>
      <c r="D53" s="117">
        <v>293.5</v>
      </c>
      <c r="E53" s="117">
        <v>298.8</v>
      </c>
      <c r="F53" s="97">
        <v>306</v>
      </c>
      <c r="G53" s="117">
        <v>313.10000000000002</v>
      </c>
      <c r="H53" s="117">
        <v>320.2</v>
      </c>
      <c r="I53" s="994">
        <v>338.7</v>
      </c>
      <c r="J53" s="994">
        <v>357.1</v>
      </c>
      <c r="K53" s="994">
        <v>375.6</v>
      </c>
      <c r="L53" s="994">
        <v>382.2</v>
      </c>
      <c r="M53" s="995">
        <v>388.8</v>
      </c>
      <c r="N53" s="85"/>
    </row>
    <row r="54" spans="1:15" x14ac:dyDescent="0.35">
      <c r="B54" s="79" t="s">
        <v>277</v>
      </c>
      <c r="C54" s="99" t="s">
        <v>1488</v>
      </c>
      <c r="D54" s="119"/>
      <c r="E54" s="119"/>
      <c r="F54" s="99" t="s">
        <v>1539</v>
      </c>
      <c r="G54" s="119"/>
      <c r="H54" s="119"/>
      <c r="I54" s="996"/>
      <c r="J54" s="996"/>
      <c r="K54" s="996"/>
      <c r="L54" s="996"/>
      <c r="M54" s="997"/>
      <c r="N54" s="85"/>
    </row>
    <row r="55" spans="1:15" ht="16.25" customHeight="1" x14ac:dyDescent="0.35">
      <c r="A55" s="36">
        <v>42</v>
      </c>
      <c r="B55" s="132" t="s">
        <v>985</v>
      </c>
      <c r="C55" s="99">
        <v>-37.799999999999997</v>
      </c>
      <c r="D55" s="119">
        <v>-37.799999999999997</v>
      </c>
      <c r="E55" s="119">
        <v>-37.799999999999997</v>
      </c>
      <c r="F55" s="99">
        <v>-37.799999999999997</v>
      </c>
      <c r="G55" s="119">
        <v>-37.799999999999997</v>
      </c>
      <c r="H55" s="119">
        <v>-37.799999999999997</v>
      </c>
      <c r="I55" s="996">
        <v>-37.799999999999997</v>
      </c>
      <c r="J55" s="996">
        <v>-37.799999999999997</v>
      </c>
      <c r="K55" s="996">
        <v>-37.799999999999997</v>
      </c>
      <c r="L55" s="996">
        <v>-37.799999999999997</v>
      </c>
      <c r="M55" s="997">
        <v>-37.799999999999997</v>
      </c>
      <c r="N55" s="85"/>
    </row>
    <row r="56" spans="1:15" x14ac:dyDescent="0.35">
      <c r="A56" s="102">
        <v>43</v>
      </c>
      <c r="B56" s="114" t="s">
        <v>278</v>
      </c>
      <c r="C56" s="97">
        <v>220.7</v>
      </c>
      <c r="D56" s="117">
        <v>221.3</v>
      </c>
      <c r="E56" s="117">
        <v>221.8</v>
      </c>
      <c r="F56" s="97">
        <v>223.8</v>
      </c>
      <c r="G56" s="117">
        <v>224.2</v>
      </c>
      <c r="H56" s="117">
        <v>224.6</v>
      </c>
      <c r="I56" s="994">
        <v>224.4</v>
      </c>
      <c r="J56" s="994">
        <v>224.7</v>
      </c>
      <c r="K56" s="994">
        <v>225</v>
      </c>
      <c r="L56" s="994">
        <v>225.2</v>
      </c>
      <c r="M56" s="995">
        <v>225.4</v>
      </c>
      <c r="N56" s="85"/>
    </row>
    <row r="57" spans="1:15" x14ac:dyDescent="0.35">
      <c r="A57" s="36">
        <v>44</v>
      </c>
      <c r="B57" s="127" t="s">
        <v>279</v>
      </c>
      <c r="C57" s="99">
        <v>113.6</v>
      </c>
      <c r="D57" s="119">
        <v>114.1</v>
      </c>
      <c r="E57" s="119">
        <v>114.6</v>
      </c>
      <c r="F57" s="99">
        <v>115</v>
      </c>
      <c r="G57" s="119">
        <v>115.4</v>
      </c>
      <c r="H57" s="119">
        <v>115.8</v>
      </c>
      <c r="I57" s="996">
        <v>116.1</v>
      </c>
      <c r="J57" s="996">
        <v>116.4</v>
      </c>
      <c r="K57" s="996">
        <v>116.7</v>
      </c>
      <c r="L57" s="996">
        <v>116.9</v>
      </c>
      <c r="M57" s="997">
        <v>117.1</v>
      </c>
      <c r="N57" s="85"/>
    </row>
    <row r="58" spans="1:15" x14ac:dyDescent="0.35">
      <c r="A58" s="102">
        <v>45</v>
      </c>
      <c r="B58" s="114" t="s">
        <v>280</v>
      </c>
      <c r="C58" s="97">
        <v>107.2</v>
      </c>
      <c r="D58" s="117">
        <v>107.2</v>
      </c>
      <c r="E58" s="117">
        <v>107.2</v>
      </c>
      <c r="F58" s="97">
        <v>108.8</v>
      </c>
      <c r="G58" s="117">
        <v>108.8</v>
      </c>
      <c r="H58" s="117">
        <v>108.8</v>
      </c>
      <c r="I58" s="994">
        <v>108.3</v>
      </c>
      <c r="J58" s="994">
        <v>108.3</v>
      </c>
      <c r="K58" s="994">
        <v>108.3</v>
      </c>
      <c r="L58" s="994">
        <v>108.3</v>
      </c>
      <c r="M58" s="995">
        <v>108.3</v>
      </c>
      <c r="N58" s="85"/>
    </row>
    <row r="59" spans="1:15" ht="15" customHeight="1" thickBot="1" x14ac:dyDescent="0.4">
      <c r="A59" s="103">
        <v>46</v>
      </c>
      <c r="B59" s="80" t="s">
        <v>281</v>
      </c>
      <c r="C59" s="123">
        <v>845.6</v>
      </c>
      <c r="D59" s="121">
        <v>813.3</v>
      </c>
      <c r="E59" s="121">
        <v>695.8</v>
      </c>
      <c r="F59" s="123">
        <v>674.7</v>
      </c>
      <c r="G59" s="121">
        <v>656.6</v>
      </c>
      <c r="H59" s="121">
        <v>506.3</v>
      </c>
      <c r="I59" s="1000">
        <v>581.70000000000005</v>
      </c>
      <c r="J59" s="1000">
        <v>499.2</v>
      </c>
      <c r="K59" s="1000">
        <v>442.1</v>
      </c>
      <c r="L59" s="1000">
        <v>419.2</v>
      </c>
      <c r="M59" s="1001">
        <v>461.2</v>
      </c>
      <c r="N59" s="89"/>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091" t="s">
        <v>958</v>
      </c>
      <c r="B66" s="1091"/>
      <c r="C66" s="1091"/>
      <c r="D66" s="1091"/>
      <c r="E66" s="1091"/>
      <c r="F66" s="1091"/>
      <c r="G66" s="1091"/>
    </row>
    <row r="67" spans="1:7" x14ac:dyDescent="0.35">
      <c r="A67" s="1089" t="s">
        <v>959</v>
      </c>
      <c r="B67" s="1089"/>
      <c r="C67" s="1089"/>
      <c r="D67" s="1089"/>
      <c r="E67" s="1089"/>
      <c r="F67" s="1089"/>
      <c r="G67" s="1089"/>
    </row>
    <row r="68" spans="1:7" x14ac:dyDescent="0.35">
      <c r="A68" s="1088" t="s">
        <v>960</v>
      </c>
      <c r="B68" s="1088"/>
      <c r="C68" s="1088"/>
      <c r="D68" s="1088"/>
      <c r="E68" s="1088"/>
      <c r="F68" s="1088"/>
      <c r="G68" s="1088"/>
    </row>
    <row r="69" spans="1:7" x14ac:dyDescent="0.35">
      <c r="A69" s="1090" t="s">
        <v>961</v>
      </c>
      <c r="B69" s="1090"/>
      <c r="C69" s="1090"/>
      <c r="D69" s="1090"/>
      <c r="E69" s="1090"/>
      <c r="F69" s="1090"/>
      <c r="G69" s="1090"/>
    </row>
    <row r="70" spans="1:7" x14ac:dyDescent="0.35">
      <c r="A70" s="1091" t="s">
        <v>962</v>
      </c>
      <c r="B70" s="1091"/>
      <c r="C70" s="1091"/>
      <c r="D70" s="1091"/>
      <c r="E70" s="1091"/>
      <c r="F70" s="1091"/>
      <c r="G70" s="1091"/>
    </row>
    <row r="71" spans="1:7" x14ac:dyDescent="0.35">
      <c r="A71" s="1089" t="s">
        <v>963</v>
      </c>
      <c r="B71" s="1089"/>
      <c r="C71" s="1089"/>
      <c r="D71" s="1089"/>
      <c r="E71" s="1089"/>
      <c r="F71" s="1089"/>
      <c r="G71" s="1089"/>
    </row>
    <row r="72" spans="1:7" x14ac:dyDescent="0.35">
      <c r="A72" s="1088" t="s">
        <v>964</v>
      </c>
      <c r="B72" s="1088"/>
      <c r="C72" s="1088"/>
      <c r="D72" s="1088"/>
      <c r="E72" s="1088"/>
      <c r="F72" s="1088"/>
      <c r="G72" s="1088"/>
    </row>
    <row r="73" spans="1:7" x14ac:dyDescent="0.35">
      <c r="A73" s="1088" t="s">
        <v>965</v>
      </c>
      <c r="B73" s="1088"/>
      <c r="C73" s="1088"/>
      <c r="D73" s="1088"/>
      <c r="E73" s="1088"/>
      <c r="F73" s="1088"/>
      <c r="G73" s="1088"/>
    </row>
    <row r="74" spans="1:7" x14ac:dyDescent="0.35">
      <c r="A74" s="1089" t="s">
        <v>966</v>
      </c>
      <c r="B74" s="1089"/>
      <c r="C74" s="1089"/>
      <c r="D74" s="1089"/>
      <c r="E74" s="1089"/>
      <c r="F74" s="1089"/>
      <c r="G74" s="1089"/>
    </row>
    <row r="76" spans="1:7" x14ac:dyDescent="0.35">
      <c r="A76" s="1090" t="s">
        <v>967</v>
      </c>
      <c r="B76" s="1090"/>
      <c r="C76" s="1090"/>
      <c r="D76" s="1090"/>
      <c r="E76" s="1090"/>
      <c r="F76" s="1090"/>
      <c r="G76" s="1090"/>
    </row>
    <row r="78" spans="1:7" x14ac:dyDescent="0.35">
      <c r="A78" s="36" t="s">
        <v>290</v>
      </c>
    </row>
    <row r="80" spans="1:7" x14ac:dyDescent="0.35">
      <c r="A80" s="36" t="s">
        <v>291</v>
      </c>
    </row>
    <row r="82" spans="1:1" x14ac:dyDescent="0.35">
      <c r="A82" s="109"/>
    </row>
    <row r="88" spans="1:1" x14ac:dyDescent="0.35">
      <c r="A88" s="108"/>
    </row>
    <row r="89" spans="1:1" x14ac:dyDescent="0.35">
      <c r="A89" s="108"/>
    </row>
    <row r="90" spans="1:1" x14ac:dyDescent="0.35">
      <c r="A90" s="108"/>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2023-01-25T20:40:27Z</dcterms:modified>
  <cp:category/>
  <cp:contentStatus/>
</cp:coreProperties>
</file>