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8_{0B5BB6E3-5E14-4F9D-BEA9-CF178FABAB36}" xr6:coauthVersionLast="45" xr6:coauthVersionMax="45" xr10:uidLastSave="{00000000-0000-0000-0000-000000000000}"/>
  <bookViews>
    <workbookView xWindow="-28920" yWindow="-120" windowWidth="29040" windowHeight="15840" firstSheet="11" activeTab="19"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rovider Relief" sheetId="40" r:id="rId13"/>
    <sheet name="PPP" sheetId="38"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5" i="48" l="1"/>
  <c r="O98" i="48"/>
  <c r="O97" i="48"/>
  <c r="O96" i="48"/>
  <c r="O87" i="48"/>
  <c r="O82" i="48" s="1"/>
  <c r="O83" i="48"/>
  <c r="O84" i="48"/>
  <c r="O17" i="48"/>
  <c r="O18" i="48"/>
  <c r="O19" i="48"/>
  <c r="O20" i="48"/>
  <c r="O10" i="48"/>
  <c r="O11" i="48"/>
  <c r="O12" i="48"/>
  <c r="O13" i="48"/>
  <c r="O64" i="32"/>
  <c r="O63" i="32"/>
  <c r="O62" i="32" s="1"/>
  <c r="O53" i="32"/>
  <c r="P49" i="32"/>
  <c r="Q49" i="32"/>
  <c r="R49" i="32"/>
  <c r="S49" i="32"/>
  <c r="T49" i="32"/>
  <c r="U49" i="32"/>
  <c r="V49" i="32"/>
  <c r="W49" i="32"/>
  <c r="X49" i="32"/>
  <c r="Y49" i="32"/>
  <c r="Z49" i="32"/>
  <c r="AA49" i="32"/>
  <c r="AB49" i="32"/>
  <c r="AC49" i="32"/>
  <c r="N49" i="32"/>
  <c r="O30" i="32"/>
  <c r="O28" i="32"/>
  <c r="O12" i="32"/>
  <c r="O10" i="29"/>
  <c r="O9" i="29"/>
  <c r="O12" i="33"/>
  <c r="O11" i="33"/>
  <c r="O9" i="49"/>
  <c r="O11" i="49" s="1"/>
  <c r="O10" i="49"/>
  <c r="N12" i="49"/>
  <c r="O12" i="30"/>
  <c r="O14" i="30"/>
  <c r="O11" i="30"/>
  <c r="O16" i="30"/>
  <c r="O17" i="30"/>
  <c r="O18" i="30"/>
  <c r="O19" i="30"/>
  <c r="O20" i="30"/>
  <c r="O21" i="30"/>
  <c r="O28" i="20"/>
  <c r="O27" i="20"/>
  <c r="O25" i="20"/>
  <c r="O13" i="20"/>
  <c r="O9" i="20"/>
  <c r="O81" i="26"/>
  <c r="O93" i="26"/>
  <c r="O20" i="26"/>
  <c r="O19" i="26"/>
  <c r="O14" i="26"/>
  <c r="O13" i="26"/>
  <c r="O11" i="26"/>
  <c r="O10" i="26"/>
  <c r="O9" i="26"/>
  <c r="O56" i="38"/>
  <c r="O55" i="38"/>
  <c r="O54" i="38"/>
  <c r="O53" i="38"/>
  <c r="O14" i="40"/>
  <c r="O13" i="40"/>
  <c r="O12" i="40"/>
  <c r="O11" i="40"/>
  <c r="O22" i="25"/>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K25" i="49" l="1"/>
  <c r="R48" i="38"/>
  <c r="Q48" i="38"/>
  <c r="N69" i="38"/>
  <c r="M69" i="38"/>
  <c r="N67" i="38"/>
  <c r="M67" i="38"/>
  <c r="N68" i="38"/>
  <c r="M68" i="38"/>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N48" i="38"/>
  <c r="O48" i="38"/>
  <c r="P48" i="38"/>
  <c r="M48" i="38"/>
  <c r="O65" i="38" l="1"/>
  <c r="P64" i="38"/>
  <c r="P65" i="38" l="1"/>
  <c r="O67" i="38"/>
  <c r="O15" i="40"/>
  <c r="F10" i="48"/>
  <c r="F9" i="48" s="1"/>
  <c r="G10" i="48"/>
  <c r="F11" i="48"/>
  <c r="G11" i="48"/>
  <c r="F12" i="48"/>
  <c r="G12" i="48"/>
  <c r="F13" i="48"/>
  <c r="G13" i="48"/>
  <c r="F20" i="48"/>
  <c r="F99" i="48" s="1"/>
  <c r="G20" i="48"/>
  <c r="G99" i="48" s="1"/>
  <c r="F19" i="48"/>
  <c r="F98" i="48" s="1"/>
  <c r="G19" i="48"/>
  <c r="G98" i="48" s="1"/>
  <c r="F18" i="48"/>
  <c r="F97" i="48" s="1"/>
  <c r="G18" i="48"/>
  <c r="G97" i="48" s="1"/>
  <c r="F17" i="48"/>
  <c r="G17" i="48"/>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G96" i="48" l="1"/>
  <c r="F96" i="48"/>
  <c r="O68" i="38"/>
  <c r="O69" i="38" s="1"/>
  <c r="P67" i="3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N10" i="33" l="1"/>
  <c r="N12" i="33"/>
  <c r="P96" i="48"/>
  <c r="N82" i="48"/>
  <c r="H63" i="48" s="1"/>
  <c r="I63" i="48" s="1"/>
  <c r="N83" i="48"/>
  <c r="H64" i="48" s="1"/>
  <c r="I64" i="48" s="1"/>
  <c r="P12" i="48"/>
  <c r="N84" i="48"/>
  <c r="H65" i="48" s="1"/>
  <c r="P13" i="48"/>
  <c r="N15" i="30"/>
  <c r="N13" i="30"/>
  <c r="N12" i="30" s="1"/>
  <c r="N11" i="49"/>
  <c r="N11" i="26"/>
  <c r="N14" i="40"/>
  <c r="B21" i="53"/>
  <c r="B20" i="53"/>
  <c r="B19" i="53"/>
  <c r="B18" i="53"/>
  <c r="B17" i="53"/>
  <c r="B16" i="53"/>
  <c r="B15" i="53"/>
  <c r="B14" i="53"/>
  <c r="B13" i="53"/>
  <c r="B12" i="53"/>
  <c r="B11" i="53"/>
  <c r="B10" i="53"/>
  <c r="P12" i="33" l="1"/>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O49" i="32" s="1"/>
  <c r="O51" i="32" s="1"/>
  <c r="O54" i="32" s="1"/>
  <c r="O20" i="32" s="1"/>
  <c r="O21" i="32" s="1"/>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P97" i="48"/>
  <c r="P98" i="48"/>
  <c r="P99" i="48"/>
  <c r="C22" i="35"/>
  <c r="D24" i="55" s="1"/>
  <c r="D99" i="55" s="1"/>
  <c r="I66" i="48"/>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22" i="21"/>
  <c r="O38" i="30" s="1"/>
  <c r="O23"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P56" i="38" l="1"/>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D52" i="32" s="1"/>
  <c r="H14" i="32"/>
  <c r="D22" i="33"/>
  <c r="C22" i="33" l="1"/>
  <c r="F49" i="32"/>
  <c r="F51" i="32" s="1"/>
  <c r="F52" i="32"/>
  <c r="G49" i="32"/>
  <c r="G51" i="32" s="1"/>
  <c r="G54" i="32" s="1"/>
  <c r="G20" i="32" s="1"/>
  <c r="G21" i="32" s="1"/>
  <c r="G22" i="32" s="1"/>
  <c r="G52" i="32"/>
  <c r="E52" i="32"/>
  <c r="E49" i="32"/>
  <c r="E51" i="32" s="1"/>
  <c r="E54" i="32" s="1"/>
  <c r="E20" i="32" s="1"/>
  <c r="E21" i="32" s="1"/>
  <c r="E22" i="32" s="1"/>
  <c r="D49" i="32"/>
  <c r="D51" i="32" s="1"/>
  <c r="D54" i="32" s="1"/>
  <c r="D20" i="32" s="1"/>
  <c r="D21" i="32" s="1"/>
  <c r="D22" i="32" s="1"/>
  <c r="F54" i="32" l="1"/>
  <c r="F20" i="32" s="1"/>
  <c r="F21" i="32" s="1"/>
  <c r="F22"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I13" i="30"/>
  <c r="I12" i="30" s="1"/>
  <c r="R12" i="30"/>
  <c r="W12" i="30"/>
  <c r="W11" i="30" s="1"/>
  <c r="S12" i="30"/>
  <c r="T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2" i="26" l="1"/>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l="1"/>
  <c r="C9" i="35"/>
  <c r="B19" i="6"/>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R12" i="25"/>
  <c r="R14" i="25" s="1"/>
  <c r="R13" i="25" s="1"/>
  <c r="D9" i="35" l="1"/>
  <c r="E11" i="55" s="1"/>
  <c r="E86" i="55" s="1"/>
  <c r="P11" i="25"/>
  <c r="C8" i="35"/>
  <c r="D10" i="55" s="1"/>
  <c r="D85" i="55" s="1"/>
  <c r="N13" i="32"/>
  <c r="M22" i="32"/>
  <c r="Q21" i="32"/>
  <c r="Q22" i="32" s="1"/>
  <c r="E17" i="35" s="1"/>
  <c r="F19" i="55" s="1"/>
  <c r="F94" i="55" s="1"/>
  <c r="E56" i="55"/>
  <c r="H57" i="55"/>
  <c r="H55" i="55"/>
  <c r="U27" i="20"/>
  <c r="H5" i="35"/>
  <c r="I7" i="55" s="1"/>
  <c r="I82" i="55" s="1"/>
  <c r="H3" i="35"/>
  <c r="I5" i="55" s="1"/>
  <c r="I80" i="55" s="1"/>
  <c r="T46" i="20"/>
  <c r="E4" i="35"/>
  <c r="F6" i="55" s="1"/>
  <c r="F81" i="55" s="1"/>
  <c r="Q20" i="25"/>
  <c r="E9" i="35" s="1"/>
  <c r="F11" i="55" s="1"/>
  <c r="F86" i="55" s="1"/>
  <c r="P19" i="25"/>
  <c r="S12" i="25"/>
  <c r="S14" i="25" s="1"/>
  <c r="S13" i="25" s="1"/>
  <c r="E61" i="55" l="1"/>
  <c r="O13" i="32"/>
  <c r="F61" i="55"/>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X20" i="25"/>
  <c r="K9" i="35"/>
  <c r="L11" i="55" s="1"/>
  <c r="L86" i="55" s="1"/>
  <c r="W13" i="32"/>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12" i="32"/>
  <c r="Z50" i="32" s="1"/>
  <c r="AB20" i="25"/>
  <c r="P9" i="35" s="1"/>
  <c r="Q11" i="55" s="1"/>
  <c r="AA11" i="25"/>
  <c r="AA19" i="25" s="1"/>
  <c r="AB14" i="25"/>
  <c r="AB13" i="25" s="1"/>
  <c r="AC12" i="25"/>
  <c r="N61" i="55"/>
  <c r="M60" i="55"/>
  <c r="N79" i="26"/>
  <c r="N74" i="26" s="1"/>
  <c r="M8" i="35"/>
  <c r="N10" i="55" s="1"/>
  <c r="N85" i="55" s="1"/>
  <c r="X13" i="32"/>
  <c r="X12" i="32" s="1"/>
  <c r="X50" i="32" s="1"/>
  <c r="Y13" i="32"/>
  <c r="AB11" i="25" l="1"/>
  <c r="AB19" i="25" s="1"/>
  <c r="P8" i="35" s="1"/>
  <c r="Q10" i="55" s="1"/>
  <c r="Q60" i="55" s="1"/>
  <c r="Q61" i="55"/>
  <c r="Q86" i="55"/>
  <c r="G2" i="50"/>
  <c r="AA13" i="32"/>
  <c r="O8" i="35"/>
  <c r="P10" i="55" s="1"/>
  <c r="AC14" i="25"/>
  <c r="AC13" i="25" s="1"/>
  <c r="AC20" i="25"/>
  <c r="Q9" i="35" s="1"/>
  <c r="R11" i="55" s="1"/>
  <c r="N60" i="55"/>
  <c r="N47" i="20"/>
  <c r="N48" i="20" s="1"/>
  <c r="O79" i="26"/>
  <c r="O74" i="26" s="1"/>
  <c r="P20" i="26"/>
  <c r="Y12" i="32"/>
  <c r="AB13" i="32" l="1"/>
  <c r="Q85" i="55"/>
  <c r="AA12" i="32"/>
  <c r="AA50" i="32" s="1"/>
  <c r="R86" i="55"/>
  <c r="R61" i="55"/>
  <c r="P85" i="55"/>
  <c r="P60" i="55"/>
  <c r="AC11" i="25"/>
  <c r="AC19" i="25" s="1"/>
  <c r="Q8" i="35" s="1"/>
  <c r="R10" i="55" s="1"/>
  <c r="P79" i="26"/>
  <c r="P74" i="26" s="1"/>
  <c r="P11" i="26"/>
  <c r="Q20" i="26"/>
  <c r="C2" i="35"/>
  <c r="D4" i="55" s="1"/>
  <c r="D79" i="55" s="1"/>
  <c r="O47" i="20"/>
  <c r="O48" i="20" s="1"/>
  <c r="N28" i="20"/>
  <c r="N29" i="20" s="1"/>
  <c r="AU61" i="20"/>
  <c r="AU60" i="20"/>
  <c r="AU62" i="20"/>
  <c r="N14" i="20"/>
  <c r="Y50" i="32"/>
  <c r="AB12" i="32" l="1"/>
  <c r="AB50" i="32" s="1"/>
  <c r="R85" i="55"/>
  <c r="R60" i="55"/>
  <c r="AC13" i="32"/>
  <c r="AC12" i="32" s="1"/>
  <c r="AC50" i="32" s="1"/>
  <c r="AV60" i="20"/>
  <c r="O29" i="20"/>
  <c r="AV62" i="20"/>
  <c r="AV61" i="20"/>
  <c r="O14" i="20"/>
  <c r="D54" i="55"/>
  <c r="R20" i="26"/>
  <c r="Q79" i="26"/>
  <c r="Q74" i="26" s="1"/>
  <c r="D2" i="35"/>
  <c r="E4" i="55" s="1"/>
  <c r="E79" i="55" s="1"/>
  <c r="P47" i="20"/>
  <c r="P48" i="20" s="1"/>
  <c r="H12" i="30"/>
  <c r="O12" i="49" l="1"/>
  <c r="K26" i="49" s="1"/>
  <c r="J26" i="49"/>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l="1"/>
  <c r="P9" i="26" s="1"/>
  <c r="D10" i="35"/>
  <c r="E12" i="55" s="1"/>
  <c r="E87" i="55" s="1"/>
  <c r="Q29" i="32"/>
  <c r="E11" i="35"/>
  <c r="N25" i="49"/>
  <c r="O25" i="49" s="1"/>
  <c r="E63"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N30" i="32"/>
  <c r="E62" i="55" l="1"/>
  <c r="G44" i="49"/>
  <c r="S12" i="49" s="1"/>
  <c r="O26" i="49" s="1"/>
  <c r="S29" i="32"/>
  <c r="G11" i="35"/>
  <c r="R29" i="32"/>
  <c r="F11" i="35"/>
  <c r="D63" i="55"/>
  <c r="V79" i="26"/>
  <c r="V74" i="26" s="1"/>
  <c r="V11" i="26"/>
  <c r="W20" i="26"/>
  <c r="BA60" i="20"/>
  <c r="T28" i="20"/>
  <c r="T29" i="20" s="1"/>
  <c r="BA61" i="20"/>
  <c r="BA62" i="20"/>
  <c r="T14" i="20"/>
  <c r="I54" i="55"/>
  <c r="U47" i="20"/>
  <c r="U48" i="20" s="1"/>
  <c r="I2" i="35"/>
  <c r="J4" i="55" s="1"/>
  <c r="J79" i="55" s="1"/>
  <c r="D12" i="55"/>
  <c r="D87" i="55" s="1"/>
  <c r="K27" i="49"/>
  <c r="P25" i="49"/>
  <c r="C18" i="35"/>
  <c r="N31" i="32"/>
  <c r="Q12" i="49" l="1"/>
  <c r="M26" i="49" s="1"/>
  <c r="T29" i="32"/>
  <c r="H11" i="35"/>
  <c r="D62" i="55"/>
  <c r="J54" i="55"/>
  <c r="W79" i="26"/>
  <c r="W74" i="26" s="1"/>
  <c r="X20" i="26"/>
  <c r="W11" i="26"/>
  <c r="U28" i="20"/>
  <c r="U29" i="20" s="1"/>
  <c r="BB61" i="20"/>
  <c r="BB60" i="20"/>
  <c r="BB62" i="20"/>
  <c r="U14" i="20"/>
  <c r="J2" i="35"/>
  <c r="K4" i="55" s="1"/>
  <c r="K79" i="55" s="1"/>
  <c r="V47" i="20"/>
  <c r="V48" i="20" s="1"/>
  <c r="H13" i="55"/>
  <c r="H88" i="55" s="1"/>
  <c r="D20" i="55"/>
  <c r="D95" i="55" s="1"/>
  <c r="P30" i="32"/>
  <c r="O31" i="32"/>
  <c r="Q25" i="49"/>
  <c r="R12" i="49" l="1"/>
  <c r="N26" i="49" s="1"/>
  <c r="U29" i="32"/>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s="1"/>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50" i="32" s="1"/>
  <c r="O13" i="30"/>
  <c r="D94" i="55" l="1"/>
  <c r="D69" i="55"/>
  <c r="Q11" i="26"/>
  <c r="Q9" i="26" s="1"/>
  <c r="AD19" i="26"/>
  <c r="O44" i="30"/>
  <c r="C6" i="35" s="1"/>
  <c r="D8" i="55" s="1"/>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<sst xmlns="http://schemas.openxmlformats.org/spreadsheetml/2006/main" count="2541" uniqueCount="1245">
  <si>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</si>
  <si>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</si>
  <si>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</si>
  <si>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</si>
  <si>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</si>
  <si>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</si>
  <si>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</si>
  <si>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</si>
  <si>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</si>
  <si>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</si>
  <si>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</si>
  <si>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</si>
  <si>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</si>
  <si>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</si>
  <si>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</si>
  <si>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</si>
  <si>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</si>
  <si>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</si>
  <si>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</si>
  <si>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</si>
  <si>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</si>
  <si>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</si>
  <si>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</si>
  <si>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</si>
  <si>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</si>
  <si>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</si>
  <si>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</si>
  <si>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</si>
  <si>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</si>
  <si>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</si>
  <si>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</si>
  <si>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</si>
  <si>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</si>
  <si>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</si>
  <si>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</si>
  <si>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</si>
  <si>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</si>
  <si>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</si>
  <si>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</si>
  <si>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</si>
  <si>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</si>
  <si>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</si>
  <si>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</si>
  <si>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</si>
  <si>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</si>
  <si>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</si>
  <si>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</si>
  <si>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</si>
  <si>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</si>
  <si>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</si>
  <si>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</si>
  <si>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</si>
  <si>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</si>
  <si>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</si>
  <si>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</si>
  <si>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</si>
  <si>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</si>
  <si>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</si>
  <si>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</si>
  <si>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</si>
  <si>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</si>
  <si>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</si>
  <si>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</si>
  <si>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</si>
  <si>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</si>
  <si>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</si>
  <si>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</si>
  <si>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</si>
  <si>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</si>
  <si>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</si>
  <si>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</si>
  <si>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</si>
  <si>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</si>
  <si>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</si>
  <si>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</si>
  <si>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</si>
  <si>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</si>
  <si>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</si>
  <si>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</si>
  <si>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</si>
  <si>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</si>
  <si>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</si>
  <si>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</si>
  <si>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</si>
  <si>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</si>
  <si>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</si>
  <si>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</si>
  <si>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</si>
  <si>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</si>
  <si>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</si>
  <si>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</si>
  <si>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</si>
  <si>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</si>
  <si>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</si>
  <si>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</si>
  <si>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</si>
  <si>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</si>
  <si>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</si>
  <si>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</si>
  <si>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</si>
  <si>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</si>
  <si>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</si>
  <si>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</si>
  <si>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</si>
  <si>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</si>
  <si>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</si>
  <si>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</si>
  <si>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</si>
  <si>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</si>
  <si>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</si>
  <si>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</si>
  <si>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</si>
  <si>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r>
      <t xml:space="preserve">Type CTRL + SHIFT + L into the R console. 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</si>
  <si>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</si>
  <si>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</si>
  <si>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</si>
  <si>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</si>
  <si>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</si>
  <si>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</si>
  <si>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</si>
  <si>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</si>
  <si>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</si>
  <si>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</si>
  <si>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</si>
  <si>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</si>
  <si>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</si>
  <si>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</si>
  <si>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</si>
  <si>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</si>
  <si>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</si>
  <si>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</si>
  <si>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</si>
  <si>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</si>
  <si>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</si>
  <si>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</si>
  <si>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</si>
  <si>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</si>
  <si>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</si>
  <si>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</si>
  <si>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2021-09</t>
  </si>
  <si>
    <t>2021-10</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</si>
  <si>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</si>
  <si>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</si>
  <si>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</si>
  <si>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</si>
  <si>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</si>
  <si>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</si>
  <si>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</si>
  <si>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</si>
  <si>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</si>
  <si>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</si>
  <si>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</si>
  <si>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</si>
  <si>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</si>
  <si>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</si>
  <si>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</si>
  <si>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</si>
  <si>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</si>
  <si>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</si>
  <si>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</si>
  <si>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</si>
  <si>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</si>
  <si>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</si>
  <si>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</si>
  <si>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</si>
  <si>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</si>
  <si>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</si>
  <si>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</si>
  <si>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</si>
  <si>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</si>
  <si>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</si>
  <si>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</si>
  <si>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</si>
  <si>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</si>
  <si>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</si>
  <si>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</si>
  <si>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</si>
  <si>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</si>
  <si>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</si>
  <si>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</si>
  <si>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</si>
  <si>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</si>
  <si>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</si>
  <si>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</si>
  <si>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</si>
  <si>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</si>
  <si>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</si>
  <si>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</si>
  <si>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</si>
  <si>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</si>
  <si>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</si>
  <si>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</si>
  <si>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</si>
  <si>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</si>
  <si>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</si>
  <si>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</si>
  <si>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</si>
  <si>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</si>
  <si>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</si>
  <si>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</si>
  <si>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</si>
  <si>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</si>
  <si>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</si>
  <si>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</si>
  <si>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</si>
  <si>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</si>
  <si>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</si>
  <si>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</si>
  <si>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</si>
  <si>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</si>
  <si>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</si>
  <si>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</si>
  <si>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</si>
  <si>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</si>
  <si>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</si>
  <si>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</si>
  <si>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</si>
  <si>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</si>
  <si>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</si>
  <si>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</si>
  <si>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</si>
  <si>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</si>
  <si>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</si>
  <si>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</si>
  <si>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</si>
  <si>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</si>
  <si>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</si>
  <si>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</si>
  <si>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</si>
  <si>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Previous Forecast (forecast_08_2021)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</si>
  <si>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</si>
  <si>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</si>
  <si>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</si>
  <si>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</si>
  <si>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</si>
  <si>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</si>
  <si>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</si>
  <si>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</si>
  <si>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</si>
  <si>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</si>
  <si>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</si>
  <si>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</si>
  <si>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</si>
  <si>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</si>
  <si>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</si>
  <si>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</si>
  <si>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</si>
  <si>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</si>
  <si>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</si>
  <si>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</si>
  <si>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</si>
  <si>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</si>
  <si>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</si>
  <si>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</si>
  <si>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</si>
  <si>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</si>
  <si>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</si>
  <si>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</si>
  <si>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</si>
  <si>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</si>
  <si>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</si>
  <si>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</si>
  <si>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</si>
  <si>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</si>
  <si>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</si>
  <si>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</si>
  <si>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</si>
  <si>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</si>
  <si>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</si>
  <si>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</si>
  <si>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</si>
  <si>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</si>
  <si>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</si>
  <si>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</si>
  <si>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</si>
  <si>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</si>
  <si>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</si>
  <si>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</si>
  <si>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</si>
  <si>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</si>
  <si>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</si>
  <si>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</si>
  <si>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</si>
  <si>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</si>
  <si>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</si>
  <si>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</si>
  <si>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</si>
  <si>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</si>
  <si>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</si>
  <si>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</si>
  <si>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</si>
  <si>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</si>
  <si>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</si>
  <si>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</si>
  <si>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</si>
  <si>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</si>
  <si>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</si>
  <si>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</si>
  <si>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</si>
  <si>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</si>
  <si>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</si>
  <si>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</si>
  <si>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</si>
  <si>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</si>
  <si>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</si>
  <si>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</si>
  <si>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</si>
  <si>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</si>
  <si>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</si>
  <si>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</si>
  <si>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</si>
  <si>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</si>
  <si>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</si>
  <si>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</si>
  <si>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</si>
  <si>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</si>
  <si>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</si>
  <si>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</si>
  <si>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</si>
  <si>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</si>
  <si>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</si>
  <si>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</si>
  <si>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</si>
  <si>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</si>
  <si>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</si>
  <si>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</si>
  <si>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</si>
  <si>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</si>
  <si>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</si>
  <si>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</si>
  <si>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</si>
  <si>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</si>
  <si>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</si>
  <si>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</si>
  <si>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</si>
  <si>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</si>
  <si>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</si>
  <si>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</si>
  <si>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</si>
  <si>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</si>
  <si>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</si>
  <si>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</si>
  <si>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</si>
  <si>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</si>
  <si>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</si>
  <si>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</si>
  <si>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</si>
  <si>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</si>
  <si>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</si>
  <si>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</si>
  <si>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</si>
  <si>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</si>
  <si>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</si>
  <si>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</si>
  <si>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</si>
  <si>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</si>
  <si>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</si>
  <si>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</si>
  <si>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</si>
  <si>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</si>
  <si>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</si>
  <si>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</si>
  <si>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</si>
  <si>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</si>
  <si>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</si>
  <si>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</si>
  <si>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</si>
  <si>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</si>
  <si>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</si>
  <si>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</si>
  <si>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</si>
  <si>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</si>
  <si>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</si>
  <si>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</si>
  <si>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</si>
  <si>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</si>
  <si>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</si>
  <si>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</si>
  <si>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</si>
  <si>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</si>
  <si>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</si>
  <si>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</si>
  <si>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</si>
  <si>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</si>
  <si>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</si>
  <si>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</si>
  <si>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</si>
  <si>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</si>
  <si>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</si>
  <si>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</si>
  <si>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</si>
  <si>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</si>
  <si>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</si>
  <si>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</si>
  <si>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</si>
  <si>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</si>
  <si>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</si>
  <si>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</si>
  <si>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</si>
  <si>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</si>
  <si>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</si>
  <si>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</si>
  <si>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</si>
  <si>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</si>
  <si>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</si>
  <si>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</si>
  <si>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</si>
  <si>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</si>
  <si>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</si>
  <si>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</si>
  <si>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</si>
  <si>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</si>
  <si>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</si>
  <si>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</si>
  <si>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</si>
  <si>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</si>
  <si>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</si>
  <si>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</si>
  <si>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</si>
  <si>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</si>
  <si>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</si>
  <si>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</si>
  <si>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</si>
  <si>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</si>
  <si>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</si>
  <si>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</si>
  <si>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</si>
  <si>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</si>
  <si>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</si>
  <si>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</si>
  <si>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</si>
  <si>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</si>
  <si>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</si>
  <si>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</si>
  <si>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</si>
  <si>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</si>
  <si>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</si>
  <si>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</si>
  <si>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</si>
  <si>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</si>
  <si>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</si>
  <si>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</si>
  <si>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</si>
  <si>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</si>
  <si>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</si>
  <si>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</si>
  <si>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</si>
  <si>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</si>
  <si>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</si>
  <si>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</si>
  <si>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</si>
  <si>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</si>
  <si>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</si>
  <si>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</si>
  <si>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</si>
  <si>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</si>
  <si>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</si>
  <si>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</si>
  <si>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</si>
  <si>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</si>
  <si>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</si>
  <si>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</si>
  <si>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</si>
  <si>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</si>
  <si>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</si>
  <si>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</si>
  <si>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</si>
  <si>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</si>
  <si>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</si>
  <si>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</si>
  <si>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</si>
  <si>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</si>
  <si>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</si>
  <si>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</si>
  <si>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</si>
  <si>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</si>
  <si>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</si>
  <si>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</si>
  <si>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</si>
  <si>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</si>
  <si>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</si>
  <si>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</si>
  <si>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</si>
  <si>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</si>
  <si>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</si>
  <si>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</si>
  <si>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</si>
  <si>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</si>
  <si>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Add Factor on Other ARP aid to S+L to match data</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</si>
  <si>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</si>
  <si>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</si>
  <si>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</si>
  <si>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</si>
  <si>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</si>
  <si>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</si>
  <si>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</si>
  <si>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</si>
  <si>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</si>
  <si>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</si>
  <si>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</si>
  <si>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</si>
  <si>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</si>
  <si>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</si>
  <si>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</si>
  <si>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</si>
  <si>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</si>
  <si>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</si>
  <si>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</si>
  <si>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</si>
  <si>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</si>
  <si>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</si>
  <si>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</si>
  <si>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</si>
  <si>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</si>
  <si>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</si>
  <si>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</si>
  <si>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</si>
  <si>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</si>
  <si>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</si>
  <si>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</si>
  <si>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</si>
  <si>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</si>
  <si>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</si>
  <si>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</si>
  <si>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</si>
  <si>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</si>
  <si>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</si>
  <si>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</si>
  <si>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</si>
  <si>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</si>
  <si>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</si>
  <si>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</si>
  <si>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</si>
  <si>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</si>
  <si>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</si>
  <si>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</si>
  <si>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</si>
  <si>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</si>
  <si>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</si>
  <si>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</si>
  <si>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</si>
  <si>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</si>
  <si>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</si>
  <si>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</si>
  <si>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</si>
  <si>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</si>
  <si>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</si>
  <si>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</si>
  <si>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</si>
  <si>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</si>
  <si>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</si>
  <si>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</si>
  <si>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</si>
  <si>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</si>
  <si>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</si>
  <si>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</si>
  <si>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</si>
  <si>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</si>
  <si>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</si>
  <si>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</si>
  <si>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</si>
  <si>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</si>
  <si>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</si>
  <si>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</si>
  <si>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</si>
  <si>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</si>
  <si>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</si>
  <si>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</si>
  <si>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</si>
  <si>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</si>
  <si>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</si>
  <si>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</si>
  <si>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</si>
  <si>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</si>
  <si>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</si>
  <si>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</si>
  <si>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</si>
  <si>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</si>
  <si>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</si>
  <si>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</si>
  <si>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</si>
  <si>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</si>
  <si>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</si>
  <si>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</si>
  <si>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</si>
  <si>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</si>
  <si>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</si>
  <si>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</si>
  <si>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</si>
  <si>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</si>
  <si>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</si>
  <si>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</si>
  <si>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</si>
  <si>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</si>
  <si>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</si>
  <si>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</si>
  <si>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</si>
  <si>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</si>
  <si>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</si>
  <si>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</si>
  <si>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</si>
  <si>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</si>
  <si>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</si>
  <si>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</si>
  <si>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</si>
  <si>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</si>
  <si>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</si>
  <si>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</si>
  <si>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</si>
  <si>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</si>
  <si>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</si>
  <si>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</si>
  <si>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</si>
  <si>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</si>
  <si>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</si>
  <si>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</si>
  <si>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</si>
  <si>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</si>
  <si>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</si>
  <si>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</si>
  <si>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</si>
  <si>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</si>
  <si>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</si>
  <si>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</si>
  <si>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</si>
  <si>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</si>
  <si>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</si>
  <si>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</si>
  <si>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</si>
  <si>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</si>
  <si>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</si>
  <si>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</si>
  <si>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</si>
  <si>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</si>
  <si>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</si>
  <si>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</si>
  <si>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</si>
  <si>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</si>
  <si>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</si>
  <si>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</si>
  <si>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</si>
  <si>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</si>
  <si>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</si>
  <si>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</si>
  <si>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</si>
  <si>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</si>
  <si>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</si>
  <si>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</si>
  <si>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</si>
  <si>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</si>
  <si>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</si>
  <si>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</si>
  <si>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</si>
  <si>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</si>
  <si>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</si>
  <si>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</si>
  <si>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Total Other non-ARP Legislation (See Table 3)</t>
  </si>
  <si>
    <t>Federal Social Benefits minus UI, Medicare and Rebate Checks, and other legislation</t>
  </si>
  <si>
    <t>Federal Social Benefits ex Medicare, UI, and Checks</t>
  </si>
  <si>
    <t>ARP Social Benefits other than UI, Medicare, Medicaid, Rebate Checks)</t>
  </si>
  <si>
    <t>Other Vulnerable excluding SNAP</t>
  </si>
  <si>
    <t>Other Direct Aid</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</si>
  <si>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</si>
  <si>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</si>
  <si>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</si>
  <si>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</si>
  <si>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</si>
  <si>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</si>
  <si>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</si>
  <si>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</si>
  <si>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</si>
  <si>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</si>
  <si>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Annual Growth Rate</t>
  </si>
  <si>
    <t>Calculating Total Other Non-ARP Legislation</t>
  </si>
  <si>
    <t>Total Accounted for in Detail</t>
  </si>
  <si>
    <t>Total NIPA Social Benefits</t>
  </si>
  <si>
    <t xml:space="preserve">NIPA ex counted for </t>
  </si>
  <si>
    <t>NIPA counterfactual ex Medicare and UI</t>
  </si>
  <si>
    <t>?</t>
  </si>
  <si>
    <t>Social Security</t>
  </si>
  <si>
    <t>gftfbdx</t>
  </si>
  <si>
    <t>Other Non-ARP Legislation (used in Table 1)</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</si>
  <si>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</si>
  <si>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</si>
  <si>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</si>
  <si>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</si>
  <si>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</si>
  <si>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</si>
  <si>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</si>
  <si>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</si>
  <si>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</si>
  <si>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</si>
  <si>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</si>
  <si>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</si>
  <si>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</si>
  <si>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</si>
  <si>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</si>
  <si>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</si>
  <si>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</si>
  <si>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</si>
  <si>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</si>
  <si>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</si>
  <si>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</si>
  <si>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</si>
  <si>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</si>
  <si>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</si>
  <si>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</si>
  <si>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</si>
  <si>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</si>
  <si>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</si>
  <si>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</si>
  <si>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</si>
  <si>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</si>
  <si>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</si>
  <si>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</si>
  <si>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</si>
  <si>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</si>
  <si>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</si>
  <si>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</si>
  <si>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</si>
  <si>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</si>
  <si>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</si>
  <si>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</si>
  <si>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</si>
  <si>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</si>
  <si>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</si>
  <si>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</si>
  <si>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</si>
  <si>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</si>
  <si>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</si>
  <si>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</si>
  <si>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</si>
  <si>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</si>
  <si>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</si>
  <si>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</si>
  <si>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</si>
  <si>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</si>
  <si>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Wage and Salaries</t>
  </si>
  <si>
    <t>haver?</t>
  </si>
  <si>
    <t>&lt;- I think need to fill in with new quarter of data</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</si>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</sst>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7" tint="0.59999389629810485"/>
        <bgColor indexed="64"/>
      </patternFill>
    </fill>
  </fills>
  <borders count="44">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cellStyleXfs>
  <cellXfs count="117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3" fontId="15" fillId="0" borderId="4"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15" fillId="0" borderId="1" xfId="0" applyFont="1" applyBorder="1" applyAlignment="1">
      <alignment horizontal="left" wrapText="1" indent="3"/>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2" xfId="0" applyNumberFormat="1" applyFont="1" applyBorder="1"/>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8" fontId="15" fillId="0" borderId="17" xfId="0" applyNumberFormat="1" applyFont="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0" fontId="49" fillId="0" borderId="24" xfId="0" applyFont="1" applyBorder="1"/>
    <xf numFmtId="0" fontId="49" fillId="0" borderId="25" xfId="0" applyFont="1" applyBorder="1"/>
    <xf numFmtId="3" fontId="65" fillId="0" borderId="0" xfId="0" applyNumberFormat="1" applyFont="1"/>
    <xf numFmtId="3" fontId="65" fillId="0" borderId="4" xfId="0" applyNumberFormat="1" applyFont="1" applyBorder="1"/>
    <xf numFmtId="0" fontId="49" fillId="0" borderId="26" xfId="0" applyFont="1" applyBorder="1"/>
    <xf numFmtId="0" fontId="15" fillId="0" borderId="19" xfId="0" applyFont="1" applyBorder="1" applyAlignment="1">
      <alignment horizontal="left"/>
    </xf>
    <xf numFmtId="0" fontId="15" fillId="0" borderId="18" xfId="0" applyFont="1" applyBorder="1" applyAlignment="1">
      <alignment horizontal="left" indent="1"/>
    </xf>
    <xf numFmtId="0" fontId="15" fillId="0" borderId="18" xfId="0" applyFont="1" applyBorder="1" applyAlignment="1">
      <alignment horizontal="left" indent="8"/>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4" xfId="0" applyBorder="1" applyAlignment="1">
      <alignment horizontal="left" wrapText="1" indent="2"/>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0" borderId="4" xfId="0" applyBorder="1" applyAlignment="1">
      <alignment horizontal="left" indent="2"/>
    </xf>
    <xf numFmtId="0" fontId="0" fillId="0" borderId="4" xfId="0" applyBorder="1" applyAlignment="1">
      <alignment horizontal="left"/>
    </xf>
    <xf numFmtId="0" fontId="0" fillId="44" borderId="4" xfId="0" applyFill="1" applyBorder="1" applyAlignment="1">
      <alignment horizontal="center"/>
    </xf>
    <xf numFmtId="166" fontId="0" fillId="0" borderId="0" xfId="0" applyNumberFormat="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16" xfId="0" applyBorder="1" applyAlignment="1">
      <alignment horizontal="left" wrapText="1" indent="2"/>
    </xf>
    <xf numFmtId="0" fontId="0" fillId="0" borderId="3" xfId="0" applyBorder="1" applyAlignment="1">
      <alignment horizontal="left" indent="2"/>
    </xf>
    <xf numFmtId="0" fontId="0" fillId="0" borderId="17"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0" fontId="50" fillId="0" borderId="1" xfId="0" applyFont="1" applyBorder="1" applyAlignment="1">
      <alignment horizontal="right" wrapText="1" indent="3"/>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0" borderId="0" xfId="0" applyAlignment="1">
      <alignment horizontal="left" wrapText="1" indent="2"/>
    </xf>
    <xf numFmtId="0" fontId="0" fillId="41" borderId="17" xfId="0" applyFill="1" applyBorder="1" applyAlignment="1">
      <alignment horizontal="center"/>
    </xf>
    <xf numFmtId="0" fontId="0" fillId="41" borderId="27" xfId="0" applyFill="1" applyBorder="1" applyAlignment="1">
      <alignment horizontal="center" wrapText="1"/>
    </xf>
    <xf numFmtId="0" fontId="0" fillId="41" borderId="18" xfId="0" applyFill="1" applyBorder="1" applyAlignment="1">
      <alignment horizontal="center" wrapText="1"/>
    </xf>
    <xf numFmtId="0" fontId="0" fillId="41" borderId="3"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8" xfId="0" applyBorder="1" applyAlignment="1">
      <alignment horizontal="center"/>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50" fillId="0" borderId="17" xfId="0" applyNumberFormat="1" applyFont="1" applyBorder="1" applyAlignment="1">
      <alignment horizontal="center"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0" fontId="15" fillId="0" borderId="15" xfId="0"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0" borderId="1" xfId="0" quotePrefix="1" applyNumberFormat="1" applyFont="1" applyBorder="1" applyAlignment="1">
      <alignment horizontal="left" vertical="top"/>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0" fontId="50" fillId="50" borderId="0" xfId="0" applyFont="1" applyFill="1" applyAlignment="1">
      <alignment horizontal="center"/>
    </xf>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166" fontId="0" fillId="0" borderId="16" xfId="0" applyNumberFormat="1" applyBorder="1" applyAlignment="1">
      <alignment horizontal="center"/>
    </xf>
    <xf numFmtId="0" fontId="0" fillId="0" borderId="19" xfId="0"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1" fontId="15" fillId="0" borderId="16" xfId="0" quotePrefix="1"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 fontId="15" fillId="3" borderId="0" xfId="0" applyNumberFormat="1" applyFont="1" applyFill="1" applyAlignment="1">
      <alignment horizontal="center" wrapText="1"/>
    </xf>
    <xf numFmtId="0" fontId="55" fillId="3" borderId="1" xfId="0" applyFont="1" applyFill="1" applyBorder="1" applyAlignment="1">
      <alignment horizontal="left" indent="2"/>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164" fontId="21" fillId="0" borderId="16" xfId="0" applyNumberFormat="1" applyFont="1" applyBorder="1" applyAlignment="1">
      <alignment horizontal="center"/>
    </xf>
    <xf numFmtId="167" fontId="15" fillId="45" borderId="0" xfId="2" applyNumberFormat="1" applyFont="1" applyFill="1" applyBorder="1" applyAlignment="1">
      <alignment horizontal="center"/>
    </xf>
    <xf numFmtId="167" fontId="15" fillId="61" borderId="0" xfId="2" applyNumberFormat="1" applyFont="1" applyFill="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167" fontId="15" fillId="3" borderId="2" xfId="2" applyNumberFormat="1" applyFont="1" applyFill="1" applyBorder="1" applyAlignment="1">
      <alignment horizontal="center"/>
    </xf>
    <xf numFmtId="167" fontId="15" fillId="0" borderId="17" xfId="0"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3" fontId="15" fillId="45" borderId="4" xfId="0" applyNumberFormat="1" applyFont="1" applyFill="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15" fillId="3" borderId="4" xfId="0"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0" fontId="50" fillId="0" borderId="4" xfId="0" applyFont="1" applyBorder="1" applyAlignment="1">
      <alignment horizontal="center"/>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0" borderId="0" xfId="0"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49" fillId="49" borderId="0" xfId="0" applyFont="1" applyFill="1" applyAlignment="1">
      <alignment horizontal="center"/>
    </xf>
    <xf numFmtId="0" fontId="15" fillId="0" borderId="2" xfId="0" applyFont="1" applyBorder="1" applyAlignment="1">
      <alignment horizontal="left" vertical="top" wrapText="1"/>
    </xf>
    <xf numFmtId="0" fontId="15" fillId="0" borderId="21" xfId="0" applyFont="1" applyBorder="1" applyAlignment="1">
      <alignment horizontal="left" vertical="top" wrapText="1"/>
    </xf>
    <xf numFmtId="0" fontId="49" fillId="0" borderId="21" xfId="0" applyFont="1" applyBorder="1" applyAlignment="1">
      <alignment horizontal="center"/>
    </xf>
    <xf numFmtId="0" fontId="22" fillId="0" borderId="15" xfId="0" applyFont="1" applyBorder="1" applyAlignment="1">
      <alignment horizontal="center"/>
    </xf>
    <xf numFmtId="0" fontId="22" fillId="0" borderId="21" xfId="0" applyFont="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2557.2559999999999</c:v>
                </c:pt>
                <c:pt idx="8">
                  <c:v>0</c:v>
                </c:pt>
                <c:pt idx="9">
                  <c:v>0</c:v>
                </c:pt>
                <c:pt idx="10">
                  <c:v>0</c:v>
                </c:pt>
                <c:pt idx="11">
                  <c:v>0</c:v>
                </c:pt>
                <c:pt idx="12">
                  <c:v>2520.7155797945193</c:v>
                </c:pt>
                <c:pt idx="13">
                  <c:v>2542.351642129157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34.256</c:v>
                </c:pt>
                <c:pt idx="8">
                  <c:v>0</c:v>
                </c:pt>
                <c:pt idx="9">
                  <c:v>0</c:v>
                </c:pt>
                <c:pt idx="10">
                  <c:v>0</c:v>
                </c:pt>
                <c:pt idx="11">
                  <c:v>0</c:v>
                </c:pt>
                <c:pt idx="12">
                  <c:v>-125.2844202054808</c:v>
                </c:pt>
                <c:pt idx="13">
                  <c:v>-129.64835787084289</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2571.1559999999999</c:v>
                </c:pt>
                <c:pt idx="8">
                  <c:v>0</c:v>
                </c:pt>
                <c:pt idx="9">
                  <c:v>0</c:v>
                </c:pt>
                <c:pt idx="10">
                  <c:v>0</c:v>
                </c:pt>
                <c:pt idx="11">
                  <c:v>0</c:v>
                </c:pt>
                <c:pt idx="12">
                  <c:v>2565.3155797945192</c:v>
                </c:pt>
                <c:pt idx="13">
                  <c:v>2584.1516421291572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2413.2559999999999</c:v>
                      </c:pt>
                      <c:pt idx="8">
                        <c:v>0</c:v>
                      </c:pt>
                      <c:pt idx="9">
                        <c:v>0</c:v>
                      </c:pt>
                      <c:pt idx="10">
                        <c:v>0</c:v>
                      </c:pt>
                      <c:pt idx="11">
                        <c:v>0</c:v>
                      </c:pt>
                      <c:pt idx="12">
                        <c:v>2360.7155797945193</c:v>
                      </c:pt>
                      <c:pt idx="13">
                        <c:v>2383.351642129157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8.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620" customWidth="1"/>
    <col min="3" max="16" width="8.54296875" style="620"/>
    <col min="17" max="17" width="38.54296875" style="620" customWidth="1"/>
  </cols>
  <sheetData>
    <row r="10" spans="2:17" x14ac:dyDescent="0.35">
      <c r="B10" s="1018" t="s">
        <v>0</v>
      </c>
      <c r="C10" s="1019"/>
      <c r="D10" s="1019"/>
      <c r="E10" s="1019"/>
      <c r="F10" s="1019"/>
      <c r="G10" s="1019"/>
      <c r="H10" s="1019"/>
      <c r="I10" s="1019"/>
      <c r="J10" s="1019"/>
      <c r="K10" s="1019"/>
      <c r="L10" s="1019"/>
      <c r="M10" s="1019"/>
      <c r="N10" s="1019"/>
      <c r="O10" s="1019"/>
      <c r="P10" s="1019"/>
      <c r="Q10" s="1020"/>
    </row>
    <row r="11" spans="2:17" x14ac:dyDescent="0.35">
      <c r="B11" s="1021"/>
      <c r="C11" s="1022"/>
      <c r="D11" s="1022"/>
      <c r="E11" s="1022"/>
      <c r="F11" s="1022"/>
      <c r="G11" s="1022"/>
      <c r="H11" s="1022"/>
      <c r="I11" s="1022"/>
      <c r="J11" s="1022"/>
      <c r="K11" s="1022"/>
      <c r="L11" s="1022"/>
      <c r="M11" s="1022"/>
      <c r="N11" s="1022"/>
      <c r="O11" s="1022"/>
      <c r="P11" s="1022"/>
      <c r="Q11" s="1023"/>
    </row>
    <row r="12" spans="2:17" x14ac:dyDescent="0.35">
      <c r="B12" s="617" t="s">
        <v>1</v>
      </c>
      <c r="C12" s="943"/>
      <c r="D12" s="943"/>
      <c r="E12" s="943"/>
      <c r="F12" s="943"/>
      <c r="G12" s="943"/>
      <c r="H12" s="943"/>
      <c r="I12" s="943"/>
      <c r="J12" s="943"/>
      <c r="K12" s="943"/>
      <c r="L12" s="943"/>
      <c r="M12" s="943"/>
      <c r="N12" s="943"/>
      <c r="O12" s="943"/>
      <c r="P12" s="943"/>
      <c r="Q12" s="621"/>
    </row>
    <row r="13" spans="2:17" x14ac:dyDescent="0.35">
      <c r="B13" s="618" t="s">
        <v>2</v>
      </c>
      <c r="C13" s="1024" t="s">
        <v>3</v>
      </c>
      <c r="D13" s="1024"/>
      <c r="E13" s="1024"/>
      <c r="F13" s="1024"/>
      <c r="G13" s="1024"/>
      <c r="H13" s="1024"/>
      <c r="I13" s="1024"/>
      <c r="J13" s="1024"/>
      <c r="K13" s="1024"/>
      <c r="L13" s="1024"/>
      <c r="M13" s="1024"/>
      <c r="N13" s="1024"/>
      <c r="O13" s="1024"/>
      <c r="P13" s="1024"/>
      <c r="Q13" s="1025"/>
    </row>
    <row r="14" spans="2:17" x14ac:dyDescent="0.35">
      <c r="B14" s="618" t="s">
        <v>4</v>
      </c>
      <c r="C14" s="622" t="s">
        <v>5</v>
      </c>
      <c r="D14" s="622"/>
      <c r="E14" s="622"/>
      <c r="F14" s="622"/>
      <c r="G14" s="622"/>
      <c r="H14" s="622"/>
      <c r="I14" s="622"/>
      <c r="J14" s="622"/>
      <c r="K14" s="622"/>
      <c r="L14" s="622"/>
      <c r="M14" s="622"/>
      <c r="N14" s="622"/>
      <c r="O14" s="622"/>
      <c r="P14" s="622"/>
      <c r="Q14" s="623"/>
    </row>
    <row r="15" spans="2:17" x14ac:dyDescent="0.35">
      <c r="B15" s="618" t="s">
        <v>6</v>
      </c>
      <c r="C15" s="622" t="s">
        <v>7</v>
      </c>
      <c r="D15" s="622"/>
      <c r="E15" s="622"/>
      <c r="F15" s="622"/>
      <c r="G15" s="622"/>
      <c r="H15" s="622"/>
      <c r="I15" s="622"/>
      <c r="J15" s="622"/>
      <c r="K15" s="622"/>
      <c r="L15" s="622"/>
      <c r="M15" s="622"/>
      <c r="N15" s="622"/>
      <c r="O15" s="622"/>
      <c r="P15" s="622"/>
      <c r="Q15" s="623"/>
    </row>
    <row r="16" spans="2:17" x14ac:dyDescent="0.35">
      <c r="B16" s="618" t="s">
        <v>8</v>
      </c>
      <c r="C16" s="622" t="s">
        <v>9</v>
      </c>
      <c r="D16" s="622"/>
      <c r="E16" s="622"/>
      <c r="F16" s="622"/>
      <c r="G16" s="622"/>
      <c r="H16" s="622"/>
      <c r="I16" s="622"/>
      <c r="J16" s="622"/>
      <c r="K16" s="622"/>
      <c r="L16" s="622"/>
      <c r="M16" s="622"/>
      <c r="N16" s="622"/>
      <c r="O16" s="622"/>
      <c r="P16" s="622"/>
      <c r="Q16" s="623"/>
    </row>
    <row r="17" spans="2:17" x14ac:dyDescent="0.35">
      <c r="B17" s="618" t="s">
        <v>10</v>
      </c>
      <c r="C17" s="622" t="s">
        <v>11</v>
      </c>
      <c r="D17" s="622"/>
      <c r="E17" s="622"/>
      <c r="F17" s="622"/>
      <c r="G17" s="622"/>
      <c r="H17" s="622"/>
      <c r="I17" s="622"/>
      <c r="J17" s="622"/>
      <c r="K17" s="622"/>
      <c r="L17" s="622"/>
      <c r="M17" s="622"/>
      <c r="N17" s="622"/>
      <c r="O17" s="622"/>
      <c r="P17" s="622"/>
      <c r="Q17" s="623"/>
    </row>
    <row r="18" spans="2:17" x14ac:dyDescent="0.35">
      <c r="B18" s="618" t="s">
        <v>12</v>
      </c>
      <c r="C18" s="622" t="s">
        <v>13</v>
      </c>
      <c r="D18" s="622"/>
      <c r="E18" s="622"/>
      <c r="F18" s="622"/>
      <c r="G18" s="622"/>
      <c r="H18" s="622"/>
      <c r="I18" s="622"/>
      <c r="J18" s="622"/>
      <c r="K18" s="622"/>
      <c r="L18" s="622"/>
      <c r="M18" s="622"/>
      <c r="N18" s="622"/>
      <c r="O18" s="622"/>
      <c r="P18" s="622"/>
      <c r="Q18" s="623"/>
    </row>
    <row r="19" spans="2:17" x14ac:dyDescent="0.35">
      <c r="B19" s="618" t="s">
        <v>14</v>
      </c>
      <c r="C19" s="622" t="s">
        <v>15</v>
      </c>
      <c r="D19" s="622"/>
      <c r="E19" s="622"/>
      <c r="F19" s="622"/>
      <c r="G19" s="622"/>
      <c r="H19" s="622"/>
      <c r="I19" s="622"/>
      <c r="J19" s="622"/>
      <c r="K19" s="622"/>
      <c r="L19" s="622"/>
      <c r="M19" s="622"/>
      <c r="N19" s="622"/>
      <c r="O19" s="622"/>
      <c r="P19" s="622"/>
      <c r="Q19" s="623"/>
    </row>
    <row r="20" spans="2:17" ht="30.65" customHeight="1" x14ac:dyDescent="0.35">
      <c r="B20" s="618" t="s">
        <v>16</v>
      </c>
      <c r="C20" s="1016" t="s">
        <v>17</v>
      </c>
      <c r="D20" s="1016"/>
      <c r="E20" s="1016"/>
      <c r="F20" s="1016"/>
      <c r="G20" s="1016"/>
      <c r="H20" s="1016"/>
      <c r="I20" s="1016"/>
      <c r="J20" s="1016"/>
      <c r="K20" s="1016"/>
      <c r="L20" s="1016"/>
      <c r="M20" s="1016"/>
      <c r="N20" s="1016"/>
      <c r="O20" s="1016"/>
      <c r="P20" s="1016"/>
      <c r="Q20" s="1017"/>
    </row>
    <row r="21" spans="2:17" x14ac:dyDescent="0.35">
      <c r="B21" s="618" t="s">
        <v>18</v>
      </c>
      <c r="C21" s="622" t="s">
        <v>19</v>
      </c>
      <c r="D21" s="622"/>
      <c r="E21" s="622"/>
      <c r="F21" s="622"/>
      <c r="G21" s="622"/>
      <c r="H21" s="622"/>
      <c r="I21" s="622"/>
      <c r="J21" s="622"/>
      <c r="K21" s="622"/>
      <c r="L21" s="622"/>
      <c r="M21" s="622"/>
      <c r="N21" s="622"/>
      <c r="O21" s="622"/>
      <c r="P21" s="622"/>
      <c r="Q21" s="623"/>
    </row>
    <row r="22" spans="2:17" ht="32.15" customHeight="1" x14ac:dyDescent="0.35">
      <c r="B22" s="618" t="s">
        <v>20</v>
      </c>
      <c r="C22" s="1016" t="s">
        <v>21</v>
      </c>
      <c r="D22" s="1016"/>
      <c r="E22" s="1016"/>
      <c r="F22" s="1016"/>
      <c r="G22" s="1016"/>
      <c r="H22" s="1016"/>
      <c r="I22" s="1016"/>
      <c r="J22" s="1016"/>
      <c r="K22" s="1016"/>
      <c r="L22" s="1016"/>
      <c r="M22" s="1016"/>
      <c r="N22" s="1016"/>
      <c r="O22" s="1016"/>
      <c r="P22" s="1016"/>
      <c r="Q22" s="1017"/>
    </row>
    <row r="23" spans="2:17" ht="31" customHeight="1" x14ac:dyDescent="0.35">
      <c r="B23" s="618" t="s">
        <v>22</v>
      </c>
      <c r="C23" s="1016" t="s">
        <v>23</v>
      </c>
      <c r="D23" s="1016"/>
      <c r="E23" s="1016"/>
      <c r="F23" s="1016"/>
      <c r="G23" s="1016"/>
      <c r="H23" s="1016"/>
      <c r="I23" s="1016"/>
      <c r="J23" s="1016"/>
      <c r="K23" s="1016"/>
      <c r="L23" s="1016"/>
      <c r="M23" s="1016"/>
      <c r="N23" s="1016"/>
      <c r="O23" s="1016"/>
      <c r="P23" s="1016"/>
      <c r="Q23" s="1017"/>
    </row>
    <row r="24" spans="2:17" x14ac:dyDescent="0.35">
      <c r="B24" s="618" t="s">
        <v>24</v>
      </c>
      <c r="C24" s="622" t="s">
        <v>25</v>
      </c>
      <c r="D24" s="622"/>
      <c r="E24" s="622"/>
      <c r="F24" s="622"/>
      <c r="G24" s="622"/>
      <c r="H24" s="622"/>
      <c r="I24" s="622"/>
      <c r="J24" s="622"/>
      <c r="K24" s="622"/>
      <c r="L24" s="622"/>
      <c r="M24" s="622"/>
      <c r="N24" s="622"/>
      <c r="O24" s="622"/>
      <c r="P24" s="622"/>
      <c r="Q24" s="623"/>
    </row>
    <row r="25" spans="2:17" x14ac:dyDescent="0.35">
      <c r="B25" s="618" t="s">
        <v>26</v>
      </c>
      <c r="C25" s="622" t="s">
        <v>27</v>
      </c>
      <c r="D25" s="622"/>
      <c r="E25" s="622"/>
      <c r="F25" s="622"/>
      <c r="G25" s="622"/>
      <c r="H25" s="622"/>
      <c r="I25" s="622"/>
      <c r="J25" s="622"/>
      <c r="K25" s="622"/>
      <c r="L25" s="622"/>
      <c r="M25" s="622"/>
      <c r="N25" s="622"/>
      <c r="O25" s="622"/>
      <c r="P25" s="622"/>
      <c r="Q25" s="623"/>
    </row>
    <row r="26" spans="2:17" x14ac:dyDescent="0.35">
      <c r="B26" s="618" t="s">
        <v>28</v>
      </c>
      <c r="C26" s="622" t="s">
        <v>29</v>
      </c>
      <c r="D26" s="622"/>
      <c r="E26" s="622"/>
      <c r="F26" s="622"/>
      <c r="G26" s="622"/>
      <c r="H26" s="622"/>
      <c r="I26" s="622"/>
      <c r="J26" s="622"/>
      <c r="K26" s="622"/>
      <c r="L26" s="622"/>
      <c r="M26" s="622"/>
      <c r="N26" s="622"/>
      <c r="O26" s="622"/>
      <c r="P26" s="622"/>
      <c r="Q26" s="623"/>
    </row>
    <row r="27" spans="2:17" x14ac:dyDescent="0.35">
      <c r="B27" s="618" t="s">
        <v>30</v>
      </c>
      <c r="C27" s="622" t="s">
        <v>31</v>
      </c>
      <c r="D27" s="622"/>
      <c r="E27" s="622"/>
      <c r="F27" s="622"/>
      <c r="G27" s="622"/>
      <c r="H27" s="622"/>
      <c r="I27" s="622"/>
      <c r="J27" s="622"/>
      <c r="K27" s="622"/>
      <c r="L27" s="622"/>
      <c r="M27" s="622"/>
      <c r="N27" s="622"/>
      <c r="O27" s="622"/>
      <c r="P27" s="622"/>
      <c r="Q27" s="623"/>
    </row>
    <row r="28" spans="2:17" x14ac:dyDescent="0.35">
      <c r="B28" s="618" t="s">
        <v>32</v>
      </c>
      <c r="C28" s="622" t="s">
        <v>33</v>
      </c>
      <c r="D28" s="622"/>
      <c r="E28" s="622"/>
      <c r="F28" s="622"/>
      <c r="G28" s="622"/>
      <c r="H28" s="622"/>
      <c r="I28" s="622"/>
      <c r="J28" s="622"/>
      <c r="K28" s="622"/>
      <c r="L28" s="622"/>
      <c r="M28" s="622"/>
      <c r="N28" s="622"/>
      <c r="O28" s="622"/>
      <c r="P28" s="622"/>
      <c r="Q28" s="623"/>
    </row>
    <row r="29" spans="2:17" x14ac:dyDescent="0.35">
      <c r="B29" s="618" t="s">
        <v>34</v>
      </c>
      <c r="C29" s="622" t="s">
        <v>35</v>
      </c>
      <c r="D29" s="622"/>
      <c r="E29" s="622"/>
      <c r="F29" s="622"/>
      <c r="G29" s="622"/>
      <c r="H29" s="622"/>
      <c r="I29" s="622"/>
      <c r="J29" s="622"/>
      <c r="K29" s="622"/>
      <c r="L29" s="622"/>
      <c r="M29" s="622"/>
      <c r="N29" s="622"/>
      <c r="O29" s="622"/>
      <c r="P29" s="622"/>
      <c r="Q29" s="623"/>
    </row>
    <row r="30" spans="2:17" x14ac:dyDescent="0.35">
      <c r="B30" s="618"/>
      <c r="C30" s="622"/>
      <c r="D30" s="622"/>
      <c r="E30" s="622"/>
      <c r="F30" s="622"/>
      <c r="G30" s="622"/>
      <c r="H30" s="622"/>
      <c r="I30" s="622"/>
      <c r="J30" s="622"/>
      <c r="K30" s="622"/>
      <c r="L30" s="622"/>
      <c r="M30" s="622"/>
      <c r="N30" s="622"/>
      <c r="O30" s="622"/>
      <c r="P30" s="622"/>
      <c r="Q30" s="623"/>
    </row>
    <row r="31" spans="2:17" x14ac:dyDescent="0.35">
      <c r="B31" s="619" t="s">
        <v>36</v>
      </c>
      <c r="C31" s="622"/>
      <c r="D31" s="622"/>
      <c r="E31" s="622"/>
      <c r="F31" s="622"/>
      <c r="G31" s="622"/>
      <c r="H31" s="622"/>
      <c r="I31" s="622"/>
      <c r="J31" s="622"/>
      <c r="K31" s="622"/>
      <c r="L31" s="622"/>
      <c r="M31" s="622"/>
      <c r="N31" s="622"/>
      <c r="O31" s="622"/>
      <c r="P31" s="622"/>
      <c r="Q31" s="623"/>
    </row>
    <row r="32" spans="2:17" x14ac:dyDescent="0.35">
      <c r="B32" s="618" t="s">
        <v>37</v>
      </c>
      <c r="C32" s="622"/>
      <c r="D32" s="622"/>
      <c r="E32" s="622"/>
      <c r="F32" s="622"/>
      <c r="G32" s="622"/>
      <c r="H32" s="622"/>
      <c r="I32" s="622"/>
      <c r="J32" s="622"/>
      <c r="K32" s="622"/>
      <c r="L32" s="622"/>
      <c r="M32" s="622"/>
      <c r="N32" s="622"/>
      <c r="O32" s="622"/>
      <c r="P32" s="622"/>
      <c r="Q32" s="623"/>
    </row>
    <row r="33" spans="2:17" ht="30.65" customHeight="1" x14ac:dyDescent="0.35">
      <c r="B33" s="1015" t="s">
        <v>38</v>
      </c>
      <c r="C33" s="1016"/>
      <c r="D33" s="1016"/>
      <c r="E33" s="1016"/>
      <c r="F33" s="1016"/>
      <c r="G33" s="1016"/>
      <c r="H33" s="1016"/>
      <c r="I33" s="1016"/>
      <c r="J33" s="1016"/>
      <c r="K33" s="1016"/>
      <c r="L33" s="1016"/>
      <c r="M33" s="1016"/>
      <c r="N33" s="1016"/>
      <c r="O33" s="1016"/>
      <c r="P33" s="1016"/>
      <c r="Q33" s="1017"/>
    </row>
    <row r="34" spans="2:17" x14ac:dyDescent="0.35">
      <c r="B34" s="627" t="s">
        <v>39</v>
      </c>
      <c r="C34" s="622"/>
      <c r="D34" s="622"/>
      <c r="E34" s="622"/>
      <c r="F34" s="622"/>
      <c r="G34" s="622"/>
      <c r="H34" s="622"/>
      <c r="I34" s="622"/>
      <c r="J34" s="622"/>
      <c r="K34" s="622"/>
      <c r="L34" s="622"/>
      <c r="M34" s="622"/>
      <c r="N34" s="622"/>
      <c r="O34" s="622"/>
      <c r="P34" s="622"/>
      <c r="Q34" s="623"/>
    </row>
    <row r="35" spans="2:17" x14ac:dyDescent="0.35">
      <c r="B35" s="618" t="s">
        <v>40</v>
      </c>
      <c r="C35" s="622"/>
      <c r="D35" s="622"/>
      <c r="E35" s="622"/>
      <c r="F35" s="622"/>
      <c r="G35" s="622"/>
      <c r="H35" s="622"/>
      <c r="I35" s="622"/>
      <c r="J35" s="622"/>
      <c r="K35" s="622"/>
      <c r="L35" s="622"/>
      <c r="M35" s="622"/>
      <c r="N35" s="622"/>
      <c r="O35" s="622"/>
      <c r="P35" s="622"/>
      <c r="Q35" s="623"/>
    </row>
    <row r="36" spans="2:17" x14ac:dyDescent="0.35">
      <c r="B36" s="618" t="s">
        <v>41</v>
      </c>
      <c r="C36" s="622"/>
      <c r="D36" s="622"/>
      <c r="E36" s="622"/>
      <c r="F36" s="622"/>
      <c r="G36" s="622"/>
      <c r="H36" s="622"/>
      <c r="I36" s="622"/>
      <c r="J36" s="622"/>
      <c r="K36" s="622"/>
      <c r="L36" s="622"/>
      <c r="M36" s="622"/>
      <c r="N36" s="622"/>
      <c r="O36" s="622"/>
      <c r="P36" s="622"/>
      <c r="Q36" s="623"/>
    </row>
    <row r="37" spans="2:17" x14ac:dyDescent="0.35">
      <c r="B37" s="626" t="s">
        <v>42</v>
      </c>
      <c r="C37" s="624"/>
      <c r="D37" s="624"/>
      <c r="E37" s="624"/>
      <c r="F37" s="624"/>
      <c r="G37" s="624"/>
      <c r="H37" s="624"/>
      <c r="I37" s="624"/>
      <c r="J37" s="624"/>
      <c r="K37" s="624"/>
      <c r="L37" s="624"/>
      <c r="M37" s="624"/>
      <c r="N37" s="624"/>
      <c r="O37" s="624"/>
      <c r="P37" s="624"/>
      <c r="Q37" s="625"/>
    </row>
    <row r="40" spans="2:17" x14ac:dyDescent="0.35">
      <c r="B40" s="628"/>
      <c r="C40" s="628"/>
      <c r="D40" s="628"/>
      <c r="E40" s="628"/>
      <c r="F40" s="628"/>
      <c r="G40" s="628"/>
      <c r="H40" s="628"/>
      <c r="I40" s="628"/>
      <c r="J40" s="628"/>
      <c r="K40" s="628"/>
      <c r="L40" s="628"/>
      <c r="M40" s="628"/>
      <c r="N40" s="628"/>
      <c r="O40" s="628"/>
      <c r="P40" s="628"/>
      <c r="Q40" s="628"/>
    </row>
    <row r="41" spans="2:17" x14ac:dyDescent="0.35">
      <c r="B41" s="628"/>
      <c r="C41" s="628"/>
      <c r="D41" s="628"/>
      <c r="E41" s="628"/>
      <c r="F41" s="628"/>
      <c r="G41" s="628"/>
      <c r="H41" s="628"/>
      <c r="I41" s="628"/>
      <c r="J41" s="628"/>
      <c r="K41" s="628"/>
      <c r="L41" s="628"/>
      <c r="M41" s="628"/>
      <c r="N41" s="628"/>
      <c r="O41" s="628"/>
      <c r="P41" s="628"/>
      <c r="Q41" s="628"/>
    </row>
    <row r="42" spans="2:17" x14ac:dyDescent="0.35">
      <c r="B42" s="628"/>
      <c r="C42" s="628"/>
      <c r="D42" s="628"/>
      <c r="E42" s="628"/>
      <c r="F42" s="628"/>
      <c r="G42" s="628"/>
      <c r="H42" s="628"/>
      <c r="I42" s="628"/>
      <c r="J42" s="628"/>
      <c r="K42" s="628"/>
      <c r="L42" s="628"/>
      <c r="M42" s="628"/>
      <c r="N42" s="628"/>
      <c r="O42" s="628"/>
      <c r="P42" s="628"/>
      <c r="Q42" s="628"/>
    </row>
    <row r="43" spans="2:17" x14ac:dyDescent="0.35">
      <c r="B43" s="628"/>
      <c r="C43" s="628"/>
      <c r="D43" s="628"/>
      <c r="E43" s="628"/>
      <c r="F43" s="628"/>
      <c r="G43" s="628"/>
      <c r="H43" s="628"/>
      <c r="I43" s="628"/>
      <c r="J43" s="628"/>
      <c r="K43" s="628"/>
      <c r="L43" s="628"/>
      <c r="M43" s="628"/>
      <c r="N43" s="628"/>
      <c r="O43" s="628"/>
      <c r="P43" s="628"/>
      <c r="Q43" s="628"/>
    </row>
    <row r="44" spans="2:17" x14ac:dyDescent="0.35">
      <c r="B44" s="628"/>
      <c r="C44" s="628"/>
      <c r="D44" s="628"/>
      <c r="E44" s="628"/>
      <c r="F44" s="628"/>
      <c r="G44" s="628"/>
      <c r="H44" s="628"/>
      <c r="I44" s="628"/>
      <c r="J44" s="628"/>
      <c r="K44" s="628"/>
      <c r="L44" s="628"/>
      <c r="M44" s="628"/>
      <c r="N44" s="628"/>
      <c r="O44" s="628"/>
      <c r="P44" s="628"/>
      <c r="Q44" s="628"/>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453125" customWidth="1"/>
    <col min="2" max="2" width="27.1796875" customWidth="1"/>
  </cols>
  <sheetData>
    <row r="1" spans="1:7" s="282" customFormat="1" x14ac:dyDescent="0.35">
      <c r="A1" s="282" t="s">
        <v>230</v>
      </c>
      <c r="B1" s="282" t="s">
        <v>231</v>
      </c>
      <c r="C1" s="181" t="s">
        <v>376</v>
      </c>
      <c r="D1" s="181" t="s">
        <v>377</v>
      </c>
      <c r="E1" s="181" t="s">
        <v>378</v>
      </c>
      <c r="F1" s="181" t="s">
        <v>379</v>
      </c>
      <c r="G1" s="282" t="s">
        <v>380</v>
      </c>
    </row>
    <row r="2" spans="1:7" ht="29" x14ac:dyDescent="0.35">
      <c r="A2" s="1" t="s">
        <v>381</v>
      </c>
      <c r="B2" t="s">
        <v>382</v>
      </c>
      <c r="C2">
        <f>Grants!J74</f>
        <v>334.61</v>
      </c>
      <c r="D2">
        <f>Grants!K74</f>
        <v>301.78300000000002</v>
      </c>
      <c r="E2">
        <f>Grants!L74</f>
        <v>280.16300000000001</v>
      </c>
      <c r="F2">
        <f>Grants!M74</f>
        <v>310.15499999999997</v>
      </c>
      <c r="G2">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zoomScale="70" workbookViewId="0">
      <selection activeCell="O13" sqref="O13"/>
    </sheetView>
  </sheetViews>
  <sheetFormatPr defaultColWidth="10.81640625" defaultRowHeight="14.5" x14ac:dyDescent="0.35"/>
  <cols>
    <col min="1" max="1" width="70.81640625" bestFit="1" customWidth="1"/>
    <col min="2" max="2" width="70.81640625" customWidth="1"/>
  </cols>
  <sheetData>
    <row r="1" spans="1:45" ht="15.5" x14ac:dyDescent="0.35">
      <c r="A1" s="1041" t="s">
        <v>383</v>
      </c>
      <c r="B1" s="1041"/>
      <c r="C1" s="1041"/>
      <c r="D1" s="1041"/>
      <c r="E1" s="1041"/>
      <c r="F1" s="1041"/>
      <c r="G1" s="1041"/>
      <c r="H1" s="1041"/>
      <c r="I1" s="1041"/>
      <c r="J1" s="1041"/>
      <c r="K1" s="1041"/>
      <c r="L1" s="1041"/>
      <c r="M1" s="1041"/>
      <c r="N1" s="1041"/>
      <c r="O1" s="1041"/>
    </row>
    <row r="2" spans="1:45" ht="31" x14ac:dyDescent="0.35">
      <c r="A2" s="222"/>
      <c r="B2" s="222" t="s">
        <v>231</v>
      </c>
      <c r="C2" s="239">
        <v>1</v>
      </c>
      <c r="D2" s="239">
        <f>C2+1</f>
        <v>2</v>
      </c>
      <c r="E2" s="239">
        <f t="shared" ref="E2:N2" si="0">D2+1</f>
        <v>3</v>
      </c>
      <c r="F2" s="239">
        <f t="shared" si="0"/>
        <v>4</v>
      </c>
      <c r="G2" s="239">
        <f t="shared" si="0"/>
        <v>5</v>
      </c>
      <c r="H2" s="239">
        <f t="shared" si="0"/>
        <v>6</v>
      </c>
      <c r="I2" s="239">
        <f t="shared" si="0"/>
        <v>7</v>
      </c>
      <c r="J2" s="239">
        <f t="shared" si="0"/>
        <v>8</v>
      </c>
      <c r="K2" s="239">
        <f t="shared" si="0"/>
        <v>9</v>
      </c>
      <c r="L2" s="239">
        <f t="shared" si="0"/>
        <v>10</v>
      </c>
      <c r="M2" s="239">
        <f t="shared" si="0"/>
        <v>11</v>
      </c>
      <c r="N2" s="239">
        <f t="shared" si="0"/>
        <v>12</v>
      </c>
      <c r="O2" s="237" t="s">
        <v>384</v>
      </c>
    </row>
    <row r="3" spans="1:45" ht="15.5" x14ac:dyDescent="0.35">
      <c r="A3" s="224" t="s">
        <v>385</v>
      </c>
      <c r="B3" s="700" t="s">
        <v>386</v>
      </c>
      <c r="C3" s="942">
        <v>0.22500000000000001</v>
      </c>
      <c r="D3" s="942">
        <v>0.22500000000000001</v>
      </c>
      <c r="E3" s="942">
        <v>0.22500000000000001</v>
      </c>
      <c r="F3" s="942">
        <v>0.22500000000000001</v>
      </c>
      <c r="G3" s="941">
        <v>0</v>
      </c>
      <c r="H3" s="941">
        <v>0</v>
      </c>
      <c r="I3" s="941">
        <v>0</v>
      </c>
      <c r="J3" s="941">
        <v>0</v>
      </c>
      <c r="K3" s="941">
        <v>0</v>
      </c>
      <c r="L3" s="941">
        <v>0</v>
      </c>
      <c r="M3" s="941">
        <v>0</v>
      </c>
      <c r="N3" s="941">
        <v>0</v>
      </c>
      <c r="O3" s="223"/>
      <c r="P3" s="942"/>
      <c r="Q3" s="942"/>
      <c r="R3" s="942"/>
      <c r="S3" s="942"/>
      <c r="T3" s="941"/>
      <c r="U3" s="941"/>
      <c r="V3" s="941"/>
      <c r="W3" s="941"/>
      <c r="X3" s="941"/>
      <c r="Y3" s="941"/>
      <c r="Z3" s="941"/>
      <c r="AA3" s="941"/>
      <c r="AC3" s="940"/>
      <c r="AD3" s="940"/>
      <c r="AE3" s="940"/>
      <c r="AF3" s="940"/>
      <c r="AG3" s="940"/>
      <c r="AH3" s="940"/>
      <c r="AI3" s="940"/>
      <c r="AJ3" s="940"/>
      <c r="AK3" s="940"/>
      <c r="AL3" s="940"/>
      <c r="AM3" s="940"/>
      <c r="AN3" s="940"/>
      <c r="AO3" s="940"/>
      <c r="AP3" s="940"/>
      <c r="AQ3" s="940"/>
      <c r="AR3" s="940"/>
      <c r="AS3" s="940"/>
    </row>
    <row r="4" spans="1:45" ht="15.5" x14ac:dyDescent="0.35">
      <c r="A4" s="226" t="s">
        <v>387</v>
      </c>
      <c r="B4" s="701" t="s">
        <v>388</v>
      </c>
      <c r="C4" s="942">
        <v>-3.3333333333333333E-2</v>
      </c>
      <c r="D4" s="942">
        <v>-3.3333333333333333E-2</v>
      </c>
      <c r="E4" s="942">
        <v>-3.3333333333333333E-2</v>
      </c>
      <c r="F4" s="942">
        <v>-3.3333333333333333E-2</v>
      </c>
      <c r="G4" s="942">
        <v>-3.3333333333333333E-2</v>
      </c>
      <c r="H4" s="942">
        <v>-3.3333333333333333E-2</v>
      </c>
      <c r="I4" s="942">
        <v>-3.3333333333333333E-2</v>
      </c>
      <c r="J4" s="942">
        <v>-3.3333333333333333E-2</v>
      </c>
      <c r="K4" s="942">
        <v>-3.3333333333333333E-2</v>
      </c>
      <c r="L4" s="942">
        <v>-3.3333333333333333E-2</v>
      </c>
      <c r="M4" s="942">
        <v>-3.3333333333333333E-2</v>
      </c>
      <c r="N4" s="942">
        <v>-3.3333333333333333E-2</v>
      </c>
      <c r="O4" s="238">
        <f>SUM(C4:N4)</f>
        <v>-0.39999999999999997</v>
      </c>
      <c r="P4" s="942"/>
      <c r="Q4" s="942"/>
      <c r="R4" s="942"/>
      <c r="S4" s="942"/>
      <c r="T4" s="942"/>
      <c r="U4" s="942"/>
      <c r="V4" s="942"/>
      <c r="W4" s="942"/>
      <c r="X4" s="942"/>
      <c r="Y4" s="942"/>
      <c r="Z4" s="942"/>
      <c r="AA4" s="942"/>
      <c r="AC4" s="940"/>
      <c r="AD4" s="940"/>
      <c r="AE4" s="940"/>
      <c r="AF4" s="940"/>
      <c r="AG4" s="940"/>
      <c r="AH4" s="940"/>
      <c r="AI4" s="940"/>
      <c r="AJ4" s="940"/>
      <c r="AK4" s="940"/>
      <c r="AL4" s="940"/>
      <c r="AM4" s="940"/>
      <c r="AN4" s="940"/>
    </row>
    <row r="5" spans="1:45" ht="15.5" x14ac:dyDescent="0.35">
      <c r="A5" s="226" t="s">
        <v>389</v>
      </c>
      <c r="B5" s="701" t="s">
        <v>390</v>
      </c>
      <c r="C5" s="942">
        <v>-0.12</v>
      </c>
      <c r="D5" s="942">
        <v>-0.12</v>
      </c>
      <c r="E5" s="942">
        <v>-0.06</v>
      </c>
      <c r="F5" s="942">
        <v>-0.06</v>
      </c>
      <c r="G5" s="942">
        <v>-0.06</v>
      </c>
      <c r="H5" s="942">
        <v>-0.06</v>
      </c>
      <c r="I5" s="942">
        <v>-0.06</v>
      </c>
      <c r="J5" s="942">
        <v>-0.06</v>
      </c>
      <c r="K5" s="942">
        <v>0</v>
      </c>
      <c r="L5" s="942">
        <v>0</v>
      </c>
      <c r="M5" s="942">
        <v>0</v>
      </c>
      <c r="N5" s="942">
        <v>0</v>
      </c>
      <c r="O5" s="238">
        <f t="shared" ref="O5:O13" si="1">SUM(C5:N5)</f>
        <v>-0.60000000000000009</v>
      </c>
      <c r="P5" s="942"/>
      <c r="Q5" s="942"/>
      <c r="R5" s="942"/>
      <c r="S5" s="942"/>
      <c r="T5" s="942"/>
      <c r="U5" s="942"/>
      <c r="V5" s="942"/>
      <c r="W5" s="942"/>
      <c r="X5" s="942"/>
      <c r="Y5" s="942"/>
      <c r="Z5" s="942"/>
      <c r="AA5" s="942"/>
      <c r="AC5" s="940"/>
      <c r="AD5" s="940"/>
      <c r="AE5" s="940"/>
      <c r="AF5" s="940"/>
      <c r="AG5" s="940"/>
      <c r="AH5" s="940"/>
      <c r="AI5" s="940"/>
      <c r="AJ5" s="940"/>
      <c r="AK5" s="940"/>
      <c r="AL5" s="940"/>
      <c r="AM5" s="940"/>
      <c r="AN5" s="940"/>
    </row>
    <row r="6" spans="1:45" ht="15.5" x14ac:dyDescent="0.35">
      <c r="A6" s="224" t="s">
        <v>391</v>
      </c>
      <c r="B6" s="700" t="s">
        <v>265</v>
      </c>
      <c r="C6" s="942">
        <v>0.24499999999999997</v>
      </c>
      <c r="D6" s="942">
        <v>0.105</v>
      </c>
      <c r="E6" s="942">
        <v>5.5999999999999994E-2</v>
      </c>
      <c r="F6" s="942">
        <v>5.5999999999999994E-2</v>
      </c>
      <c r="G6" s="942">
        <v>5.5999999999999994E-2</v>
      </c>
      <c r="H6" s="942">
        <v>5.5999999999999994E-2</v>
      </c>
      <c r="I6" s="942">
        <v>5.5999999999999994E-2</v>
      </c>
      <c r="J6" s="942">
        <v>5.5999999999999994E-2</v>
      </c>
      <c r="K6" s="942">
        <v>0</v>
      </c>
      <c r="L6" s="942">
        <v>0</v>
      </c>
      <c r="M6" s="942">
        <v>0</v>
      </c>
      <c r="N6" s="942">
        <v>0</v>
      </c>
      <c r="O6" s="238">
        <f t="shared" si="1"/>
        <v>0.68600000000000017</v>
      </c>
      <c r="P6" s="942"/>
      <c r="Q6" s="942"/>
      <c r="R6" s="942"/>
      <c r="S6" s="942"/>
      <c r="T6" s="942"/>
      <c r="U6" s="942"/>
      <c r="V6" s="942"/>
      <c r="W6" s="942"/>
      <c r="X6" s="942"/>
      <c r="Y6" s="942"/>
      <c r="Z6" s="942"/>
      <c r="AA6" s="942"/>
      <c r="AC6" s="940"/>
      <c r="AD6" s="940"/>
      <c r="AE6" s="940"/>
      <c r="AF6" s="940"/>
      <c r="AG6" s="940"/>
      <c r="AH6" s="940"/>
      <c r="AI6" s="940"/>
      <c r="AJ6" s="940"/>
      <c r="AK6" s="940"/>
      <c r="AL6" s="940"/>
      <c r="AM6" s="940"/>
      <c r="AN6" s="940"/>
    </row>
    <row r="7" spans="1:45" ht="15.5" x14ac:dyDescent="0.35">
      <c r="A7" s="224" t="s">
        <v>392</v>
      </c>
      <c r="B7" s="700" t="s">
        <v>393</v>
      </c>
      <c r="C7" s="942">
        <v>0.315</v>
      </c>
      <c r="D7" s="942">
        <v>0.315</v>
      </c>
      <c r="E7" s="942">
        <v>9.0000000000000011E-2</v>
      </c>
      <c r="F7" s="942">
        <v>9.0000000000000011E-2</v>
      </c>
      <c r="G7" s="942">
        <v>4.5000000000000005E-2</v>
      </c>
      <c r="H7" s="942">
        <v>4.5000000000000005E-2</v>
      </c>
      <c r="I7" s="942">
        <v>0</v>
      </c>
      <c r="J7" s="942">
        <v>0</v>
      </c>
      <c r="K7" s="942">
        <v>0</v>
      </c>
      <c r="L7" s="942">
        <v>0</v>
      </c>
      <c r="M7" s="942">
        <v>0</v>
      </c>
      <c r="N7" s="942">
        <v>0</v>
      </c>
      <c r="O7" s="238">
        <f t="shared" si="1"/>
        <v>0.9</v>
      </c>
      <c r="P7" s="942"/>
      <c r="Q7" s="942"/>
      <c r="R7" s="942"/>
      <c r="S7" s="942"/>
      <c r="T7" s="942"/>
      <c r="U7" s="942"/>
      <c r="V7" s="942"/>
      <c r="W7" s="942"/>
      <c r="X7" s="942"/>
      <c r="Y7" s="942"/>
      <c r="Z7" s="942"/>
      <c r="AA7" s="942"/>
      <c r="AC7" s="940"/>
      <c r="AD7" s="940"/>
      <c r="AE7" s="940"/>
      <c r="AF7" s="940"/>
      <c r="AG7" s="940"/>
      <c r="AH7" s="940"/>
      <c r="AI7" s="940"/>
      <c r="AJ7" s="940"/>
      <c r="AK7" s="940"/>
      <c r="AL7" s="940"/>
      <c r="AM7" s="940"/>
      <c r="AN7" s="940"/>
    </row>
    <row r="8" spans="1:45" ht="15.5" x14ac:dyDescent="0.35">
      <c r="A8" s="224" t="s">
        <v>394</v>
      </c>
      <c r="B8" s="700" t="s">
        <v>395</v>
      </c>
      <c r="C8" s="942">
        <v>0.22500000000000001</v>
      </c>
      <c r="D8" s="942">
        <v>0.22500000000000001</v>
      </c>
      <c r="E8" s="942">
        <v>0.22500000000000001</v>
      </c>
      <c r="F8" s="942">
        <v>0.22500000000000001</v>
      </c>
      <c r="G8" s="942">
        <v>0</v>
      </c>
      <c r="H8" s="942">
        <v>0</v>
      </c>
      <c r="I8" s="942">
        <v>0</v>
      </c>
      <c r="J8" s="942">
        <v>0</v>
      </c>
      <c r="K8" s="942">
        <v>0</v>
      </c>
      <c r="L8" s="942">
        <v>0</v>
      </c>
      <c r="M8" s="942">
        <v>0</v>
      </c>
      <c r="N8" s="942">
        <v>0</v>
      </c>
      <c r="O8" s="238">
        <f t="shared" si="1"/>
        <v>0.9</v>
      </c>
      <c r="P8" s="942"/>
      <c r="Q8" s="942"/>
      <c r="R8" s="942"/>
      <c r="S8" s="942"/>
      <c r="T8" s="942"/>
      <c r="U8" s="942"/>
      <c r="V8" s="942"/>
      <c r="W8" s="942"/>
      <c r="X8" s="942"/>
      <c r="Y8" s="942"/>
      <c r="Z8" s="942"/>
      <c r="AA8" s="942"/>
      <c r="AC8" s="940"/>
      <c r="AD8" s="940"/>
      <c r="AE8" s="940"/>
      <c r="AF8" s="940"/>
      <c r="AG8" s="940"/>
      <c r="AH8" s="940"/>
      <c r="AI8" s="940"/>
      <c r="AJ8" s="940"/>
      <c r="AK8" s="940"/>
      <c r="AL8" s="940"/>
      <c r="AM8" s="940"/>
      <c r="AN8" s="940"/>
    </row>
    <row r="9" spans="1:45" ht="15.5" x14ac:dyDescent="0.35">
      <c r="A9" s="224" t="s">
        <v>396</v>
      </c>
      <c r="B9" s="700" t="s">
        <v>397</v>
      </c>
      <c r="C9" s="942">
        <v>4.9500000000000002E-2</v>
      </c>
      <c r="D9" s="942">
        <v>4.2750000000000003E-2</v>
      </c>
      <c r="E9" s="942">
        <v>4.0500000000000001E-2</v>
      </c>
      <c r="F9" s="942">
        <v>3.8250000000000006E-2</v>
      </c>
      <c r="G9" s="942">
        <v>3.6000000000000004E-2</v>
      </c>
      <c r="H9" s="942">
        <v>3.6000000000000004E-2</v>
      </c>
      <c r="I9" s="942">
        <v>3.6000000000000004E-2</v>
      </c>
      <c r="J9" s="942">
        <v>3.6000000000000004E-2</v>
      </c>
      <c r="K9" s="942">
        <v>3.3750000000000002E-2</v>
      </c>
      <c r="L9" s="942">
        <v>3.3750000000000002E-2</v>
      </c>
      <c r="M9" s="942">
        <v>3.3750000000000002E-2</v>
      </c>
      <c r="N9" s="942">
        <v>3.3750000000000002E-2</v>
      </c>
      <c r="O9" s="238">
        <f t="shared" si="1"/>
        <v>0.45000000000000007</v>
      </c>
      <c r="P9" s="942"/>
      <c r="Q9" s="942"/>
      <c r="R9" s="942"/>
      <c r="S9" s="942"/>
      <c r="T9" s="942"/>
      <c r="U9" s="942"/>
      <c r="V9" s="942"/>
      <c r="W9" s="942"/>
      <c r="X9" s="942"/>
      <c r="Y9" s="942"/>
      <c r="Z9" s="942"/>
      <c r="AA9" s="942"/>
      <c r="AC9" s="940"/>
      <c r="AD9" s="940"/>
      <c r="AE9" s="940"/>
      <c r="AF9" s="940"/>
      <c r="AG9" s="940"/>
      <c r="AH9" s="940"/>
      <c r="AI9" s="940"/>
      <c r="AJ9" s="940"/>
      <c r="AK9" s="940"/>
      <c r="AL9" s="940"/>
      <c r="AM9" s="940"/>
      <c r="AN9" s="940"/>
    </row>
    <row r="10" spans="1:45" ht="15.5" x14ac:dyDescent="0.35">
      <c r="A10" s="224" t="s">
        <v>398</v>
      </c>
      <c r="B10" s="700" t="s">
        <v>267</v>
      </c>
      <c r="C10" s="942">
        <v>0.14000000000000001</v>
      </c>
      <c r="D10" s="942">
        <v>0.1</v>
      </c>
      <c r="E10" s="942">
        <v>0.1</v>
      </c>
      <c r="F10" s="942">
        <v>0.05</v>
      </c>
      <c r="G10" s="942">
        <v>0.05</v>
      </c>
      <c r="H10" s="942">
        <v>0.05</v>
      </c>
      <c r="I10" s="942">
        <v>0.05</v>
      </c>
      <c r="J10" s="942">
        <v>0.05</v>
      </c>
      <c r="K10" s="942">
        <v>0.05</v>
      </c>
      <c r="L10" s="942">
        <v>0</v>
      </c>
      <c r="M10" s="942">
        <v>0</v>
      </c>
      <c r="N10" s="942">
        <v>0</v>
      </c>
      <c r="O10" s="238">
        <f>SUM(C10:N10)</f>
        <v>0.64000000000000012</v>
      </c>
      <c r="P10" s="942"/>
      <c r="Q10" s="942"/>
      <c r="R10" s="942"/>
      <c r="S10" s="942"/>
      <c r="T10" s="942"/>
      <c r="U10" s="942"/>
      <c r="V10" s="942"/>
      <c r="W10" s="942"/>
      <c r="X10" s="942"/>
      <c r="Y10" s="942"/>
      <c r="Z10" s="942"/>
      <c r="AA10" s="942"/>
      <c r="AC10" s="940"/>
      <c r="AD10" s="940"/>
      <c r="AE10" s="940"/>
      <c r="AF10" s="940"/>
      <c r="AG10" s="940"/>
      <c r="AH10" s="940"/>
      <c r="AI10" s="940"/>
      <c r="AJ10" s="940"/>
      <c r="AK10" s="940"/>
      <c r="AL10" s="940"/>
      <c r="AM10" s="940"/>
      <c r="AN10" s="940"/>
    </row>
    <row r="11" spans="1:45" ht="15.5" x14ac:dyDescent="0.35">
      <c r="A11" s="224" t="s">
        <v>399</v>
      </c>
      <c r="B11" s="700" t="s">
        <v>400</v>
      </c>
      <c r="C11" s="942">
        <v>0.2</v>
      </c>
      <c r="D11" s="942">
        <v>0.17</v>
      </c>
      <c r="E11" s="942">
        <v>0.16</v>
      </c>
      <c r="F11" s="942">
        <v>0.15</v>
      </c>
      <c r="G11" s="942">
        <v>0.09</v>
      </c>
      <c r="H11" s="942">
        <v>0.05</v>
      </c>
      <c r="I11" s="942">
        <v>0.05</v>
      </c>
      <c r="J11" s="942">
        <v>0.04</v>
      </c>
      <c r="K11" s="942">
        <v>0</v>
      </c>
      <c r="L11" s="942">
        <v>0</v>
      </c>
      <c r="M11" s="942">
        <v>0</v>
      </c>
      <c r="N11" s="942">
        <v>0</v>
      </c>
      <c r="O11" s="238">
        <f>SUM(C11:N11)</f>
        <v>0.91000000000000014</v>
      </c>
      <c r="P11" s="942"/>
      <c r="Q11" s="942"/>
      <c r="R11" s="942"/>
      <c r="S11" s="942"/>
      <c r="T11" s="942"/>
      <c r="U11" s="942"/>
      <c r="V11" s="942"/>
      <c r="W11" s="942"/>
      <c r="X11" s="942"/>
      <c r="Y11" s="942"/>
      <c r="Z11" s="942"/>
      <c r="AA11" s="942"/>
      <c r="AC11" s="940"/>
      <c r="AD11" s="940"/>
      <c r="AE11" s="940"/>
      <c r="AF11" s="940"/>
      <c r="AG11" s="940"/>
      <c r="AH11" s="940"/>
      <c r="AI11" s="940"/>
      <c r="AJ11" s="940"/>
      <c r="AK11" s="940"/>
      <c r="AL11" s="940"/>
      <c r="AM11" s="940"/>
      <c r="AN11" s="940"/>
    </row>
    <row r="12" spans="1:45" ht="31" x14ac:dyDescent="0.35">
      <c r="A12" s="225" t="s">
        <v>401</v>
      </c>
      <c r="B12" s="702" t="s">
        <v>402</v>
      </c>
      <c r="C12" s="942">
        <v>0.2</v>
      </c>
      <c r="D12" s="942">
        <v>0.17</v>
      </c>
      <c r="E12" s="942">
        <v>0.16</v>
      </c>
      <c r="F12" s="942">
        <v>0.15</v>
      </c>
      <c r="G12" s="942">
        <v>0.09</v>
      </c>
      <c r="H12" s="942">
        <v>0.05</v>
      </c>
      <c r="I12" s="942">
        <v>0.05</v>
      </c>
      <c r="J12" s="942">
        <v>0.04</v>
      </c>
      <c r="K12" s="942">
        <v>0</v>
      </c>
      <c r="L12" s="942">
        <v>0</v>
      </c>
      <c r="M12" s="942">
        <v>0</v>
      </c>
      <c r="N12" s="942">
        <v>0</v>
      </c>
      <c r="O12" s="238">
        <f t="shared" si="1"/>
        <v>0.91000000000000014</v>
      </c>
      <c r="P12" s="942"/>
      <c r="Q12" s="942"/>
      <c r="R12" s="942"/>
      <c r="S12" s="942"/>
      <c r="T12" s="942"/>
      <c r="U12" s="942"/>
      <c r="V12" s="942"/>
      <c r="W12" s="942"/>
      <c r="X12" s="942"/>
      <c r="Y12" s="942"/>
      <c r="Z12" s="942"/>
      <c r="AA12" s="942"/>
      <c r="AC12" s="940"/>
      <c r="AD12" s="940"/>
      <c r="AE12" s="940"/>
      <c r="AF12" s="940"/>
      <c r="AG12" s="940"/>
      <c r="AH12" s="940"/>
      <c r="AI12" s="940"/>
      <c r="AJ12" s="940"/>
      <c r="AK12" s="940"/>
      <c r="AL12" s="940"/>
      <c r="AM12" s="940"/>
      <c r="AN12" s="940"/>
    </row>
    <row r="13" spans="1:45" ht="31" x14ac:dyDescent="0.35">
      <c r="A13" s="225" t="s">
        <v>403</v>
      </c>
      <c r="B13" s="702" t="s">
        <v>404</v>
      </c>
      <c r="C13" s="942">
        <v>0.14000000000000001</v>
      </c>
      <c r="D13" s="942">
        <v>0.1</v>
      </c>
      <c r="E13" s="942">
        <v>0.1</v>
      </c>
      <c r="F13" s="942">
        <v>0.05</v>
      </c>
      <c r="G13" s="942">
        <v>0.05</v>
      </c>
      <c r="H13" s="942">
        <v>0.05</v>
      </c>
      <c r="I13" s="942">
        <v>0.05</v>
      </c>
      <c r="J13" s="942">
        <v>0.05</v>
      </c>
      <c r="K13" s="942">
        <v>0.05</v>
      </c>
      <c r="L13" s="942">
        <v>0</v>
      </c>
      <c r="M13" s="942">
        <v>0</v>
      </c>
      <c r="N13" s="942">
        <v>0</v>
      </c>
      <c r="O13" s="238">
        <f t="shared" si="1"/>
        <v>0.64000000000000012</v>
      </c>
      <c r="P13" s="942"/>
      <c r="Q13" s="942"/>
      <c r="R13" s="942"/>
      <c r="S13" s="942"/>
      <c r="T13" s="942"/>
      <c r="U13" s="942"/>
      <c r="V13" s="942"/>
      <c r="W13" s="942"/>
      <c r="X13" s="942"/>
      <c r="Y13" s="942"/>
      <c r="Z13" s="942"/>
      <c r="AA13" s="942"/>
      <c r="AC13" s="940"/>
      <c r="AD13" s="940"/>
      <c r="AE13" s="940"/>
      <c r="AF13" s="940"/>
      <c r="AG13" s="940"/>
      <c r="AH13" s="940"/>
      <c r="AI13" s="940"/>
      <c r="AJ13" s="940"/>
      <c r="AK13" s="940"/>
      <c r="AL13" s="940"/>
      <c r="AM13" s="940"/>
      <c r="AN13" s="940"/>
    </row>
    <row r="14" spans="1:45" ht="46.5" x14ac:dyDescent="0.35">
      <c r="A14" s="225" t="s">
        <v>405</v>
      </c>
      <c r="B14" s="702" t="s">
        <v>406</v>
      </c>
      <c r="C14" s="942">
        <v>0.04</v>
      </c>
      <c r="D14" s="942">
        <v>0.04</v>
      </c>
      <c r="E14" s="942">
        <v>1.7000000000000001E-2</v>
      </c>
      <c r="F14" s="942">
        <v>1.7000000000000001E-2</v>
      </c>
      <c r="G14" s="942">
        <v>1.7000000000000001E-2</v>
      </c>
      <c r="H14" s="942">
        <v>1.7000000000000001E-2</v>
      </c>
      <c r="I14" s="942">
        <v>1.7000000000000001E-2</v>
      </c>
      <c r="J14" s="942">
        <v>1.7000000000000001E-2</v>
      </c>
      <c r="K14" s="942">
        <v>1.7000000000000001E-2</v>
      </c>
      <c r="L14" s="942">
        <v>1.7000000000000001E-2</v>
      </c>
      <c r="M14" s="942">
        <v>1.7000000000000001E-2</v>
      </c>
      <c r="N14" s="942">
        <v>1.7000000000000001E-2</v>
      </c>
      <c r="O14" s="238">
        <f>SUM(C14:N14)</f>
        <v>0.25000000000000011</v>
      </c>
      <c r="P14" s="942"/>
      <c r="Q14" s="942"/>
      <c r="R14" s="942"/>
      <c r="S14" s="942"/>
      <c r="T14" s="942"/>
      <c r="U14" s="942"/>
      <c r="V14" s="942"/>
      <c r="W14" s="942"/>
      <c r="X14" s="942"/>
      <c r="Y14" s="942"/>
      <c r="Z14" s="942"/>
      <c r="AA14" s="942"/>
      <c r="AC14" s="940"/>
      <c r="AD14" s="940"/>
      <c r="AE14" s="940"/>
      <c r="AF14" s="940"/>
      <c r="AG14" s="940"/>
      <c r="AH14" s="940"/>
      <c r="AI14" s="940"/>
      <c r="AJ14" s="940"/>
      <c r="AK14" s="940"/>
      <c r="AL14" s="940"/>
      <c r="AM14" s="940"/>
      <c r="AN14" s="940"/>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zoomScale="60" zoomScaleNormal="70" workbookViewId="0">
      <selection activeCell="M9" sqref="M9:P10"/>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042" t="s">
        <v>78</v>
      </c>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42"/>
      <c r="AA1" s="1042"/>
      <c r="AB1" s="1042"/>
      <c r="AC1" s="1042"/>
    </row>
    <row r="2" spans="2:30" ht="14.15" customHeight="1" x14ac:dyDescent="0.3">
      <c r="B2" s="1043" t="s">
        <v>407</v>
      </c>
      <c r="C2" s="1043"/>
      <c r="D2" s="1043"/>
      <c r="E2" s="1043"/>
      <c r="F2" s="1043"/>
      <c r="G2" s="1043"/>
      <c r="H2" s="1043"/>
      <c r="I2" s="1043"/>
      <c r="J2" s="1043"/>
      <c r="K2" s="1043"/>
      <c r="L2" s="1043"/>
      <c r="M2" s="1043"/>
      <c r="N2" s="1043"/>
      <c r="O2" s="1043"/>
      <c r="P2" s="1043"/>
      <c r="Q2" s="1043"/>
      <c r="R2" s="1043"/>
      <c r="S2" s="1043"/>
      <c r="T2" s="1043"/>
      <c r="U2" s="1043"/>
      <c r="V2" s="1043"/>
      <c r="W2" s="1043"/>
      <c r="X2" s="1043"/>
      <c r="Y2" s="1043"/>
      <c r="Z2" s="1043"/>
      <c r="AA2" s="1043"/>
      <c r="AB2" s="1043"/>
      <c r="AC2" s="1043"/>
    </row>
    <row r="3" spans="2:30" x14ac:dyDescent="0.3">
      <c r="B3" s="1043"/>
      <c r="C3" s="1043"/>
      <c r="D3" s="1043"/>
      <c r="E3" s="1043"/>
      <c r="F3" s="1043"/>
      <c r="G3" s="1043"/>
      <c r="H3" s="1043"/>
      <c r="I3" s="1043"/>
      <c r="J3" s="1043"/>
      <c r="K3" s="1043"/>
      <c r="L3" s="1043"/>
      <c r="M3" s="1043"/>
      <c r="N3" s="1043"/>
      <c r="O3" s="1043"/>
      <c r="P3" s="1043"/>
      <c r="Q3" s="1043"/>
      <c r="R3" s="1043"/>
      <c r="S3" s="1043"/>
      <c r="T3" s="1043"/>
      <c r="U3" s="1043"/>
      <c r="V3" s="1043"/>
      <c r="W3" s="1043"/>
      <c r="X3" s="1043"/>
      <c r="Y3" s="1043"/>
      <c r="Z3" s="1043"/>
      <c r="AA3" s="1043"/>
      <c r="AB3" s="1043"/>
      <c r="AC3" s="1043"/>
    </row>
    <row r="4" spans="2:30" x14ac:dyDescent="0.3">
      <c r="B4" s="1043"/>
      <c r="C4" s="1043"/>
      <c r="D4" s="1043"/>
      <c r="E4" s="1043"/>
      <c r="F4" s="1043"/>
      <c r="G4" s="1043"/>
      <c r="H4" s="1043"/>
      <c r="I4" s="1043"/>
      <c r="J4" s="1043"/>
      <c r="K4" s="1043"/>
      <c r="L4" s="1043"/>
      <c r="M4" s="1043"/>
      <c r="N4" s="1043"/>
      <c r="O4" s="1043"/>
      <c r="P4" s="1043"/>
      <c r="Q4" s="1043"/>
      <c r="R4" s="1043"/>
      <c r="S4" s="1043"/>
      <c r="T4" s="1043"/>
      <c r="U4" s="1043"/>
      <c r="V4" s="1043"/>
      <c r="W4" s="1043"/>
      <c r="X4" s="1043"/>
      <c r="Y4" s="1043"/>
      <c r="Z4" s="1043"/>
      <c r="AA4" s="1043"/>
      <c r="AB4" s="1043"/>
      <c r="AC4" s="1043"/>
    </row>
    <row r="5" spans="2:30" x14ac:dyDescent="0.3">
      <c r="B5" s="1043"/>
      <c r="C5" s="1043"/>
      <c r="D5" s="1043"/>
      <c r="E5" s="1043"/>
      <c r="F5" s="1043"/>
      <c r="G5" s="1043"/>
      <c r="H5" s="1043"/>
      <c r="I5" s="1043"/>
      <c r="J5" s="1043"/>
      <c r="K5" s="1043"/>
      <c r="L5" s="1043"/>
      <c r="M5" s="1043"/>
      <c r="N5" s="1043"/>
      <c r="O5" s="1043"/>
      <c r="P5" s="1043"/>
      <c r="Q5" s="1043"/>
      <c r="R5" s="1043"/>
      <c r="S5" s="1043"/>
      <c r="T5" s="1043"/>
      <c r="U5" s="1043"/>
      <c r="V5" s="1043"/>
      <c r="W5" s="1043"/>
      <c r="X5" s="1043"/>
      <c r="Y5" s="1043"/>
      <c r="Z5" s="1043"/>
      <c r="AA5" s="1043"/>
      <c r="AB5" s="1043"/>
      <c r="AC5" s="1043"/>
    </row>
    <row r="6" spans="2:30" ht="38.5" customHeight="1" x14ac:dyDescent="0.3">
      <c r="B6" s="1043"/>
      <c r="C6" s="1043"/>
      <c r="D6" s="1043"/>
      <c r="E6" s="1043"/>
      <c r="F6" s="1043"/>
      <c r="G6" s="1043"/>
      <c r="H6" s="1043"/>
      <c r="I6" s="1043"/>
      <c r="J6" s="1043"/>
      <c r="K6" s="1043"/>
      <c r="L6" s="1043"/>
      <c r="M6" s="1043"/>
      <c r="N6" s="1043"/>
      <c r="O6" s="1043"/>
      <c r="P6" s="1043"/>
      <c r="Q6" s="1043"/>
      <c r="R6" s="1043"/>
      <c r="S6" s="1043"/>
      <c r="T6" s="1043"/>
      <c r="U6" s="1043"/>
      <c r="V6" s="1043"/>
      <c r="W6" s="1043"/>
      <c r="X6" s="1043"/>
      <c r="Y6" s="1043"/>
      <c r="Z6" s="1043"/>
      <c r="AA6" s="1043"/>
      <c r="AB6" s="1043"/>
      <c r="AC6" s="1043"/>
    </row>
    <row r="7" spans="2:30" x14ac:dyDescent="0.3">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x14ac:dyDescent="0.3">
      <c r="B8" s="1047" t="s">
        <v>408</v>
      </c>
      <c r="C8" s="1048"/>
      <c r="D8" s="1054" t="s">
        <v>409</v>
      </c>
      <c r="E8" s="1055"/>
      <c r="F8" s="1055"/>
      <c r="G8" s="1055"/>
      <c r="H8" s="1055"/>
      <c r="I8" s="1055"/>
      <c r="J8" s="1055"/>
      <c r="K8" s="1055"/>
      <c r="L8" s="1055"/>
      <c r="M8" s="1055"/>
      <c r="N8" s="1055"/>
      <c r="O8" s="1056"/>
      <c r="P8" s="1057" t="s">
        <v>410</v>
      </c>
      <c r="Q8" s="1058"/>
      <c r="R8" s="1058"/>
      <c r="S8" s="1058"/>
      <c r="T8" s="1058"/>
      <c r="U8" s="1058"/>
      <c r="V8" s="1058"/>
      <c r="W8" s="1058"/>
      <c r="X8" s="1058"/>
      <c r="Y8" s="1058"/>
      <c r="Z8" s="1058"/>
      <c r="AA8" s="1058"/>
      <c r="AB8" s="1058"/>
      <c r="AC8" s="1059"/>
    </row>
    <row r="9" spans="2:30" ht="12.65" customHeight="1" x14ac:dyDescent="0.3">
      <c r="B9" s="1049"/>
      <c r="C9" s="1050"/>
      <c r="D9" s="549">
        <v>2018</v>
      </c>
      <c r="E9" s="1044">
        <v>2019</v>
      </c>
      <c r="F9" s="1045"/>
      <c r="G9" s="1045"/>
      <c r="H9" s="1046"/>
      <c r="I9" s="1045">
        <v>2020</v>
      </c>
      <c r="J9" s="1045"/>
      <c r="K9" s="1045"/>
      <c r="L9" s="1045"/>
      <c r="M9" s="1044">
        <v>2021</v>
      </c>
      <c r="N9" s="1045"/>
      <c r="O9" s="1046"/>
      <c r="P9" s="868"/>
      <c r="Q9" s="1051">
        <v>2022</v>
      </c>
      <c r="R9" s="1052"/>
      <c r="S9" s="1052"/>
      <c r="T9" s="1052"/>
      <c r="U9" s="1051">
        <v>2023</v>
      </c>
      <c r="V9" s="1052"/>
      <c r="W9" s="1052"/>
      <c r="X9" s="1053"/>
      <c r="Y9" s="1051">
        <v>2024</v>
      </c>
      <c r="Z9" s="1052"/>
      <c r="AA9" s="1052"/>
      <c r="AB9" s="1052"/>
      <c r="AC9" s="334">
        <v>2025</v>
      </c>
    </row>
    <row r="10" spans="2:30" ht="14.5" customHeight="1" x14ac:dyDescent="0.3">
      <c r="B10" s="1049"/>
      <c r="C10" s="1050"/>
      <c r="D10" s="167" t="s">
        <v>411</v>
      </c>
      <c r="E10" s="167" t="s">
        <v>412</v>
      </c>
      <c r="F10" s="148" t="s">
        <v>413</v>
      </c>
      <c r="G10" s="148" t="s">
        <v>298</v>
      </c>
      <c r="H10" s="155" t="s">
        <v>411</v>
      </c>
      <c r="I10" s="149" t="s">
        <v>412</v>
      </c>
      <c r="J10" s="149" t="s">
        <v>413</v>
      </c>
      <c r="K10" s="149" t="s">
        <v>298</v>
      </c>
      <c r="L10" s="149" t="s">
        <v>411</v>
      </c>
      <c r="M10" s="35" t="s">
        <v>412</v>
      </c>
      <c r="N10" s="36" t="s">
        <v>413</v>
      </c>
      <c r="O10" s="37" t="s">
        <v>298</v>
      </c>
      <c r="P10" s="61" t="s">
        <v>411</v>
      </c>
      <c r="Q10" s="58" t="s">
        <v>412</v>
      </c>
      <c r="R10" s="59" t="s">
        <v>413</v>
      </c>
      <c r="S10" s="59" t="s">
        <v>298</v>
      </c>
      <c r="T10" s="59" t="s">
        <v>411</v>
      </c>
      <c r="U10" s="58" t="s">
        <v>412</v>
      </c>
      <c r="V10" s="59" t="s">
        <v>413</v>
      </c>
      <c r="W10" s="59" t="s">
        <v>298</v>
      </c>
      <c r="X10" s="60" t="s">
        <v>411</v>
      </c>
      <c r="Y10" s="58" t="s">
        <v>412</v>
      </c>
      <c r="Z10" s="468" t="s">
        <v>413</v>
      </c>
      <c r="AA10" s="59" t="s">
        <v>298</v>
      </c>
      <c r="AB10" s="59" t="s">
        <v>411</v>
      </c>
      <c r="AC10" s="61" t="s">
        <v>412</v>
      </c>
    </row>
    <row r="11" spans="2:30" x14ac:dyDescent="0.3">
      <c r="B11" s="361" t="s">
        <v>152</v>
      </c>
      <c r="C11" s="897" t="s">
        <v>414</v>
      </c>
      <c r="D11" s="594">
        <f>'Haver Pivoted'!GO14</f>
        <v>27.1</v>
      </c>
      <c r="E11" s="788">
        <f>'Haver Pivoted'!GP14</f>
        <v>28.4</v>
      </c>
      <c r="F11" s="788">
        <f>'Haver Pivoted'!GQ14</f>
        <v>27.8</v>
      </c>
      <c r="G11" s="788">
        <f>'Haver Pivoted'!GR14</f>
        <v>27.4</v>
      </c>
      <c r="H11" s="788">
        <f>'Haver Pivoted'!GS14</f>
        <v>26.8</v>
      </c>
      <c r="I11" s="788">
        <f>'Haver Pivoted'!GT14</f>
        <v>39.5</v>
      </c>
      <c r="J11" s="788">
        <f>'Haver Pivoted'!GU14</f>
        <v>1039.4000000000001</v>
      </c>
      <c r="K11" s="788">
        <f>'Haver Pivoted'!GV14</f>
        <v>767.8</v>
      </c>
      <c r="L11" s="788">
        <f>'Haver Pivoted'!GW14</f>
        <v>299.89999999999998</v>
      </c>
      <c r="M11" s="43">
        <f>'Haver Pivoted'!GX14</f>
        <v>565.79999999999995</v>
      </c>
      <c r="N11" s="43">
        <f>'Haver Pivoted'!GY14</f>
        <v>480.4</v>
      </c>
      <c r="O11" s="275">
        <f>'Haver Pivoted'!GZ14</f>
        <v>0</v>
      </c>
      <c r="P11" s="945">
        <f>P12+P13+P20</f>
        <v>0</v>
      </c>
      <c r="Q11" s="945">
        <f t="shared" ref="Q11:AC11" si="0">Q12+Q13+Q20</f>
        <v>0</v>
      </c>
      <c r="R11" s="945">
        <f t="shared" si="0"/>
        <v>0</v>
      </c>
      <c r="S11" s="945">
        <f t="shared" si="0"/>
        <v>0</v>
      </c>
      <c r="T11" s="945">
        <f t="shared" si="0"/>
        <v>0</v>
      </c>
      <c r="U11" s="945">
        <f t="shared" si="0"/>
        <v>0</v>
      </c>
      <c r="V11" s="945">
        <f t="shared" si="0"/>
        <v>0</v>
      </c>
      <c r="W11" s="945">
        <f t="shared" si="0"/>
        <v>0</v>
      </c>
      <c r="X11" s="945">
        <f t="shared" si="0"/>
        <v>0</v>
      </c>
      <c r="Y11" s="945">
        <f t="shared" si="0"/>
        <v>0</v>
      </c>
      <c r="Z11" s="945">
        <f t="shared" si="0"/>
        <v>0</v>
      </c>
      <c r="AA11" s="945">
        <f t="shared" si="0"/>
        <v>0</v>
      </c>
      <c r="AB11" s="945">
        <f t="shared" si="0"/>
        <v>0</v>
      </c>
      <c r="AC11" s="647">
        <f t="shared" si="0"/>
        <v>0</v>
      </c>
      <c r="AD11" s="34" t="s">
        <v>415</v>
      </c>
    </row>
    <row r="12" spans="2:30" x14ac:dyDescent="0.3">
      <c r="B12" s="355" t="s">
        <v>416</v>
      </c>
      <c r="C12" s="356" t="s">
        <v>417</v>
      </c>
      <c r="D12" s="146">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5">
        <f>'Haver Pivoted'!GZ63</f>
        <v>0</v>
      </c>
      <c r="P12" s="398">
        <v>0</v>
      </c>
      <c r="Q12" s="398">
        <f>MAX(P12*(Q22-5)/(P22-5),0)</f>
        <v>0</v>
      </c>
      <c r="R12" s="398">
        <f>MAX(Q12*(R22-5)/(Q22-5),0)</f>
        <v>0</v>
      </c>
      <c r="S12" s="398">
        <f>MAX(R12*(S22-5)/(R22-5),0)</f>
        <v>0</v>
      </c>
      <c r="T12" s="398">
        <f>MAX(S12*(T22-5)/(S22-5),0)</f>
        <v>0</v>
      </c>
      <c r="U12" s="398">
        <f t="shared" ref="U12:AC12" si="1">T12*U22/T22</f>
        <v>0</v>
      </c>
      <c r="V12" s="398">
        <f t="shared" si="1"/>
        <v>0</v>
      </c>
      <c r="W12" s="398">
        <f t="shared" si="1"/>
        <v>0</v>
      </c>
      <c r="X12" s="398">
        <f t="shared" si="1"/>
        <v>0</v>
      </c>
      <c r="Y12" s="398">
        <f t="shared" si="1"/>
        <v>0</v>
      </c>
      <c r="Z12" s="398">
        <f t="shared" si="1"/>
        <v>0</v>
      </c>
      <c r="AA12" s="398">
        <f t="shared" si="1"/>
        <v>0</v>
      </c>
      <c r="AB12" s="398">
        <f t="shared" si="1"/>
        <v>0</v>
      </c>
      <c r="AC12" s="399">
        <f t="shared" si="1"/>
        <v>0</v>
      </c>
    </row>
    <row r="13" spans="2:30" x14ac:dyDescent="0.3">
      <c r="B13" s="355" t="s">
        <v>418</v>
      </c>
      <c r="C13" s="356"/>
      <c r="D13" s="146"/>
      <c r="E13" s="43"/>
      <c r="F13" s="43"/>
      <c r="G13" s="43"/>
      <c r="H13" s="63">
        <f>SUM(H14:H17)</f>
        <v>0</v>
      </c>
      <c r="I13" s="63">
        <f t="shared" ref="I13:M13" si="2">SUM(I14:I17)</f>
        <v>0</v>
      </c>
      <c r="J13" s="63">
        <f t="shared" si="2"/>
        <v>779.7</v>
      </c>
      <c r="K13" s="63">
        <f t="shared" si="2"/>
        <v>582.6</v>
      </c>
      <c r="L13" s="63">
        <f t="shared" si="2"/>
        <v>216.5</v>
      </c>
      <c r="M13" s="63">
        <f t="shared" si="2"/>
        <v>505</v>
      </c>
      <c r="N13" s="286">
        <f>SUM(N14:N17)</f>
        <v>429.59999999999997</v>
      </c>
      <c r="O13" s="946">
        <f t="shared" ref="O13:AC13" si="3">SUM(O14:O17)</f>
        <v>0</v>
      </c>
      <c r="P13" s="398">
        <f t="shared" si="3"/>
        <v>0</v>
      </c>
      <c r="Q13" s="398">
        <f t="shared" si="3"/>
        <v>0</v>
      </c>
      <c r="R13" s="398">
        <f t="shared" si="3"/>
        <v>0</v>
      </c>
      <c r="S13" s="398">
        <f t="shared" si="3"/>
        <v>0</v>
      </c>
      <c r="T13" s="398">
        <f t="shared" si="3"/>
        <v>0</v>
      </c>
      <c r="U13" s="398">
        <f t="shared" si="3"/>
        <v>0</v>
      </c>
      <c r="V13" s="398">
        <f t="shared" si="3"/>
        <v>0</v>
      </c>
      <c r="W13" s="398">
        <f t="shared" si="3"/>
        <v>0</v>
      </c>
      <c r="X13" s="398">
        <f t="shared" si="3"/>
        <v>0</v>
      </c>
      <c r="Y13" s="398">
        <f t="shared" si="3"/>
        <v>0</v>
      </c>
      <c r="Z13" s="398">
        <f t="shared" si="3"/>
        <v>0</v>
      </c>
      <c r="AA13" s="398">
        <f t="shared" si="3"/>
        <v>0</v>
      </c>
      <c r="AB13" s="398">
        <f t="shared" si="3"/>
        <v>0</v>
      </c>
      <c r="AC13" s="399">
        <f t="shared" si="3"/>
        <v>0</v>
      </c>
    </row>
    <row r="14" spans="2:30" ht="18" customHeight="1" x14ac:dyDescent="0.3">
      <c r="B14" s="357" t="s">
        <v>419</v>
      </c>
      <c r="C14" s="66" t="s">
        <v>417</v>
      </c>
      <c r="D14" s="125">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939">
        <f>'Haver Pivoted'!GZ63</f>
        <v>0</v>
      </c>
      <c r="P14" s="400">
        <f t="shared" ref="P14:X14" si="4">P12</f>
        <v>0</v>
      </c>
      <c r="Q14" s="400">
        <f t="shared" si="4"/>
        <v>0</v>
      </c>
      <c r="R14" s="400">
        <f t="shared" si="4"/>
        <v>0</v>
      </c>
      <c r="S14" s="400">
        <f t="shared" si="4"/>
        <v>0</v>
      </c>
      <c r="T14" s="400">
        <f t="shared" si="4"/>
        <v>0</v>
      </c>
      <c r="U14" s="400">
        <f t="shared" si="4"/>
        <v>0</v>
      </c>
      <c r="V14" s="400">
        <f t="shared" si="4"/>
        <v>0</v>
      </c>
      <c r="W14" s="400">
        <f t="shared" si="4"/>
        <v>0</v>
      </c>
      <c r="X14" s="400">
        <f t="shared" si="4"/>
        <v>0</v>
      </c>
      <c r="Y14" s="400">
        <f>Y12</f>
        <v>0</v>
      </c>
      <c r="Z14" s="400">
        <f t="shared" ref="Z14:AC14" si="5">Z12</f>
        <v>0</v>
      </c>
      <c r="AA14" s="400">
        <f t="shared" si="5"/>
        <v>0</v>
      </c>
      <c r="AB14" s="400">
        <f t="shared" si="5"/>
        <v>0</v>
      </c>
      <c r="AC14" s="648">
        <f t="shared" si="5"/>
        <v>0</v>
      </c>
    </row>
    <row r="15" spans="2:30" ht="18" customHeight="1" x14ac:dyDescent="0.3">
      <c r="B15" s="362" t="s">
        <v>420</v>
      </c>
      <c r="C15" s="363" t="s">
        <v>421</v>
      </c>
      <c r="D15" s="365">
        <f>'Haver Pivoted'!GO59</f>
        <v>0</v>
      </c>
      <c r="E15" s="366">
        <f>'Haver Pivoted'!GP59</f>
        <v>0</v>
      </c>
      <c r="F15" s="366">
        <f>'Haver Pivoted'!GQ59</f>
        <v>0</v>
      </c>
      <c r="G15" s="366">
        <f>'Haver Pivoted'!GR59</f>
        <v>0</v>
      </c>
      <c r="H15" s="366">
        <f>'Haver Pivoted'!GS59</f>
        <v>0</v>
      </c>
      <c r="I15" s="366">
        <f>'Haver Pivoted'!GT59</f>
        <v>0</v>
      </c>
      <c r="J15" s="366">
        <f>'Haver Pivoted'!GU59</f>
        <v>6.3</v>
      </c>
      <c r="K15" s="366">
        <f>'Haver Pivoted'!GV59</f>
        <v>26.7</v>
      </c>
      <c r="L15" s="366">
        <f>'Haver Pivoted'!GW59</f>
        <v>82.1</v>
      </c>
      <c r="M15" s="366">
        <f>'Haver Pivoted'!GX59</f>
        <v>97.8</v>
      </c>
      <c r="N15" s="366">
        <f>'Haver Pivoted'!GY59</f>
        <v>104.5</v>
      </c>
      <c r="O15" s="947">
        <f>'Haver Pivoted'!GZ59</f>
        <v>0</v>
      </c>
      <c r="P15" s="400">
        <v>0</v>
      </c>
      <c r="Q15" s="400">
        <f t="shared" ref="Q15:AC15" si="6">P15*Q$22/P$22</f>
        <v>0</v>
      </c>
      <c r="R15" s="400">
        <f t="shared" si="6"/>
        <v>0</v>
      </c>
      <c r="S15" s="400">
        <f t="shared" si="6"/>
        <v>0</v>
      </c>
      <c r="T15" s="400">
        <f t="shared" si="6"/>
        <v>0</v>
      </c>
      <c r="U15" s="400">
        <f t="shared" si="6"/>
        <v>0</v>
      </c>
      <c r="V15" s="400">
        <f t="shared" si="6"/>
        <v>0</v>
      </c>
      <c r="W15" s="400">
        <f t="shared" si="6"/>
        <v>0</v>
      </c>
      <c r="X15" s="400">
        <f t="shared" si="6"/>
        <v>0</v>
      </c>
      <c r="Y15" s="400">
        <f t="shared" si="6"/>
        <v>0</v>
      </c>
      <c r="Z15" s="400">
        <f t="shared" si="6"/>
        <v>0</v>
      </c>
      <c r="AA15" s="400">
        <f t="shared" si="6"/>
        <v>0</v>
      </c>
      <c r="AB15" s="400">
        <f t="shared" si="6"/>
        <v>0</v>
      </c>
      <c r="AC15" s="648">
        <f t="shared" si="6"/>
        <v>0</v>
      </c>
    </row>
    <row r="16" spans="2:30" ht="18" customHeight="1" x14ac:dyDescent="0.3">
      <c r="B16" s="362" t="s">
        <v>422</v>
      </c>
      <c r="C16" s="363" t="s">
        <v>423</v>
      </c>
      <c r="D16" s="365">
        <f>'Haver Pivoted'!GO60</f>
        <v>0</v>
      </c>
      <c r="E16" s="366">
        <f>'Haver Pivoted'!GP60</f>
        <v>0</v>
      </c>
      <c r="F16" s="366">
        <f>'Haver Pivoted'!GQ60</f>
        <v>0</v>
      </c>
      <c r="G16" s="366">
        <f>'Haver Pivoted'!GR60</f>
        <v>0</v>
      </c>
      <c r="H16" s="366">
        <f>'Haver Pivoted'!GS60</f>
        <v>0</v>
      </c>
      <c r="I16" s="366">
        <f>'Haver Pivoted'!GT60</f>
        <v>0</v>
      </c>
      <c r="J16" s="366">
        <f>'Haver Pivoted'!GU60</f>
        <v>74.400000000000006</v>
      </c>
      <c r="K16" s="366">
        <f>'Haver Pivoted'!GV60</f>
        <v>138.30000000000001</v>
      </c>
      <c r="L16" s="366">
        <f>'Haver Pivoted'!GW60</f>
        <v>106.8</v>
      </c>
      <c r="M16" s="366">
        <f>'Haver Pivoted'!GX60</f>
        <v>95.3</v>
      </c>
      <c r="N16" s="366">
        <f>'Haver Pivoted'!GY60</f>
        <v>82.1</v>
      </c>
      <c r="O16" s="947">
        <f>'Haver Pivoted'!GZ60</f>
        <v>0</v>
      </c>
      <c r="P16" s="400">
        <v>0</v>
      </c>
      <c r="Q16" s="400">
        <f t="shared" ref="Q16:AC16" si="7">P16*Q$22/P$22</f>
        <v>0</v>
      </c>
      <c r="R16" s="400">
        <f t="shared" si="7"/>
        <v>0</v>
      </c>
      <c r="S16" s="400">
        <f t="shared" si="7"/>
        <v>0</v>
      </c>
      <c r="T16" s="400">
        <f t="shared" si="7"/>
        <v>0</v>
      </c>
      <c r="U16" s="400">
        <f t="shared" si="7"/>
        <v>0</v>
      </c>
      <c r="V16" s="400">
        <f t="shared" si="7"/>
        <v>0</v>
      </c>
      <c r="W16" s="400">
        <f t="shared" si="7"/>
        <v>0</v>
      </c>
      <c r="X16" s="400">
        <f t="shared" si="7"/>
        <v>0</v>
      </c>
      <c r="Y16" s="400">
        <f t="shared" si="7"/>
        <v>0</v>
      </c>
      <c r="Z16" s="400">
        <f t="shared" si="7"/>
        <v>0</v>
      </c>
      <c r="AA16" s="400">
        <f t="shared" si="7"/>
        <v>0</v>
      </c>
      <c r="AB16" s="400">
        <f t="shared" si="7"/>
        <v>0</v>
      </c>
      <c r="AC16" s="648">
        <f t="shared" si="7"/>
        <v>0</v>
      </c>
    </row>
    <row r="17" spans="2:30" ht="18" customHeight="1" x14ac:dyDescent="0.3">
      <c r="B17" s="362" t="s">
        <v>424</v>
      </c>
      <c r="C17" s="363" t="s">
        <v>425</v>
      </c>
      <c r="D17" s="365">
        <f>'Haver Pivoted'!GO61</f>
        <v>0</v>
      </c>
      <c r="E17" s="366">
        <f>'Haver Pivoted'!GP61</f>
        <v>0</v>
      </c>
      <c r="F17" s="366">
        <f>'Haver Pivoted'!GQ61</f>
        <v>0</v>
      </c>
      <c r="G17" s="366">
        <f>'Haver Pivoted'!GR61</f>
        <v>0</v>
      </c>
      <c r="H17" s="366">
        <f>'Haver Pivoted'!GS61</f>
        <v>0</v>
      </c>
      <c r="I17" s="366">
        <f>'Haver Pivoted'!GT61</f>
        <v>0</v>
      </c>
      <c r="J17" s="366">
        <f>'Haver Pivoted'!GU61</f>
        <v>698.9</v>
      </c>
      <c r="K17" s="366">
        <f>'Haver Pivoted'!GV61</f>
        <v>413.9</v>
      </c>
      <c r="L17" s="366">
        <f>'Haver Pivoted'!GW61</f>
        <v>14.7</v>
      </c>
      <c r="M17" s="366">
        <f>'Haver Pivoted'!GX61</f>
        <v>286.89999999999998</v>
      </c>
      <c r="N17" s="366">
        <f>'Haver Pivoted'!GY61</f>
        <v>237.2</v>
      </c>
      <c r="O17" s="947">
        <f>'Haver Pivoted'!GZ61</f>
        <v>0</v>
      </c>
      <c r="P17" s="400">
        <v>0</v>
      </c>
      <c r="Q17" s="400">
        <f t="shared" ref="Q17:AC17" si="8">P17*Q$22/P$22</f>
        <v>0</v>
      </c>
      <c r="R17" s="400">
        <f t="shared" si="8"/>
        <v>0</v>
      </c>
      <c r="S17" s="400">
        <f t="shared" si="8"/>
        <v>0</v>
      </c>
      <c r="T17" s="400">
        <f t="shared" si="8"/>
        <v>0</v>
      </c>
      <c r="U17" s="400">
        <f t="shared" si="8"/>
        <v>0</v>
      </c>
      <c r="V17" s="400">
        <f t="shared" si="8"/>
        <v>0</v>
      </c>
      <c r="W17" s="400">
        <f t="shared" si="8"/>
        <v>0</v>
      </c>
      <c r="X17" s="400">
        <f t="shared" si="8"/>
        <v>0</v>
      </c>
      <c r="Y17" s="400">
        <f t="shared" si="8"/>
        <v>0</v>
      </c>
      <c r="Z17" s="400">
        <f t="shared" si="8"/>
        <v>0</v>
      </c>
      <c r="AA17" s="400">
        <f t="shared" si="8"/>
        <v>0</v>
      </c>
      <c r="AB17" s="400">
        <f t="shared" si="8"/>
        <v>0</v>
      </c>
      <c r="AC17" s="648">
        <f t="shared" si="8"/>
        <v>0</v>
      </c>
    </row>
    <row r="18" spans="2:30" x14ac:dyDescent="0.3">
      <c r="B18" s="49" t="s">
        <v>208</v>
      </c>
      <c r="C18" s="34" t="s">
        <v>426</v>
      </c>
      <c r="D18" s="146">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5">
        <f>'Haver Pivoted'!GZ64</f>
        <v>0</v>
      </c>
      <c r="P18" s="398"/>
      <c r="Q18" s="398"/>
      <c r="R18" s="398"/>
      <c r="S18" s="398"/>
      <c r="T18" s="398"/>
      <c r="U18" s="398"/>
      <c r="V18" s="398"/>
      <c r="W18" s="398"/>
      <c r="X18" s="398"/>
      <c r="Y18" s="398"/>
      <c r="Z18" s="398"/>
      <c r="AA18" s="398"/>
      <c r="AB18" s="398"/>
      <c r="AC18" s="399"/>
    </row>
    <row r="19" spans="2:30" ht="14.5" x14ac:dyDescent="0.35">
      <c r="B19" s="50" t="s">
        <v>427</v>
      </c>
      <c r="C19" s="364"/>
      <c r="D19" s="64">
        <f t="shared" ref="D19:O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 t="shared" si="9"/>
        <v>0</v>
      </c>
      <c r="P19" s="400">
        <f t="shared" ref="P19:Y19" si="10">P11-P20</f>
        <v>0</v>
      </c>
      <c r="Q19" s="400">
        <f t="shared" si="10"/>
        <v>0</v>
      </c>
      <c r="R19" s="400">
        <f t="shared" si="10"/>
        <v>0</v>
      </c>
      <c r="S19" s="400">
        <f t="shared" si="10"/>
        <v>0</v>
      </c>
      <c r="T19" s="400">
        <f t="shared" si="10"/>
        <v>0</v>
      </c>
      <c r="U19" s="400">
        <f t="shared" si="10"/>
        <v>0</v>
      </c>
      <c r="V19" s="400">
        <f t="shared" si="10"/>
        <v>0</v>
      </c>
      <c r="W19" s="400">
        <f t="shared" si="10"/>
        <v>0</v>
      </c>
      <c r="X19" s="400">
        <f t="shared" si="10"/>
        <v>0</v>
      </c>
      <c r="Y19" s="400">
        <f t="shared" si="10"/>
        <v>0</v>
      </c>
      <c r="Z19" s="400">
        <f t="shared" ref="Z19:AC19" si="11">Z11-Z20</f>
        <v>0</v>
      </c>
      <c r="AA19" s="400">
        <f t="shared" si="11"/>
        <v>0</v>
      </c>
      <c r="AB19" s="400">
        <f t="shared" si="11"/>
        <v>0</v>
      </c>
      <c r="AC19" s="648">
        <f t="shared" si="11"/>
        <v>0</v>
      </c>
    </row>
    <row r="20" spans="2:30" ht="14.5" x14ac:dyDescent="0.35">
      <c r="B20" s="50" t="s">
        <v>428</v>
      </c>
      <c r="C20" s="364"/>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6">
        <f>N11-N12-N13</f>
        <v>45</v>
      </c>
      <c r="O20" s="946">
        <f>O11-O12-O13</f>
        <v>0</v>
      </c>
      <c r="P20" s="398">
        <f t="shared" ref="P20:AC20" si="13">O20*P22/O22</f>
        <v>0</v>
      </c>
      <c r="Q20" s="398">
        <f t="shared" si="13"/>
        <v>0</v>
      </c>
      <c r="R20" s="398">
        <f t="shared" si="13"/>
        <v>0</v>
      </c>
      <c r="S20" s="398">
        <f t="shared" si="13"/>
        <v>0</v>
      </c>
      <c r="T20" s="398">
        <f t="shared" si="13"/>
        <v>0</v>
      </c>
      <c r="U20" s="398">
        <f t="shared" si="13"/>
        <v>0</v>
      </c>
      <c r="V20" s="398">
        <f t="shared" si="13"/>
        <v>0</v>
      </c>
      <c r="W20" s="398">
        <f t="shared" si="13"/>
        <v>0</v>
      </c>
      <c r="X20" s="398">
        <f t="shared" si="13"/>
        <v>0</v>
      </c>
      <c r="Y20" s="398">
        <f t="shared" si="13"/>
        <v>0</v>
      </c>
      <c r="Z20" s="398">
        <f t="shared" si="13"/>
        <v>0</v>
      </c>
      <c r="AA20" s="398">
        <f t="shared" si="13"/>
        <v>0</v>
      </c>
      <c r="AB20" s="398">
        <f t="shared" si="13"/>
        <v>0</v>
      </c>
      <c r="AC20" s="399">
        <f t="shared" si="13"/>
        <v>0</v>
      </c>
      <c r="AD20" s="34" t="s">
        <v>429</v>
      </c>
    </row>
    <row r="21" spans="2:30" x14ac:dyDescent="0.3">
      <c r="B21" s="49"/>
      <c r="C21" s="364"/>
      <c r="D21" s="125"/>
      <c r="E21" s="88"/>
      <c r="F21" s="88"/>
      <c r="G21" s="88"/>
      <c r="H21" s="62"/>
      <c r="I21" s="62"/>
      <c r="J21" s="62"/>
      <c r="K21" s="62"/>
      <c r="L21" s="62"/>
      <c r="M21" s="62"/>
      <c r="N21" s="63"/>
      <c r="O21" s="948"/>
      <c r="P21" s="393"/>
      <c r="Q21" s="393"/>
      <c r="R21" s="393"/>
      <c r="S21" s="393"/>
      <c r="T21" s="393"/>
      <c r="U21" s="393"/>
      <c r="V21" s="393"/>
      <c r="W21" s="393"/>
      <c r="X21" s="393"/>
      <c r="Y21" s="393"/>
      <c r="Z21" s="393"/>
      <c r="AA21" s="393"/>
      <c r="AB21" s="393"/>
      <c r="AC21" s="394"/>
    </row>
    <row r="22" spans="2:30" x14ac:dyDescent="0.3">
      <c r="B22" s="138" t="s">
        <v>430</v>
      </c>
      <c r="C22" s="42"/>
      <c r="D22" s="147"/>
      <c r="E22" s="145"/>
      <c r="F22" s="145"/>
      <c r="G22" s="145"/>
      <c r="H22" s="592"/>
      <c r="I22" s="593"/>
      <c r="J22" s="593"/>
      <c r="K22" s="593"/>
      <c r="L22" s="593"/>
      <c r="M22" s="593">
        <f>D27</f>
        <v>6.166666666666667</v>
      </c>
      <c r="N22" s="593">
        <f>D30</f>
        <v>5.7666666666666657</v>
      </c>
      <c r="O22" s="867">
        <f>D33</f>
        <v>5.1333333333333337</v>
      </c>
      <c r="P22" s="396">
        <v>4.609</v>
      </c>
      <c r="Q22" s="396">
        <v>4.1040000000000001</v>
      </c>
      <c r="R22" s="396">
        <v>3.819</v>
      </c>
      <c r="S22" s="396">
        <v>3.6819999999999999</v>
      </c>
      <c r="T22" s="396">
        <v>3.637</v>
      </c>
      <c r="U22" s="396">
        <v>3.6619999999999999</v>
      </c>
      <c r="V22" s="396">
        <v>3.718</v>
      </c>
      <c r="W22" s="396">
        <v>3.7749999999999999</v>
      </c>
      <c r="X22" s="396">
        <v>3.835</v>
      </c>
      <c r="Y22" s="396">
        <v>3.91</v>
      </c>
      <c r="Z22" s="396">
        <v>3.972</v>
      </c>
      <c r="AA22" s="396">
        <v>4.0209999999999999</v>
      </c>
      <c r="AB22" s="396">
        <v>4.0819999999999999</v>
      </c>
      <c r="AC22" s="663">
        <v>4.141</v>
      </c>
      <c r="AD22" s="51" t="s">
        <v>431</v>
      </c>
    </row>
    <row r="23" spans="2:30" x14ac:dyDescent="0.3">
      <c r="M23" s="173"/>
      <c r="N23" s="173"/>
      <c r="O23" s="173"/>
      <c r="P23" s="173"/>
      <c r="Q23" s="173"/>
      <c r="R23" s="173"/>
      <c r="S23" s="173"/>
      <c r="T23" s="173"/>
      <c r="U23" s="173"/>
      <c r="V23" s="173"/>
      <c r="W23" s="173"/>
      <c r="X23" s="173"/>
      <c r="Y23" s="173"/>
      <c r="Z23" s="173"/>
      <c r="AA23" s="173"/>
      <c r="AB23" s="173"/>
      <c r="AC23" s="173"/>
    </row>
    <row r="24" spans="2:30" x14ac:dyDescent="0.3">
      <c r="AA24" s="38"/>
    </row>
    <row r="26" spans="2:30" ht="30.65" customHeight="1" x14ac:dyDescent="0.3">
      <c r="B26" s="949" t="s">
        <v>432</v>
      </c>
      <c r="C26" s="841" t="s">
        <v>433</v>
      </c>
      <c r="D26" s="950" t="s">
        <v>434</v>
      </c>
    </row>
    <row r="27" spans="2:30" x14ac:dyDescent="0.3">
      <c r="B27" s="869">
        <v>44197</v>
      </c>
      <c r="C27" s="234">
        <v>6.3</v>
      </c>
      <c r="D27" s="870">
        <f>AVERAGE(C27:C29)</f>
        <v>6.166666666666667</v>
      </c>
    </row>
    <row r="28" spans="2:30" x14ac:dyDescent="0.3">
      <c r="B28" s="840">
        <v>44228</v>
      </c>
      <c r="C28" s="34">
        <v>6.2</v>
      </c>
      <c r="D28" s="40"/>
    </row>
    <row r="29" spans="2:30" x14ac:dyDescent="0.3">
      <c r="B29" s="840">
        <v>44256</v>
      </c>
      <c r="C29" s="34">
        <v>6</v>
      </c>
      <c r="D29" s="40"/>
    </row>
    <row r="30" spans="2:30" x14ac:dyDescent="0.3">
      <c r="B30" s="840">
        <v>44287</v>
      </c>
      <c r="C30" s="34">
        <v>6.1</v>
      </c>
      <c r="D30" s="40">
        <f>AVERAGE(C30:C32)</f>
        <v>5.7666666666666657</v>
      </c>
    </row>
    <row r="31" spans="2:30" x14ac:dyDescent="0.3">
      <c r="B31" s="840">
        <v>44317</v>
      </c>
      <c r="C31" s="34">
        <v>5.8</v>
      </c>
      <c r="D31" s="40"/>
    </row>
    <row r="32" spans="2:30" x14ac:dyDescent="0.3">
      <c r="B32" s="840">
        <v>44348</v>
      </c>
      <c r="C32" s="34">
        <v>5.4</v>
      </c>
      <c r="D32" s="40"/>
    </row>
    <row r="33" spans="2:5" x14ac:dyDescent="0.3">
      <c r="B33" s="840">
        <v>44378</v>
      </c>
      <c r="C33" s="34">
        <v>5.4</v>
      </c>
      <c r="D33" s="40">
        <f t="shared" ref="D33" si="14">AVERAGE(C33:C35)</f>
        <v>5.1333333333333337</v>
      </c>
      <c r="E33" s="34" t="s">
        <v>435</v>
      </c>
    </row>
    <row r="34" spans="2:5" x14ac:dyDescent="0.3">
      <c r="B34" s="840">
        <v>44409</v>
      </c>
      <c r="C34" s="34">
        <v>5.2</v>
      </c>
      <c r="D34" s="40"/>
    </row>
    <row r="35" spans="2:5" x14ac:dyDescent="0.3">
      <c r="B35" s="871">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zoomScale="74" zoomScaleNormal="211" workbookViewId="0">
      <selection activeCell="V14" sqref="V14"/>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026" t="s">
        <v>202</v>
      </c>
      <c r="C1" s="1026"/>
      <c r="D1" s="1026"/>
      <c r="E1" s="1026"/>
      <c r="F1" s="1026"/>
      <c r="G1" s="1026"/>
      <c r="H1" s="1026"/>
      <c r="I1" s="1026"/>
      <c r="J1" s="1026"/>
      <c r="K1" s="1026"/>
      <c r="L1" s="1026"/>
      <c r="M1" s="1026"/>
      <c r="N1" s="1026"/>
      <c r="O1" s="1026"/>
      <c r="P1" s="1026"/>
      <c r="Q1" s="1026"/>
      <c r="R1" s="1026"/>
      <c r="S1" s="1026"/>
      <c r="T1" s="1026"/>
    </row>
    <row r="2" spans="1:22" x14ac:dyDescent="0.35">
      <c r="B2" s="1060" t="s">
        <v>436</v>
      </c>
      <c r="C2" s="1060"/>
      <c r="D2" s="1060"/>
      <c r="E2" s="1060"/>
      <c r="F2" s="1060"/>
      <c r="G2" s="1060"/>
      <c r="H2" s="1060"/>
      <c r="I2" s="1060"/>
      <c r="J2" s="1060"/>
      <c r="K2" s="1060"/>
      <c r="L2" s="1060"/>
      <c r="M2" s="1060"/>
      <c r="N2" s="1060"/>
      <c r="O2" s="1060"/>
      <c r="P2" s="1060"/>
      <c r="Q2" s="1060"/>
      <c r="R2" s="1060"/>
      <c r="S2" s="1060"/>
      <c r="T2" s="1060"/>
    </row>
    <row r="3" spans="1:22" x14ac:dyDescent="0.35">
      <c r="B3" s="1060"/>
      <c r="C3" s="1060"/>
      <c r="D3" s="1060"/>
      <c r="E3" s="1060"/>
      <c r="F3" s="1060"/>
      <c r="G3" s="1060"/>
      <c r="H3" s="1060"/>
      <c r="I3" s="1060"/>
      <c r="J3" s="1060"/>
      <c r="K3" s="1060"/>
      <c r="L3" s="1060"/>
      <c r="M3" s="1060"/>
      <c r="N3" s="1060"/>
      <c r="O3" s="1060"/>
      <c r="P3" s="1060"/>
      <c r="Q3" s="1060"/>
      <c r="R3" s="1060"/>
      <c r="S3" s="1060"/>
      <c r="T3" s="1060"/>
    </row>
    <row r="4" spans="1:22" x14ac:dyDescent="0.35">
      <c r="B4" s="1060"/>
      <c r="C4" s="1060"/>
      <c r="D4" s="1060"/>
      <c r="E4" s="1060"/>
      <c r="F4" s="1060"/>
      <c r="G4" s="1060"/>
      <c r="H4" s="1060"/>
      <c r="I4" s="1060"/>
      <c r="J4" s="1060"/>
      <c r="K4" s="1060"/>
      <c r="L4" s="1060"/>
      <c r="M4" s="1060"/>
      <c r="N4" s="1060"/>
      <c r="O4" s="1060"/>
      <c r="P4" s="1060"/>
      <c r="Q4" s="1060"/>
      <c r="R4" s="1060"/>
      <c r="S4" s="1060"/>
      <c r="T4" s="1060"/>
    </row>
    <row r="5" spans="1:22" x14ac:dyDescent="0.35">
      <c r="B5" s="1060"/>
      <c r="C5" s="1060"/>
      <c r="D5" s="1060"/>
      <c r="E5" s="1060"/>
      <c r="F5" s="1060"/>
      <c r="G5" s="1060"/>
      <c r="H5" s="1060"/>
      <c r="I5" s="1060"/>
      <c r="J5" s="1060"/>
      <c r="K5" s="1060"/>
      <c r="L5" s="1060"/>
      <c r="M5" s="1060"/>
      <c r="N5" s="1060"/>
      <c r="O5" s="1060"/>
      <c r="P5" s="1060"/>
      <c r="Q5" s="1060"/>
      <c r="R5" s="1060"/>
      <c r="S5" s="1060"/>
      <c r="T5" s="1060"/>
    </row>
    <row r="6" spans="1:22" x14ac:dyDescent="0.35">
      <c r="B6" s="1060"/>
      <c r="C6" s="1060"/>
      <c r="D6" s="1060"/>
      <c r="E6" s="1060"/>
      <c r="F6" s="1060"/>
      <c r="G6" s="1060"/>
      <c r="H6" s="1060"/>
      <c r="I6" s="1060"/>
      <c r="J6" s="1060"/>
      <c r="K6" s="1060"/>
      <c r="L6" s="1060"/>
      <c r="M6" s="1060"/>
      <c r="N6" s="1060"/>
      <c r="O6" s="1060"/>
      <c r="P6" s="1060"/>
      <c r="Q6" s="1060"/>
      <c r="R6" s="1060"/>
      <c r="S6" s="1060"/>
      <c r="T6" s="1060"/>
    </row>
    <row r="7" spans="1:22" x14ac:dyDescent="0.35">
      <c r="J7" s="218"/>
      <c r="K7" s="218"/>
      <c r="M7" s="218"/>
    </row>
    <row r="9" spans="1:22" ht="14.5" customHeight="1" x14ac:dyDescent="0.35">
      <c r="A9" s="221"/>
      <c r="B9" s="1061" t="s">
        <v>437</v>
      </c>
      <c r="C9" s="1062"/>
      <c r="D9" s="442">
        <v>2018</v>
      </c>
      <c r="E9" s="1069">
        <v>2019</v>
      </c>
      <c r="F9" s="1070"/>
      <c r="G9" s="1070"/>
      <c r="H9" s="1071"/>
      <c r="I9" s="1067">
        <v>2020</v>
      </c>
      <c r="J9" s="1068"/>
      <c r="K9" s="1068"/>
      <c r="L9" s="1068"/>
      <c r="M9" s="1072">
        <v>2021</v>
      </c>
      <c r="N9" s="1073"/>
      <c r="O9" s="1073"/>
      <c r="P9" s="868">
        <v>2021</v>
      </c>
      <c r="Q9" s="1065">
        <v>2022</v>
      </c>
      <c r="R9" s="1065"/>
      <c r="S9" s="1065"/>
      <c r="T9" s="1066"/>
    </row>
    <row r="10" spans="1:22" x14ac:dyDescent="0.35">
      <c r="B10" s="1063"/>
      <c r="C10" s="1064"/>
      <c r="D10" s="443" t="s">
        <v>411</v>
      </c>
      <c r="E10" s="444" t="s">
        <v>412</v>
      </c>
      <c r="F10" s="312" t="s">
        <v>413</v>
      </c>
      <c r="G10" s="312" t="s">
        <v>298</v>
      </c>
      <c r="H10" s="441" t="s">
        <v>411</v>
      </c>
      <c r="I10" s="444" t="s">
        <v>412</v>
      </c>
      <c r="J10" s="312" t="s">
        <v>413</v>
      </c>
      <c r="K10" s="312" t="s">
        <v>298</v>
      </c>
      <c r="L10" s="312" t="s">
        <v>411</v>
      </c>
      <c r="M10" s="35" t="s">
        <v>412</v>
      </c>
      <c r="N10" s="36" t="s">
        <v>413</v>
      </c>
      <c r="O10" s="36" t="s">
        <v>298</v>
      </c>
      <c r="P10" s="61" t="s">
        <v>411</v>
      </c>
      <c r="Q10" s="382" t="s">
        <v>412</v>
      </c>
      <c r="R10" s="382" t="s">
        <v>413</v>
      </c>
      <c r="S10" s="382" t="s">
        <v>298</v>
      </c>
      <c r="T10" s="388" t="s">
        <v>411</v>
      </c>
    </row>
    <row r="11" spans="1:22" ht="29" x14ac:dyDescent="0.35">
      <c r="A11" s="385"/>
      <c r="B11" s="380" t="s">
        <v>189</v>
      </c>
      <c r="C11" s="408" t="s">
        <v>438</v>
      </c>
      <c r="D11" s="380"/>
      <c r="E11" s="873"/>
      <c r="F11" s="873"/>
      <c r="G11" s="873"/>
      <c r="H11" s="873"/>
      <c r="I11" s="873"/>
      <c r="J11" s="874">
        <f>'Haver Pivoted'!GU48</f>
        <v>160.9</v>
      </c>
      <c r="K11" s="874">
        <f>'Haver Pivoted'!GV48</f>
        <v>58.4</v>
      </c>
      <c r="L11" s="874">
        <f>'Haver Pivoted'!GW48</f>
        <v>34.5</v>
      </c>
      <c r="M11" s="874">
        <f>'Haver Pivoted'!GX48</f>
        <v>42.8</v>
      </c>
      <c r="N11" s="874">
        <f>'Haver Pivoted'!GY48</f>
        <v>26.6</v>
      </c>
      <c r="O11" s="875">
        <f>'Haver Pivoted'!GZ48</f>
        <v>0</v>
      </c>
      <c r="P11" s="866" t="e">
        <f t="shared" ref="P11:P13" si="0">P$14*P15</f>
        <v>#DIV/0!</v>
      </c>
      <c r="Q11" s="866" t="e">
        <f t="shared" ref="Q11:S11" si="1">Q$14*Q15</f>
        <v>#DIV/0!</v>
      </c>
      <c r="R11" s="866" t="e">
        <f t="shared" si="1"/>
        <v>#DIV/0!</v>
      </c>
      <c r="S11" s="866" t="e">
        <f t="shared" si="1"/>
        <v>#DIV/0!</v>
      </c>
      <c r="T11" s="938"/>
    </row>
    <row r="12" spans="1:22" ht="29" x14ac:dyDescent="0.35">
      <c r="A12" s="385"/>
      <c r="B12" s="381" t="s">
        <v>439</v>
      </c>
      <c r="C12" s="379" t="s">
        <v>440</v>
      </c>
      <c r="D12" s="381"/>
      <c r="E12" s="440"/>
      <c r="F12" s="440"/>
      <c r="G12" s="440"/>
      <c r="H12" s="440"/>
      <c r="I12" s="440"/>
      <c r="J12" s="389">
        <f>'Haver Pivoted'!GU58</f>
        <v>64.400000000000006</v>
      </c>
      <c r="K12" s="389">
        <f>'Haver Pivoted'!GV58</f>
        <v>23.4</v>
      </c>
      <c r="L12" s="389">
        <f>'Haver Pivoted'!GW58</f>
        <v>13.8</v>
      </c>
      <c r="M12" s="389">
        <f>'Haver Pivoted'!GX58</f>
        <v>17.100000000000001</v>
      </c>
      <c r="N12" s="389">
        <f>'Haver Pivoted'!GY58</f>
        <v>10.6</v>
      </c>
      <c r="O12" s="951">
        <f>'Haver Pivoted'!GZ58</f>
        <v>0</v>
      </c>
      <c r="P12" s="383" t="e">
        <f t="shared" si="0"/>
        <v>#DIV/0!</v>
      </c>
      <c r="Q12" s="383" t="e">
        <f t="shared" ref="Q12:S12" si="2">Q$14*Q16</f>
        <v>#DIV/0!</v>
      </c>
      <c r="R12" s="383" t="e">
        <f t="shared" si="2"/>
        <v>#DIV/0!</v>
      </c>
      <c r="S12" s="383" t="e">
        <f t="shared" si="2"/>
        <v>#DIV/0!</v>
      </c>
      <c r="T12" s="388"/>
    </row>
    <row r="13" spans="1:22" ht="42" customHeight="1" x14ac:dyDescent="0.35">
      <c r="A13" s="385"/>
      <c r="B13" s="381" t="s">
        <v>441</v>
      </c>
      <c r="C13" s="379" t="s">
        <v>442</v>
      </c>
      <c r="D13" s="381"/>
      <c r="E13" s="440"/>
      <c r="F13" s="440"/>
      <c r="G13" s="440"/>
      <c r="H13" s="440"/>
      <c r="I13" s="440"/>
      <c r="J13" s="389">
        <f>'Haver Pivoted'!GU54</f>
        <v>96.6</v>
      </c>
      <c r="K13" s="389">
        <f>'Haver Pivoted'!GV54</f>
        <v>35.1</v>
      </c>
      <c r="L13" s="389">
        <f>'Haver Pivoted'!GW54</f>
        <v>20.7</v>
      </c>
      <c r="M13" s="389">
        <f>'Haver Pivoted'!GX54</f>
        <v>25.7</v>
      </c>
      <c r="N13" s="389">
        <f>'Haver Pivoted'!GY54</f>
        <v>16</v>
      </c>
      <c r="O13" s="951">
        <f>'Haver Pivoted'!GZ54</f>
        <v>0</v>
      </c>
      <c r="P13" s="383" t="e">
        <f t="shared" si="0"/>
        <v>#DIV/0!</v>
      </c>
      <c r="Q13" s="383" t="e">
        <f t="shared" ref="Q13:S13" si="3">Q$14*Q17</f>
        <v>#DIV/0!</v>
      </c>
      <c r="R13" s="383" t="e">
        <f t="shared" si="3"/>
        <v>#DIV/0!</v>
      </c>
      <c r="S13" s="383" t="e">
        <f t="shared" si="3"/>
        <v>#DIV/0!</v>
      </c>
      <c r="T13" s="388"/>
      <c r="U13" s="475" t="s">
        <v>443</v>
      </c>
      <c r="V13" s="474" t="s">
        <v>444</v>
      </c>
    </row>
    <row r="14" spans="1:22" x14ac:dyDescent="0.35">
      <c r="B14" s="473" t="s">
        <v>445</v>
      </c>
      <c r="C14" s="387"/>
      <c r="D14" s="473"/>
      <c r="E14" s="525"/>
      <c r="F14" s="525"/>
      <c r="G14" s="525"/>
      <c r="H14" s="525"/>
      <c r="I14" s="525"/>
      <c r="J14" s="389">
        <f t="shared" ref="J14:O14" si="4">J13+J12+J11</f>
        <v>321.89999999999998</v>
      </c>
      <c r="K14" s="389">
        <f t="shared" si="4"/>
        <v>116.9</v>
      </c>
      <c r="L14" s="389">
        <f t="shared" si="4"/>
        <v>69</v>
      </c>
      <c r="M14" s="389">
        <f t="shared" si="4"/>
        <v>85.6</v>
      </c>
      <c r="N14" s="389">
        <f t="shared" si="4"/>
        <v>53.2</v>
      </c>
      <c r="O14" s="951">
        <f t="shared" si="4"/>
        <v>0</v>
      </c>
      <c r="P14" s="382">
        <v>27.4</v>
      </c>
      <c r="Q14" s="382">
        <v>23.1</v>
      </c>
      <c r="R14" s="382">
        <v>5.0999999999999996</v>
      </c>
      <c r="S14" s="382">
        <v>5.0999999999999996</v>
      </c>
      <c r="T14" s="388"/>
      <c r="U14" s="476">
        <v>186.5</v>
      </c>
      <c r="V14" s="449">
        <f>SUM(J14:S14)/4</f>
        <v>176.82500000000002</v>
      </c>
    </row>
    <row r="15" spans="1:22" x14ac:dyDescent="0.35">
      <c r="B15" s="384" t="s">
        <v>446</v>
      </c>
      <c r="C15" s="386"/>
      <c r="D15" s="384"/>
      <c r="E15" s="527"/>
      <c r="F15" s="527"/>
      <c r="G15" s="527"/>
      <c r="H15" s="527"/>
      <c r="I15" s="527"/>
      <c r="J15" s="221">
        <f t="shared" ref="J15:N17" si="5">J11/J$14</f>
        <v>0.49984467225846541</v>
      </c>
      <c r="K15" s="221">
        <f t="shared" si="5"/>
        <v>0.49957228400342168</v>
      </c>
      <c r="L15" s="221">
        <f t="shared" si="5"/>
        <v>0.5</v>
      </c>
      <c r="M15" s="221">
        <f t="shared" si="5"/>
        <v>0.5</v>
      </c>
      <c r="N15" s="221">
        <f t="shared" si="5"/>
        <v>0.5</v>
      </c>
      <c r="O15" s="876" t="e">
        <f t="shared" ref="O15" si="6">O11/O$14</f>
        <v>#DIV/0!</v>
      </c>
      <c r="P15" s="407" t="e">
        <f t="shared" ref="P15:P17" si="7">O15</f>
        <v>#DIV/0!</v>
      </c>
      <c r="Q15" s="407" t="e">
        <f t="shared" ref="Q15:Q17" si="8">P15</f>
        <v>#DIV/0!</v>
      </c>
      <c r="R15" s="407" t="e">
        <f t="shared" ref="R15:R17" si="9">Q15</f>
        <v>#DIV/0!</v>
      </c>
      <c r="S15" s="407" t="e">
        <f t="shared" ref="S15:S17" si="10">R15</f>
        <v>#DIV/0!</v>
      </c>
      <c r="T15" s="388"/>
    </row>
    <row r="16" spans="1:22" x14ac:dyDescent="0.35">
      <c r="B16" s="384" t="s">
        <v>447</v>
      </c>
      <c r="C16" s="386"/>
      <c r="D16" s="384"/>
      <c r="E16" s="527"/>
      <c r="F16" s="527"/>
      <c r="G16" s="527"/>
      <c r="H16" s="527"/>
      <c r="I16" s="527"/>
      <c r="J16" s="221">
        <f t="shared" si="5"/>
        <v>0.20006213109661389</v>
      </c>
      <c r="K16" s="221">
        <f t="shared" si="5"/>
        <v>0.20017108639863129</v>
      </c>
      <c r="L16" s="221">
        <f t="shared" si="5"/>
        <v>0.2</v>
      </c>
      <c r="M16" s="221">
        <f t="shared" si="5"/>
        <v>0.19976635514018695</v>
      </c>
      <c r="N16" s="221">
        <f t="shared" si="5"/>
        <v>0.19924812030075187</v>
      </c>
      <c r="O16" s="876" t="e">
        <f t="shared" ref="O16" si="11">O12/O$14</f>
        <v>#DIV/0!</v>
      </c>
      <c r="P16" s="407" t="e">
        <f t="shared" si="7"/>
        <v>#DIV/0!</v>
      </c>
      <c r="Q16" s="407" t="e">
        <f t="shared" si="8"/>
        <v>#DIV/0!</v>
      </c>
      <c r="R16" s="407" t="e">
        <f t="shared" si="9"/>
        <v>#DIV/0!</v>
      </c>
      <c r="S16" s="407" t="e">
        <f t="shared" si="10"/>
        <v>#DIV/0!</v>
      </c>
      <c r="T16" s="388"/>
    </row>
    <row r="17" spans="2:20" x14ac:dyDescent="0.35">
      <c r="B17" s="409" t="s">
        <v>448</v>
      </c>
      <c r="C17" s="410"/>
      <c r="D17" s="409"/>
      <c r="E17" s="872"/>
      <c r="F17" s="872"/>
      <c r="G17" s="872"/>
      <c r="H17" s="872"/>
      <c r="I17" s="872"/>
      <c r="J17" s="284">
        <f t="shared" si="5"/>
        <v>0.30009319664492079</v>
      </c>
      <c r="K17" s="284">
        <f t="shared" si="5"/>
        <v>0.30025662959794697</v>
      </c>
      <c r="L17" s="284">
        <f t="shared" si="5"/>
        <v>0.3</v>
      </c>
      <c r="M17" s="284">
        <f t="shared" si="5"/>
        <v>0.30023364485981308</v>
      </c>
      <c r="N17" s="284">
        <f t="shared" si="5"/>
        <v>0.3007518796992481</v>
      </c>
      <c r="O17" s="476" t="e">
        <f t="shared" ref="O17" si="12">O13/O$14</f>
        <v>#DIV/0!</v>
      </c>
      <c r="P17" s="411" t="e">
        <f t="shared" si="7"/>
        <v>#DIV/0!</v>
      </c>
      <c r="Q17" s="411" t="e">
        <f t="shared" si="8"/>
        <v>#DIV/0!</v>
      </c>
      <c r="R17" s="411" t="e">
        <f t="shared" si="9"/>
        <v>#DIV/0!</v>
      </c>
      <c r="S17" s="411" t="e">
        <f t="shared" si="10"/>
        <v>#DIV/0!</v>
      </c>
      <c r="T17" s="412"/>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50" zoomScale="61" zoomScaleNormal="143" workbookViewId="0">
      <selection activeCell="Q59" sqref="Q59"/>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042" t="s">
        <v>449</v>
      </c>
      <c r="I1" s="1042"/>
      <c r="J1" s="1042"/>
      <c r="K1" s="1042"/>
      <c r="L1" s="1042"/>
      <c r="M1" s="1042"/>
      <c r="N1" s="1042"/>
      <c r="O1" s="1042"/>
      <c r="P1" s="1042"/>
      <c r="Q1" s="1042"/>
      <c r="R1" s="1042"/>
      <c r="S1" s="1042"/>
    </row>
    <row r="2" spans="8:22" x14ac:dyDescent="0.3">
      <c r="H2" s="1075" t="s">
        <v>450</v>
      </c>
      <c r="I2" s="1076"/>
      <c r="J2" s="1076"/>
      <c r="K2" s="1076"/>
      <c r="L2" s="1076"/>
      <c r="M2" s="1076"/>
      <c r="N2" s="1076"/>
      <c r="O2" s="1076"/>
      <c r="P2" s="1076"/>
      <c r="Q2" s="1076"/>
      <c r="R2" s="1076"/>
      <c r="S2" s="1076"/>
    </row>
    <row r="3" spans="8:22" x14ac:dyDescent="0.3">
      <c r="H3" s="1076"/>
      <c r="I3" s="1076"/>
      <c r="J3" s="1076"/>
      <c r="K3" s="1076"/>
      <c r="L3" s="1076"/>
      <c r="M3" s="1076"/>
      <c r="N3" s="1076"/>
      <c r="O3" s="1076"/>
      <c r="P3" s="1076"/>
      <c r="Q3" s="1076"/>
      <c r="R3" s="1076"/>
      <c r="S3" s="1076"/>
    </row>
    <row r="4" spans="8:22" x14ac:dyDescent="0.3">
      <c r="H4" s="1076"/>
      <c r="I4" s="1076"/>
      <c r="J4" s="1076"/>
      <c r="K4" s="1076"/>
      <c r="L4" s="1076"/>
      <c r="M4" s="1076"/>
      <c r="N4" s="1076"/>
      <c r="O4" s="1076"/>
      <c r="P4" s="1076"/>
      <c r="Q4" s="1076"/>
      <c r="R4" s="1076"/>
      <c r="S4" s="1076"/>
    </row>
    <row r="5" spans="8:22" ht="54.65" customHeight="1" x14ac:dyDescent="0.3">
      <c r="H5" s="1076"/>
      <c r="I5" s="1076"/>
      <c r="J5" s="1076"/>
      <c r="K5" s="1076"/>
      <c r="L5" s="1076"/>
      <c r="M5" s="1076"/>
      <c r="N5" s="1076"/>
      <c r="O5" s="1076"/>
      <c r="P5" s="1076"/>
      <c r="Q5" s="1076"/>
      <c r="R5" s="1076"/>
      <c r="S5" s="1076"/>
    </row>
    <row r="6" spans="8:22" x14ac:dyDescent="0.3">
      <c r="H6" s="55"/>
      <c r="I6" s="55"/>
      <c r="J6" s="55"/>
      <c r="K6" s="55"/>
      <c r="L6" s="55"/>
      <c r="M6" s="55"/>
      <c r="N6" s="55"/>
      <c r="O6" s="55"/>
      <c r="P6" s="55"/>
      <c r="Q6" s="55"/>
      <c r="R6" s="55"/>
      <c r="S6" s="55"/>
    </row>
    <row r="7" spans="8:22" x14ac:dyDescent="0.3">
      <c r="H7" s="214" t="s">
        <v>451</v>
      </c>
    </row>
    <row r="8" spans="8:22" ht="16" customHeight="1" x14ac:dyDescent="0.3"/>
    <row r="9" spans="8:22" ht="15.65" customHeight="1" x14ac:dyDescent="0.3">
      <c r="L9" s="1044">
        <v>2020</v>
      </c>
      <c r="M9" s="1045"/>
      <c r="N9" s="1045"/>
      <c r="O9" s="877">
        <v>2021</v>
      </c>
      <c r="P9" s="877"/>
      <c r="Q9" s="877"/>
      <c r="R9" s="868"/>
    </row>
    <row r="10" spans="8:22" s="39" customFormat="1" ht="28" x14ac:dyDescent="0.3">
      <c r="H10" s="952" t="s">
        <v>452</v>
      </c>
      <c r="I10" s="952" t="s">
        <v>453</v>
      </c>
      <c r="J10" s="953" t="s">
        <v>454</v>
      </c>
      <c r="K10" s="88"/>
      <c r="L10" s="583" t="s">
        <v>413</v>
      </c>
      <c r="M10" s="595" t="s">
        <v>298</v>
      </c>
      <c r="N10" s="595" t="s">
        <v>411</v>
      </c>
      <c r="O10" s="595" t="s">
        <v>412</v>
      </c>
      <c r="P10" s="595" t="s">
        <v>413</v>
      </c>
      <c r="Q10" s="595" t="s">
        <v>298</v>
      </c>
      <c r="R10" s="878" t="s">
        <v>411</v>
      </c>
      <c r="S10" s="55" t="s">
        <v>455</v>
      </c>
      <c r="T10" s="88"/>
      <c r="U10" s="88"/>
      <c r="V10" s="88"/>
    </row>
    <row r="11" spans="8:22" x14ac:dyDescent="0.3">
      <c r="H11" s="954">
        <v>43934</v>
      </c>
      <c r="I11" s="43">
        <v>248</v>
      </c>
      <c r="J11" s="275">
        <f>I11</f>
        <v>248</v>
      </c>
      <c r="K11" s="43"/>
      <c r="L11" s="303">
        <f>S11/26*J11</f>
        <v>95.384615384615387</v>
      </c>
      <c r="M11" s="295">
        <f>13/26*J11</f>
        <v>124</v>
      </c>
      <c r="N11" s="295">
        <f>J11-SUM(L11:M11)</f>
        <v>28.615384615384613</v>
      </c>
      <c r="O11" s="295"/>
      <c r="P11" s="295"/>
      <c r="Q11" s="295"/>
      <c r="R11" s="304"/>
      <c r="S11" s="43">
        <v>10</v>
      </c>
      <c r="T11" s="43"/>
      <c r="U11" s="296"/>
      <c r="V11" s="43"/>
    </row>
    <row r="12" spans="8:22" x14ac:dyDescent="0.3">
      <c r="H12" s="297">
        <v>43937</v>
      </c>
      <c r="I12" s="43">
        <v>342</v>
      </c>
      <c r="J12" s="275">
        <f>I12-I11</f>
        <v>94</v>
      </c>
      <c r="K12" s="43"/>
      <c r="L12" s="303">
        <f t="shared" ref="L12:L20" si="0">S12/26*J12</f>
        <v>36.153846153846153</v>
      </c>
      <c r="M12" s="295">
        <f t="shared" ref="M12:M20" si="1">13/26*J12</f>
        <v>47</v>
      </c>
      <c r="N12" s="295">
        <f t="shared" ref="N12:N21" si="2">J12-SUM(L12:M12)</f>
        <v>10.84615384615384</v>
      </c>
      <c r="O12" s="295"/>
      <c r="P12" s="295"/>
      <c r="Q12" s="295"/>
      <c r="R12" s="304"/>
      <c r="S12" s="43">
        <v>10</v>
      </c>
      <c r="T12" s="43"/>
      <c r="U12" s="43"/>
      <c r="V12" s="43"/>
    </row>
    <row r="13" spans="8:22" x14ac:dyDescent="0.3">
      <c r="H13" s="297">
        <v>43952</v>
      </c>
      <c r="I13" s="43">
        <v>518</v>
      </c>
      <c r="J13" s="275">
        <f>I13-I12</f>
        <v>176</v>
      </c>
      <c r="K13" s="43"/>
      <c r="L13" s="303">
        <f t="shared" si="0"/>
        <v>54.15384615384616</v>
      </c>
      <c r="M13" s="295">
        <f t="shared" si="1"/>
        <v>88</v>
      </c>
      <c r="N13" s="295">
        <f t="shared" si="2"/>
        <v>33.84615384615384</v>
      </c>
      <c r="O13" s="295"/>
      <c r="P13" s="295"/>
      <c r="Q13" s="295"/>
      <c r="R13" s="304"/>
      <c r="S13" s="43">
        <v>8</v>
      </c>
      <c r="T13" s="43"/>
      <c r="U13" s="43"/>
      <c r="V13" s="43"/>
    </row>
    <row r="14" spans="8:22" x14ac:dyDescent="0.3">
      <c r="H14" s="297">
        <v>43959</v>
      </c>
      <c r="I14" s="43">
        <v>531</v>
      </c>
      <c r="J14" s="275">
        <f t="shared" ref="J14:J45" si="3">I14-I13</f>
        <v>13</v>
      </c>
      <c r="K14" s="43"/>
      <c r="L14" s="303">
        <f t="shared" si="0"/>
        <v>3.5</v>
      </c>
      <c r="M14" s="295">
        <f t="shared" si="1"/>
        <v>6.5</v>
      </c>
      <c r="N14" s="295">
        <f t="shared" si="2"/>
        <v>3</v>
      </c>
      <c r="O14" s="295"/>
      <c r="P14" s="295"/>
      <c r="Q14" s="295"/>
      <c r="R14" s="304"/>
      <c r="S14" s="43">
        <f t="shared" ref="S14:S20" si="4">S13-1</f>
        <v>7</v>
      </c>
      <c r="T14" s="43"/>
      <c r="U14" s="43"/>
      <c r="V14" s="43"/>
    </row>
    <row r="15" spans="8:22" x14ac:dyDescent="0.3">
      <c r="H15" s="297">
        <v>43967</v>
      </c>
      <c r="I15" s="43">
        <v>513</v>
      </c>
      <c r="J15" s="275">
        <f t="shared" si="3"/>
        <v>-18</v>
      </c>
      <c r="K15" s="43"/>
      <c r="L15" s="303">
        <f t="shared" ref="L15:L17" si="5">S15/26*J15</f>
        <v>-4.1538461538461542</v>
      </c>
      <c r="M15" s="295">
        <f t="shared" ref="M15:M17" si="6">13/26*J15</f>
        <v>-9</v>
      </c>
      <c r="N15" s="295">
        <f t="shared" ref="N15:N17" si="7">J15-SUM(L15:M15)</f>
        <v>-4.8461538461538467</v>
      </c>
      <c r="O15" s="295"/>
      <c r="P15" s="295"/>
      <c r="Q15" s="295"/>
      <c r="R15" s="304"/>
      <c r="S15" s="43">
        <f t="shared" si="4"/>
        <v>6</v>
      </c>
      <c r="T15" s="43"/>
      <c r="U15" s="43"/>
      <c r="V15" s="43"/>
    </row>
    <row r="16" spans="8:22" x14ac:dyDescent="0.3">
      <c r="H16" s="297">
        <v>43974</v>
      </c>
      <c r="I16" s="43">
        <v>511</v>
      </c>
      <c r="J16" s="275">
        <f t="shared" si="3"/>
        <v>-2</v>
      </c>
      <c r="K16" s="43"/>
      <c r="L16" s="303">
        <f t="shared" si="5"/>
        <v>-0.38461538461538464</v>
      </c>
      <c r="M16" s="295">
        <f t="shared" si="6"/>
        <v>-1</v>
      </c>
      <c r="N16" s="295">
        <f t="shared" si="7"/>
        <v>-0.61538461538461542</v>
      </c>
      <c r="O16" s="295"/>
      <c r="P16" s="295"/>
      <c r="Q16" s="295"/>
      <c r="R16" s="304"/>
      <c r="S16" s="43">
        <f t="shared" si="4"/>
        <v>5</v>
      </c>
      <c r="T16" s="43"/>
      <c r="U16" s="43"/>
      <c r="V16" s="43"/>
    </row>
    <row r="17" spans="8:22" x14ac:dyDescent="0.3">
      <c r="H17" s="297">
        <v>43981</v>
      </c>
      <c r="I17" s="43">
        <v>510</v>
      </c>
      <c r="J17" s="275">
        <f t="shared" si="3"/>
        <v>-1</v>
      </c>
      <c r="K17" s="43"/>
      <c r="L17" s="303">
        <f t="shared" si="5"/>
        <v>-0.15384615384615385</v>
      </c>
      <c r="M17" s="295">
        <f t="shared" si="6"/>
        <v>-0.5</v>
      </c>
      <c r="N17" s="295">
        <f t="shared" si="7"/>
        <v>-0.34615384615384615</v>
      </c>
      <c r="O17" s="295"/>
      <c r="P17" s="295"/>
      <c r="Q17" s="295"/>
      <c r="R17" s="304"/>
      <c r="S17" s="43">
        <f t="shared" si="4"/>
        <v>4</v>
      </c>
      <c r="T17" s="43"/>
      <c r="U17" s="43"/>
      <c r="V17" s="43"/>
    </row>
    <row r="18" spans="8:22" x14ac:dyDescent="0.3">
      <c r="H18" s="297">
        <v>43988</v>
      </c>
      <c r="I18" s="43">
        <v>511</v>
      </c>
      <c r="J18" s="275">
        <f t="shared" si="3"/>
        <v>1</v>
      </c>
      <c r="K18" s="43"/>
      <c r="L18" s="303">
        <f t="shared" si="0"/>
        <v>0.11538461538461539</v>
      </c>
      <c r="M18" s="295">
        <f t="shared" si="1"/>
        <v>0.5</v>
      </c>
      <c r="N18" s="295">
        <f t="shared" si="2"/>
        <v>0.38461538461538458</v>
      </c>
      <c r="O18" s="295"/>
      <c r="P18" s="295"/>
      <c r="Q18" s="295"/>
      <c r="R18" s="304"/>
      <c r="S18" s="43">
        <f t="shared" si="4"/>
        <v>3</v>
      </c>
      <c r="T18" s="43"/>
      <c r="U18" s="43"/>
      <c r="V18" s="43"/>
    </row>
    <row r="19" spans="8:22" x14ac:dyDescent="0.3">
      <c r="H19" s="297">
        <v>43994</v>
      </c>
      <c r="I19" s="43">
        <v>512</v>
      </c>
      <c r="J19" s="275">
        <f t="shared" si="3"/>
        <v>1</v>
      </c>
      <c r="K19" s="43"/>
      <c r="L19" s="303">
        <f t="shared" si="0"/>
        <v>7.6923076923076927E-2</v>
      </c>
      <c r="M19" s="295">
        <f t="shared" si="1"/>
        <v>0.5</v>
      </c>
      <c r="N19" s="295">
        <f t="shared" si="2"/>
        <v>0.42307692307692313</v>
      </c>
      <c r="O19" s="295"/>
      <c r="P19" s="295"/>
      <c r="Q19" s="295"/>
      <c r="R19" s="304"/>
      <c r="S19" s="43">
        <f t="shared" si="4"/>
        <v>2</v>
      </c>
      <c r="T19" s="43"/>
      <c r="U19" s="43"/>
      <c r="V19" s="43"/>
    </row>
    <row r="20" spans="8:22" x14ac:dyDescent="0.3">
      <c r="H20" s="297">
        <v>44002</v>
      </c>
      <c r="I20" s="43">
        <v>515</v>
      </c>
      <c r="J20" s="275">
        <f t="shared" si="3"/>
        <v>3</v>
      </c>
      <c r="K20" s="43"/>
      <c r="L20" s="303">
        <f t="shared" si="0"/>
        <v>0.11538461538461539</v>
      </c>
      <c r="M20" s="295">
        <f t="shared" si="1"/>
        <v>1.5</v>
      </c>
      <c r="N20" s="295">
        <f t="shared" si="2"/>
        <v>1.3846153846153846</v>
      </c>
      <c r="O20" s="295"/>
      <c r="P20" s="295"/>
      <c r="Q20" s="295"/>
      <c r="R20" s="304"/>
      <c r="S20" s="43">
        <f t="shared" si="4"/>
        <v>1</v>
      </c>
      <c r="T20" s="43"/>
      <c r="U20" s="43"/>
      <c r="V20" s="43"/>
    </row>
    <row r="21" spans="8:22" x14ac:dyDescent="0.3">
      <c r="H21" s="297">
        <v>44009</v>
      </c>
      <c r="I21" s="43">
        <v>519</v>
      </c>
      <c r="J21" s="275">
        <f t="shared" si="3"/>
        <v>4</v>
      </c>
      <c r="K21" s="43"/>
      <c r="L21" s="303"/>
      <c r="M21" s="295">
        <f>S21/26*J21</f>
        <v>2</v>
      </c>
      <c r="N21" s="295">
        <f t="shared" si="2"/>
        <v>2</v>
      </c>
      <c r="O21" s="295"/>
      <c r="P21" s="295"/>
      <c r="Q21" s="295"/>
      <c r="R21" s="304"/>
      <c r="S21" s="43">
        <v>13</v>
      </c>
      <c r="T21" s="43"/>
      <c r="U21" s="43"/>
      <c r="V21" s="43"/>
    </row>
    <row r="22" spans="8:22" x14ac:dyDescent="0.3">
      <c r="H22" s="297">
        <v>44012</v>
      </c>
      <c r="I22" s="43">
        <v>521</v>
      </c>
      <c r="J22" s="275">
        <f t="shared" si="3"/>
        <v>2</v>
      </c>
      <c r="K22" s="43"/>
      <c r="L22" s="303"/>
      <c r="M22" s="295">
        <f t="shared" ref="M22:M26" si="8">S22/26*J22</f>
        <v>1</v>
      </c>
      <c r="N22" s="295">
        <f>J22-SUM(L22:M22)</f>
        <v>1</v>
      </c>
      <c r="O22" s="295"/>
      <c r="P22" s="295"/>
      <c r="Q22" s="295"/>
      <c r="R22" s="304"/>
      <c r="S22" s="43">
        <v>13</v>
      </c>
      <c r="T22" s="43"/>
      <c r="U22" s="43"/>
      <c r="V22" s="43"/>
    </row>
    <row r="23" spans="8:22" x14ac:dyDescent="0.3">
      <c r="H23" s="297">
        <v>44029</v>
      </c>
      <c r="I23" s="43">
        <v>518</v>
      </c>
      <c r="J23" s="275">
        <f t="shared" si="3"/>
        <v>-3</v>
      </c>
      <c r="K23" s="43"/>
      <c r="L23" s="303"/>
      <c r="M23" s="295">
        <f t="shared" ref="M23" si="9">S23/26*J23</f>
        <v>-1.153846153846154</v>
      </c>
      <c r="N23" s="295">
        <f t="shared" ref="N23" si="10">13/26*J23</f>
        <v>-1.5</v>
      </c>
      <c r="O23" s="295">
        <f t="shared" ref="O23" si="11">J23-N23-M23</f>
        <v>-0.34615384615384603</v>
      </c>
      <c r="P23" s="295"/>
      <c r="Q23" s="295"/>
      <c r="R23" s="304"/>
      <c r="S23" s="43">
        <f>S22-3</f>
        <v>10</v>
      </c>
      <c r="T23" s="43"/>
      <c r="U23" s="43"/>
      <c r="V23" s="43"/>
    </row>
    <row r="24" spans="8:22" x14ac:dyDescent="0.3">
      <c r="H24" s="297">
        <v>44036</v>
      </c>
      <c r="I24" s="43">
        <v>520</v>
      </c>
      <c r="J24" s="275">
        <f t="shared" si="3"/>
        <v>2</v>
      </c>
      <c r="K24" s="43"/>
      <c r="L24" s="303"/>
      <c r="M24" s="295">
        <f t="shared" si="8"/>
        <v>0.69230769230769229</v>
      </c>
      <c r="N24" s="295">
        <f t="shared" ref="N24:N26" si="12">13/26*J24</f>
        <v>1</v>
      </c>
      <c r="O24" s="295">
        <f t="shared" ref="O24:O26" si="13">J24-N24-M24</f>
        <v>0.30769230769230771</v>
      </c>
      <c r="P24" s="295"/>
      <c r="Q24" s="295"/>
      <c r="R24" s="304"/>
      <c r="S24" s="43">
        <f>S23-1</f>
        <v>9</v>
      </c>
      <c r="T24" s="43"/>
      <c r="U24" s="43"/>
      <c r="V24" s="43"/>
    </row>
    <row r="25" spans="8:22" x14ac:dyDescent="0.3">
      <c r="H25" s="297">
        <v>44043</v>
      </c>
      <c r="I25" s="43">
        <v>521</v>
      </c>
      <c r="J25" s="275">
        <f t="shared" si="3"/>
        <v>1</v>
      </c>
      <c r="K25" s="43"/>
      <c r="L25" s="303"/>
      <c r="M25" s="295">
        <f t="shared" si="8"/>
        <v>0.30769230769230771</v>
      </c>
      <c r="N25" s="295">
        <f t="shared" si="12"/>
        <v>0.5</v>
      </c>
      <c r="O25" s="295">
        <f t="shared" si="13"/>
        <v>0.19230769230769229</v>
      </c>
      <c r="P25" s="295"/>
      <c r="Q25" s="295"/>
      <c r="R25" s="304"/>
      <c r="S25" s="43">
        <f>S24-1</f>
        <v>8</v>
      </c>
      <c r="T25" s="43"/>
      <c r="U25" s="43"/>
      <c r="V25" s="43"/>
    </row>
    <row r="26" spans="8:22" x14ac:dyDescent="0.3">
      <c r="H26" s="297">
        <v>44051</v>
      </c>
      <c r="I26" s="43">
        <v>525</v>
      </c>
      <c r="J26" s="275">
        <f t="shared" si="3"/>
        <v>4</v>
      </c>
      <c r="K26" s="43"/>
      <c r="L26" s="303"/>
      <c r="M26" s="295">
        <f t="shared" si="8"/>
        <v>1.0769230769230769</v>
      </c>
      <c r="N26" s="295">
        <f t="shared" si="12"/>
        <v>2</v>
      </c>
      <c r="O26" s="295">
        <f t="shared" si="13"/>
        <v>0.92307692307692313</v>
      </c>
      <c r="P26" s="295"/>
      <c r="Q26" s="295"/>
      <c r="R26" s="304"/>
      <c r="S26" s="43">
        <f>S25-1</f>
        <v>7</v>
      </c>
      <c r="T26" s="43"/>
      <c r="U26" s="43"/>
      <c r="V26" s="43"/>
    </row>
    <row r="27" spans="8:22" x14ac:dyDescent="0.3">
      <c r="H27" s="297">
        <v>44220</v>
      </c>
      <c r="I27" s="43">
        <v>558</v>
      </c>
      <c r="J27" s="275">
        <f t="shared" si="3"/>
        <v>33</v>
      </c>
      <c r="K27" s="43"/>
      <c r="L27" s="303"/>
      <c r="M27" s="295"/>
      <c r="N27" s="295"/>
      <c r="O27" s="295">
        <f>S27/26*J27</f>
        <v>12.692307692307693</v>
      </c>
      <c r="P27" s="295">
        <f>J27/2</f>
        <v>16.5</v>
      </c>
      <c r="Q27" s="295">
        <f>J27-P27-O27</f>
        <v>3.8076923076923066</v>
      </c>
      <c r="R27" s="304"/>
      <c r="S27" s="43">
        <v>10</v>
      </c>
      <c r="T27" s="43">
        <v>10</v>
      </c>
      <c r="U27" s="43"/>
      <c r="V27" s="43"/>
    </row>
    <row r="28" spans="8:22" x14ac:dyDescent="0.3">
      <c r="H28" s="297">
        <v>44227</v>
      </c>
      <c r="I28" s="43">
        <v>596</v>
      </c>
      <c r="J28" s="275">
        <f t="shared" si="3"/>
        <v>38</v>
      </c>
      <c r="K28" s="43"/>
      <c r="L28" s="303"/>
      <c r="M28" s="295"/>
      <c r="N28" s="295"/>
      <c r="O28" s="295">
        <f t="shared" ref="O28:O36" si="14">S28/26*J28</f>
        <v>13.153846153846153</v>
      </c>
      <c r="P28" s="295">
        <f t="shared" ref="P28:P36" si="15">J28/2</f>
        <v>19</v>
      </c>
      <c r="Q28" s="295">
        <f t="shared" ref="Q28:Q36" si="16">J28-P28-O28</f>
        <v>5.8461538461538467</v>
      </c>
      <c r="R28" s="304"/>
      <c r="S28" s="43">
        <f>S27-1</f>
        <v>9</v>
      </c>
      <c r="T28" s="43">
        <f>T27-1</f>
        <v>9</v>
      </c>
      <c r="U28" s="43"/>
      <c r="V28" s="43"/>
    </row>
    <row r="29" spans="8:22" x14ac:dyDescent="0.3">
      <c r="H29" s="297">
        <v>44234</v>
      </c>
      <c r="I29" s="43">
        <v>623</v>
      </c>
      <c r="J29" s="275">
        <f t="shared" si="3"/>
        <v>27</v>
      </c>
      <c r="K29" s="43"/>
      <c r="L29" s="303"/>
      <c r="M29" s="295"/>
      <c r="N29" s="295"/>
      <c r="O29" s="295">
        <f t="shared" si="14"/>
        <v>8.3076923076923084</v>
      </c>
      <c r="P29" s="295">
        <f t="shared" si="15"/>
        <v>13.5</v>
      </c>
      <c r="Q29" s="295">
        <f t="shared" si="16"/>
        <v>5.1923076923076916</v>
      </c>
      <c r="R29" s="304"/>
      <c r="S29" s="43">
        <f t="shared" ref="S29:S36" si="17">S28-1</f>
        <v>8</v>
      </c>
      <c r="T29" s="43">
        <f t="shared" ref="T29:T36" si="18">T28-1</f>
        <v>8</v>
      </c>
      <c r="U29" s="43"/>
      <c r="V29" s="43"/>
    </row>
    <row r="30" spans="8:22" x14ac:dyDescent="0.3">
      <c r="H30" s="297">
        <v>44242</v>
      </c>
      <c r="I30" s="43">
        <v>648</v>
      </c>
      <c r="J30" s="275">
        <f t="shared" si="3"/>
        <v>25</v>
      </c>
      <c r="K30" s="43"/>
      <c r="L30" s="303"/>
      <c r="M30" s="295"/>
      <c r="N30" s="295"/>
      <c r="O30" s="295">
        <f t="shared" si="14"/>
        <v>6.7307692307692308</v>
      </c>
      <c r="P30" s="295">
        <f t="shared" si="15"/>
        <v>12.5</v>
      </c>
      <c r="Q30" s="295">
        <f t="shared" si="16"/>
        <v>5.7692307692307692</v>
      </c>
      <c r="R30" s="304"/>
      <c r="S30" s="43">
        <f t="shared" si="17"/>
        <v>7</v>
      </c>
      <c r="T30" s="43">
        <f t="shared" si="18"/>
        <v>7</v>
      </c>
      <c r="U30" s="43"/>
      <c r="V30" s="43"/>
    </row>
    <row r="31" spans="8:22" x14ac:dyDescent="0.3">
      <c r="H31" s="297">
        <v>44248</v>
      </c>
      <c r="I31" s="43">
        <v>663</v>
      </c>
      <c r="J31" s="275">
        <f t="shared" si="3"/>
        <v>15</v>
      </c>
      <c r="K31" s="43"/>
      <c r="L31" s="303"/>
      <c r="M31" s="295"/>
      <c r="N31" s="295"/>
      <c r="O31" s="295">
        <f t="shared" si="14"/>
        <v>3.4615384615384617</v>
      </c>
      <c r="P31" s="295">
        <f t="shared" si="15"/>
        <v>7.5</v>
      </c>
      <c r="Q31" s="295">
        <f t="shared" si="16"/>
        <v>4.0384615384615383</v>
      </c>
      <c r="R31" s="304"/>
      <c r="S31" s="43">
        <f t="shared" si="17"/>
        <v>6</v>
      </c>
      <c r="T31" s="43">
        <f t="shared" si="18"/>
        <v>6</v>
      </c>
      <c r="U31" s="43"/>
      <c r="V31" s="43"/>
    </row>
    <row r="32" spans="8:22" x14ac:dyDescent="0.3">
      <c r="H32" s="297">
        <v>44255</v>
      </c>
      <c r="I32" s="43">
        <v>679</v>
      </c>
      <c r="J32" s="275">
        <f t="shared" si="3"/>
        <v>16</v>
      </c>
      <c r="K32" s="43"/>
      <c r="L32" s="303"/>
      <c r="M32" s="295"/>
      <c r="N32" s="295"/>
      <c r="O32" s="295">
        <f t="shared" si="14"/>
        <v>3.0769230769230771</v>
      </c>
      <c r="P32" s="295">
        <f t="shared" si="15"/>
        <v>8</v>
      </c>
      <c r="Q32" s="295">
        <f t="shared" si="16"/>
        <v>4.9230769230769234</v>
      </c>
      <c r="R32" s="304"/>
      <c r="S32" s="43">
        <f t="shared" si="17"/>
        <v>5</v>
      </c>
      <c r="T32" s="43">
        <f t="shared" si="18"/>
        <v>5</v>
      </c>
      <c r="U32" s="43"/>
      <c r="V32" s="43"/>
    </row>
    <row r="33" spans="8:22" x14ac:dyDescent="0.3">
      <c r="H33" s="297">
        <v>44262</v>
      </c>
      <c r="I33" s="43">
        <v>687</v>
      </c>
      <c r="J33" s="275">
        <f t="shared" si="3"/>
        <v>8</v>
      </c>
      <c r="K33" s="43"/>
      <c r="L33" s="303"/>
      <c r="M33" s="295"/>
      <c r="N33" s="295"/>
      <c r="O33" s="295">
        <f t="shared" si="14"/>
        <v>1.2307692307692308</v>
      </c>
      <c r="P33" s="295">
        <f t="shared" si="15"/>
        <v>4</v>
      </c>
      <c r="Q33" s="295">
        <f t="shared" si="16"/>
        <v>2.7692307692307692</v>
      </c>
      <c r="R33" s="304"/>
      <c r="S33" s="43">
        <f t="shared" si="17"/>
        <v>4</v>
      </c>
      <c r="T33" s="43">
        <f t="shared" si="18"/>
        <v>4</v>
      </c>
      <c r="U33" s="43"/>
      <c r="V33" s="43"/>
    </row>
    <row r="34" spans="8:22" x14ac:dyDescent="0.3">
      <c r="H34" s="297">
        <v>44269</v>
      </c>
      <c r="I34" s="43">
        <v>704</v>
      </c>
      <c r="J34" s="275">
        <f t="shared" si="3"/>
        <v>17</v>
      </c>
      <c r="K34" s="43"/>
      <c r="L34" s="303"/>
      <c r="M34" s="295"/>
      <c r="N34" s="295"/>
      <c r="O34" s="295">
        <f t="shared" si="14"/>
        <v>1.9615384615384617</v>
      </c>
      <c r="P34" s="295">
        <f t="shared" si="15"/>
        <v>8.5</v>
      </c>
      <c r="Q34" s="295">
        <f t="shared" si="16"/>
        <v>6.5384615384615383</v>
      </c>
      <c r="R34" s="304"/>
      <c r="S34" s="43">
        <f t="shared" si="17"/>
        <v>3</v>
      </c>
      <c r="T34" s="43">
        <f t="shared" si="18"/>
        <v>3</v>
      </c>
      <c r="U34" s="43"/>
      <c r="V34" s="43"/>
    </row>
    <row r="35" spans="8:22" x14ac:dyDescent="0.3">
      <c r="H35" s="297">
        <v>44276</v>
      </c>
      <c r="I35" s="43">
        <v>718</v>
      </c>
      <c r="J35" s="275">
        <f t="shared" si="3"/>
        <v>14</v>
      </c>
      <c r="K35" s="43"/>
      <c r="L35" s="303"/>
      <c r="M35" s="295"/>
      <c r="N35" s="295"/>
      <c r="O35" s="295">
        <f t="shared" si="14"/>
        <v>1.0769230769230771</v>
      </c>
      <c r="P35" s="295">
        <f t="shared" si="15"/>
        <v>7</v>
      </c>
      <c r="Q35" s="295">
        <f t="shared" si="16"/>
        <v>5.9230769230769234</v>
      </c>
      <c r="R35" s="304"/>
      <c r="S35" s="43">
        <f t="shared" si="17"/>
        <v>2</v>
      </c>
      <c r="T35" s="43">
        <f t="shared" si="18"/>
        <v>2</v>
      </c>
      <c r="U35" s="43"/>
      <c r="V35" s="43"/>
    </row>
    <row r="36" spans="8:22" x14ac:dyDescent="0.3">
      <c r="H36" s="297">
        <v>44283</v>
      </c>
      <c r="I36" s="43">
        <v>734</v>
      </c>
      <c r="J36" s="275">
        <f t="shared" si="3"/>
        <v>16</v>
      </c>
      <c r="K36" s="43"/>
      <c r="L36" s="303"/>
      <c r="M36" s="295"/>
      <c r="N36" s="295"/>
      <c r="O36" s="295">
        <f t="shared" si="14"/>
        <v>0.61538461538461542</v>
      </c>
      <c r="P36" s="295">
        <f t="shared" si="15"/>
        <v>8</v>
      </c>
      <c r="Q36" s="295">
        <f t="shared" si="16"/>
        <v>7.384615384615385</v>
      </c>
      <c r="R36" s="304"/>
      <c r="S36" s="43">
        <f t="shared" si="17"/>
        <v>1</v>
      </c>
      <c r="T36" s="43">
        <f t="shared" si="18"/>
        <v>1</v>
      </c>
      <c r="U36" s="43"/>
      <c r="V36" s="43"/>
    </row>
    <row r="37" spans="8:22" x14ac:dyDescent="0.3">
      <c r="H37" s="297">
        <v>44290</v>
      </c>
      <c r="I37" s="43">
        <v>746</v>
      </c>
      <c r="J37" s="275">
        <f t="shared" si="3"/>
        <v>12</v>
      </c>
      <c r="K37" s="43"/>
      <c r="L37" s="303"/>
      <c r="M37" s="295"/>
      <c r="N37" s="295"/>
      <c r="O37" s="295"/>
      <c r="P37" s="295">
        <f>T37/26*J37</f>
        <v>6</v>
      </c>
      <c r="Q37" s="295">
        <f>J37/2</f>
        <v>6</v>
      </c>
      <c r="R37" s="304">
        <f>J37-Q37-P37</f>
        <v>0</v>
      </c>
      <c r="S37" s="43">
        <v>13</v>
      </c>
      <c r="T37" s="43">
        <v>13</v>
      </c>
      <c r="U37" s="43"/>
      <c r="V37" s="43"/>
    </row>
    <row r="38" spans="8:22" x14ac:dyDescent="0.3">
      <c r="H38" s="297">
        <v>44297</v>
      </c>
      <c r="I38" s="43">
        <v>755</v>
      </c>
      <c r="J38" s="275">
        <f t="shared" si="3"/>
        <v>9</v>
      </c>
      <c r="K38" s="43"/>
      <c r="L38" s="303"/>
      <c r="M38" s="295"/>
      <c r="N38" s="295"/>
      <c r="O38" s="295"/>
      <c r="P38" s="295">
        <f t="shared" ref="P38:P45" si="19">T38/26*J38</f>
        <v>4.1538461538461542</v>
      </c>
      <c r="Q38" s="295">
        <f t="shared" ref="Q38:Q45" si="20">J38/2</f>
        <v>4.5</v>
      </c>
      <c r="R38" s="304">
        <f t="shared" ref="R38:R45" si="21">J38-Q38-P38</f>
        <v>0.34615384615384581</v>
      </c>
      <c r="S38" s="43">
        <f>S37-1</f>
        <v>12</v>
      </c>
      <c r="T38" s="43">
        <f>T37-1</f>
        <v>12</v>
      </c>
      <c r="U38" s="43"/>
      <c r="V38" s="43"/>
    </row>
    <row r="39" spans="8:22" x14ac:dyDescent="0.3">
      <c r="H39" s="297">
        <v>44304</v>
      </c>
      <c r="I39" s="43">
        <v>762</v>
      </c>
      <c r="J39" s="275">
        <f t="shared" si="3"/>
        <v>7</v>
      </c>
      <c r="K39" s="43"/>
      <c r="L39" s="303"/>
      <c r="M39" s="295"/>
      <c r="N39" s="295"/>
      <c r="O39" s="295"/>
      <c r="P39" s="295">
        <f t="shared" si="19"/>
        <v>2.9615384615384617</v>
      </c>
      <c r="Q39" s="295">
        <f t="shared" si="20"/>
        <v>3.5</v>
      </c>
      <c r="R39" s="304">
        <f t="shared" si="21"/>
        <v>0.53846153846153832</v>
      </c>
      <c r="S39" s="43">
        <f t="shared" ref="S39:S45" si="22">S38-1</f>
        <v>11</v>
      </c>
      <c r="T39" s="43">
        <f t="shared" ref="T39:T45" si="23">T38-1</f>
        <v>11</v>
      </c>
      <c r="U39" s="43"/>
      <c r="V39" s="43"/>
    </row>
    <row r="40" spans="8:22" x14ac:dyDescent="0.3">
      <c r="H40" s="297">
        <v>44311</v>
      </c>
      <c r="I40" s="43">
        <v>771</v>
      </c>
      <c r="J40" s="275">
        <f t="shared" si="3"/>
        <v>9</v>
      </c>
      <c r="K40" s="43"/>
      <c r="L40" s="303"/>
      <c r="M40" s="295"/>
      <c r="N40" s="295"/>
      <c r="O40" s="295"/>
      <c r="P40" s="295">
        <f t="shared" si="19"/>
        <v>3.4615384615384617</v>
      </c>
      <c r="Q40" s="295">
        <f t="shared" si="20"/>
        <v>4.5</v>
      </c>
      <c r="R40" s="304">
        <f t="shared" si="21"/>
        <v>1.0384615384615383</v>
      </c>
      <c r="S40" s="43">
        <f t="shared" si="22"/>
        <v>10</v>
      </c>
      <c r="T40" s="43">
        <f t="shared" si="23"/>
        <v>10</v>
      </c>
      <c r="U40" s="43"/>
      <c r="V40" s="43"/>
    </row>
    <row r="41" spans="8:22" x14ac:dyDescent="0.3">
      <c r="H41" s="297">
        <v>44318</v>
      </c>
      <c r="I41" s="43">
        <v>780</v>
      </c>
      <c r="J41" s="275">
        <f t="shared" si="3"/>
        <v>9</v>
      </c>
      <c r="K41" s="43"/>
      <c r="L41" s="303"/>
      <c r="M41" s="295"/>
      <c r="N41" s="295"/>
      <c r="O41" s="295"/>
      <c r="P41" s="295">
        <f t="shared" si="19"/>
        <v>3.1153846153846154</v>
      </c>
      <c r="Q41" s="295">
        <f t="shared" si="20"/>
        <v>4.5</v>
      </c>
      <c r="R41" s="304">
        <f t="shared" si="21"/>
        <v>1.3846153846153846</v>
      </c>
      <c r="S41" s="43">
        <f t="shared" si="22"/>
        <v>9</v>
      </c>
      <c r="T41" s="43">
        <f t="shared" si="23"/>
        <v>9</v>
      </c>
      <c r="U41" s="43"/>
      <c r="V41" s="43"/>
    </row>
    <row r="42" spans="8:22" x14ac:dyDescent="0.3">
      <c r="H42" s="297">
        <v>44325</v>
      </c>
      <c r="I42" s="43">
        <v>782</v>
      </c>
      <c r="J42" s="275">
        <f t="shared" si="3"/>
        <v>2</v>
      </c>
      <c r="K42" s="43"/>
      <c r="L42" s="303"/>
      <c r="M42" s="295"/>
      <c r="N42" s="295"/>
      <c r="O42" s="295"/>
      <c r="P42" s="295">
        <f t="shared" si="19"/>
        <v>0.61538461538461542</v>
      </c>
      <c r="Q42" s="295">
        <f t="shared" si="20"/>
        <v>1</v>
      </c>
      <c r="R42" s="304">
        <f t="shared" si="21"/>
        <v>0.38461538461538458</v>
      </c>
      <c r="S42" s="43">
        <f t="shared" si="22"/>
        <v>8</v>
      </c>
      <c r="T42" s="43">
        <f t="shared" si="23"/>
        <v>8</v>
      </c>
      <c r="U42" s="43"/>
      <c r="V42" s="43"/>
    </row>
    <row r="43" spans="8:22" x14ac:dyDescent="0.3">
      <c r="H43" s="297">
        <v>44332</v>
      </c>
      <c r="I43" s="43">
        <v>788</v>
      </c>
      <c r="J43" s="275">
        <f t="shared" si="3"/>
        <v>6</v>
      </c>
      <c r="K43" s="43"/>
      <c r="L43" s="303"/>
      <c r="M43" s="295"/>
      <c r="N43" s="295"/>
      <c r="O43" s="295"/>
      <c r="P43" s="295">
        <f t="shared" si="19"/>
        <v>1.6153846153846154</v>
      </c>
      <c r="Q43" s="295">
        <f t="shared" si="20"/>
        <v>3</v>
      </c>
      <c r="R43" s="304">
        <f t="shared" si="21"/>
        <v>1.3846153846153846</v>
      </c>
      <c r="S43" s="43">
        <f t="shared" si="22"/>
        <v>7</v>
      </c>
      <c r="T43" s="43">
        <f t="shared" si="23"/>
        <v>7</v>
      </c>
      <c r="U43" s="43"/>
      <c r="V43" s="43"/>
    </row>
    <row r="44" spans="8:22" x14ac:dyDescent="0.3">
      <c r="H44" s="297">
        <v>44339</v>
      </c>
      <c r="I44" s="43">
        <v>796</v>
      </c>
      <c r="J44" s="275">
        <f t="shared" si="3"/>
        <v>8</v>
      </c>
      <c r="K44" s="43"/>
      <c r="L44" s="303"/>
      <c r="M44" s="295"/>
      <c r="N44" s="295"/>
      <c r="O44" s="295"/>
      <c r="P44" s="295">
        <f t="shared" si="19"/>
        <v>1.8461538461538463</v>
      </c>
      <c r="Q44" s="295">
        <f t="shared" si="20"/>
        <v>4</v>
      </c>
      <c r="R44" s="304">
        <f t="shared" si="21"/>
        <v>2.1538461538461537</v>
      </c>
      <c r="S44" s="43">
        <f t="shared" si="22"/>
        <v>6</v>
      </c>
      <c r="T44" s="43">
        <f t="shared" si="23"/>
        <v>6</v>
      </c>
      <c r="U44" s="43"/>
      <c r="V44" s="43"/>
    </row>
    <row r="45" spans="8:22" x14ac:dyDescent="0.3">
      <c r="H45" s="298">
        <v>44347</v>
      </c>
      <c r="I45" s="145">
        <v>800</v>
      </c>
      <c r="J45" s="174">
        <f t="shared" si="3"/>
        <v>4</v>
      </c>
      <c r="K45" s="43"/>
      <c r="L45" s="303"/>
      <c r="M45" s="295"/>
      <c r="N45" s="295"/>
      <c r="O45" s="295"/>
      <c r="P45" s="295">
        <f t="shared" si="19"/>
        <v>0.76923076923076927</v>
      </c>
      <c r="Q45" s="295">
        <f t="shared" si="20"/>
        <v>2</v>
      </c>
      <c r="R45" s="304">
        <f t="shared" si="21"/>
        <v>1.2307692307692308</v>
      </c>
      <c r="S45" s="43">
        <f t="shared" si="22"/>
        <v>5</v>
      </c>
      <c r="T45" s="43">
        <f t="shared" si="23"/>
        <v>5</v>
      </c>
      <c r="U45" s="43"/>
      <c r="V45" s="43"/>
    </row>
    <row r="46" spans="8:22" x14ac:dyDescent="0.3">
      <c r="H46" s="43"/>
      <c r="I46" s="43"/>
      <c r="J46" s="43"/>
      <c r="K46" s="43"/>
      <c r="L46" s="303">
        <f>SUM(L11:L45)</f>
        <v>184.80769230769229</v>
      </c>
      <c r="M46" s="295">
        <f t="shared" ref="M46:R46" si="24">SUM(M11:M45)</f>
        <v>261.42307692307696</v>
      </c>
      <c r="N46" s="295">
        <f t="shared" si="24"/>
        <v>77.692307692307693</v>
      </c>
      <c r="O46" s="295">
        <f t="shared" si="24"/>
        <v>53.384615384615394</v>
      </c>
      <c r="P46" s="295">
        <f t="shared" si="24"/>
        <v>129.03846153846155</v>
      </c>
      <c r="Q46" s="295">
        <f t="shared" si="24"/>
        <v>85.192307692307693</v>
      </c>
      <c r="R46" s="304">
        <f t="shared" si="24"/>
        <v>8.4615384615384599</v>
      </c>
      <c r="S46" s="43"/>
      <c r="T46" s="43"/>
      <c r="U46" s="43"/>
      <c r="V46" s="43"/>
    </row>
    <row r="47" spans="8:22" x14ac:dyDescent="0.3">
      <c r="H47" s="43"/>
      <c r="I47" s="43"/>
      <c r="J47" s="43"/>
      <c r="K47" s="43"/>
      <c r="L47" s="305">
        <f>L46*4</f>
        <v>739.23076923076917</v>
      </c>
      <c r="M47" s="306">
        <f t="shared" ref="M47:R47" si="25">M46*4</f>
        <v>1045.6923076923078</v>
      </c>
      <c r="N47" s="306">
        <f t="shared" si="25"/>
        <v>310.76923076923077</v>
      </c>
      <c r="O47" s="306">
        <f t="shared" si="25"/>
        <v>213.53846153846158</v>
      </c>
      <c r="P47" s="306">
        <f t="shared" si="25"/>
        <v>516.15384615384619</v>
      </c>
      <c r="Q47" s="306">
        <f t="shared" si="25"/>
        <v>340.76923076923077</v>
      </c>
      <c r="R47" s="307">
        <f t="shared" si="25"/>
        <v>33.84615384615384</v>
      </c>
      <c r="S47" s="43" t="s">
        <v>456</v>
      </c>
      <c r="T47" s="43"/>
      <c r="U47" s="43"/>
      <c r="V47" s="43"/>
    </row>
    <row r="48" spans="8:22" x14ac:dyDescent="0.3">
      <c r="J48" s="34" t="s">
        <v>457</v>
      </c>
      <c r="M48" s="90">
        <f>K55</f>
        <v>900.7</v>
      </c>
      <c r="N48" s="90">
        <f t="shared" ref="N48:P48" si="26">L55</f>
        <v>270.7</v>
      </c>
      <c r="O48" s="90">
        <f t="shared" si="26"/>
        <v>195.4</v>
      </c>
      <c r="P48" s="90">
        <f t="shared" si="26"/>
        <v>451.9</v>
      </c>
      <c r="Q48" s="90">
        <f>P48/P47*Q47</f>
        <v>298.34828614008939</v>
      </c>
      <c r="R48" s="90">
        <f>Q48/Q47*R47</f>
        <v>29.632786885245892</v>
      </c>
    </row>
    <row r="50" spans="8:25" x14ac:dyDescent="0.3">
      <c r="H50" s="1077" t="s">
        <v>458</v>
      </c>
      <c r="I50" s="1078"/>
      <c r="J50" s="1054" t="s">
        <v>409</v>
      </c>
      <c r="K50" s="1055"/>
      <c r="L50" s="1055"/>
      <c r="M50" s="1055"/>
      <c r="N50" s="1055"/>
      <c r="O50" s="1055"/>
      <c r="P50" s="881"/>
      <c r="Q50" s="52"/>
      <c r="R50" s="52"/>
      <c r="S50" s="52"/>
      <c r="T50" s="52"/>
      <c r="U50" s="52"/>
      <c r="V50" s="52"/>
      <c r="W50" s="52"/>
      <c r="X50" s="52"/>
      <c r="Y50" s="52"/>
    </row>
    <row r="51" spans="8:25" x14ac:dyDescent="0.3">
      <c r="H51" s="1079"/>
      <c r="I51" s="1080"/>
      <c r="J51" s="1044">
        <v>2020</v>
      </c>
      <c r="K51" s="1045"/>
      <c r="L51" s="1045"/>
      <c r="M51" s="1044">
        <v>2021</v>
      </c>
      <c r="N51" s="1045"/>
      <c r="O51" s="1045"/>
      <c r="P51" s="882"/>
      <c r="Q51" s="1074"/>
      <c r="R51" s="1074"/>
      <c r="S51" s="1074"/>
      <c r="T51" s="1074"/>
      <c r="U51" s="1074"/>
      <c r="V51" s="1074"/>
      <c r="W51" s="1074"/>
      <c r="X51" s="1074"/>
    </row>
    <row r="52" spans="8:25" x14ac:dyDescent="0.3">
      <c r="H52" s="1081"/>
      <c r="I52" s="1082"/>
      <c r="J52" s="162" t="s">
        <v>413</v>
      </c>
      <c r="K52" s="149" t="s">
        <v>298</v>
      </c>
      <c r="L52" s="149" t="s">
        <v>411</v>
      </c>
      <c r="M52" s="35" t="s">
        <v>412</v>
      </c>
      <c r="N52" s="36" t="s">
        <v>413</v>
      </c>
      <c r="O52" s="36" t="s">
        <v>298</v>
      </c>
      <c r="P52" s="61" t="s">
        <v>411</v>
      </c>
      <c r="Q52" s="43"/>
      <c r="U52" s="43"/>
    </row>
    <row r="53" spans="8:25" ht="32.5" customHeight="1" x14ac:dyDescent="0.3">
      <c r="H53" s="56" t="s">
        <v>459</v>
      </c>
      <c r="I53" s="43" t="s">
        <v>460</v>
      </c>
      <c r="J53" s="879">
        <f>'Haver Pivoted'!GU47</f>
        <v>57.2</v>
      </c>
      <c r="K53" s="880">
        <f>'Haver Pivoted'!GV47</f>
        <v>81.2</v>
      </c>
      <c r="L53" s="880">
        <f>'Haver Pivoted'!GW47</f>
        <v>24.4</v>
      </c>
      <c r="M53" s="286">
        <f>'Haver Pivoted'!GX47</f>
        <v>10.8</v>
      </c>
      <c r="N53" s="286">
        <f>'Haver Pivoted'!GY47</f>
        <v>24.7</v>
      </c>
      <c r="O53" s="946">
        <f>'Haver Pivoted'!GZ47</f>
        <v>0</v>
      </c>
      <c r="P53" s="391" t="e">
        <f>O56*R47</f>
        <v>#DIV/0!</v>
      </c>
      <c r="Q53" s="286"/>
      <c r="R53" s="286"/>
    </row>
    <row r="54" spans="8:25" ht="33.65" customHeight="1" x14ac:dyDescent="0.3">
      <c r="H54" s="56" t="s">
        <v>461</v>
      </c>
      <c r="I54" s="63" t="s">
        <v>462</v>
      </c>
      <c r="J54" s="287">
        <f>'Haver Pivoted'!GU49</f>
        <v>576.9</v>
      </c>
      <c r="K54" s="286">
        <f>'Haver Pivoted'!GV49</f>
        <v>819.5</v>
      </c>
      <c r="L54" s="286">
        <f>'Haver Pivoted'!GW49</f>
        <v>246.3</v>
      </c>
      <c r="M54" s="286">
        <f>'Haver Pivoted'!GX49</f>
        <v>184.6</v>
      </c>
      <c r="N54" s="286">
        <f>'Haver Pivoted'!GY49</f>
        <v>427.2</v>
      </c>
      <c r="O54" s="946">
        <f>'Haver Pivoted'!GZ49</f>
        <v>0</v>
      </c>
      <c r="P54" s="288" t="e">
        <f>R47-P53</f>
        <v>#DIV/0!</v>
      </c>
      <c r="Q54" s="286"/>
      <c r="R54" s="286"/>
    </row>
    <row r="55" spans="8:25" x14ac:dyDescent="0.3">
      <c r="H55" s="41" t="s">
        <v>445</v>
      </c>
      <c r="I55" s="43"/>
      <c r="J55" s="287">
        <f>J54+J53</f>
        <v>634.1</v>
      </c>
      <c r="K55" s="286">
        <f t="shared" ref="K55:M55" si="27">K54+K53</f>
        <v>900.7</v>
      </c>
      <c r="L55" s="286">
        <f t="shared" si="27"/>
        <v>270.7</v>
      </c>
      <c r="M55" s="286">
        <f t="shared" si="27"/>
        <v>195.4</v>
      </c>
      <c r="N55" s="286">
        <f t="shared" ref="N55:O55" si="28">N54+N53</f>
        <v>451.9</v>
      </c>
      <c r="O55" s="946">
        <f t="shared" si="28"/>
        <v>0</v>
      </c>
      <c r="P55" s="288" t="e">
        <f t="shared" ref="P55" si="29">P54+P53</f>
        <v>#DIV/0!</v>
      </c>
      <c r="Q55" s="286"/>
      <c r="R55" s="286"/>
    </row>
    <row r="56" spans="8:25" x14ac:dyDescent="0.3">
      <c r="H56" s="138" t="s">
        <v>463</v>
      </c>
      <c r="I56" s="145"/>
      <c r="J56" s="578">
        <f t="shared" ref="J56:O56" si="30">J53/J55</f>
        <v>9.0206592020186091E-2</v>
      </c>
      <c r="K56" s="579">
        <f t="shared" si="30"/>
        <v>9.015210391917397E-2</v>
      </c>
      <c r="L56" s="579">
        <f t="shared" si="30"/>
        <v>9.0136682674547469E-2</v>
      </c>
      <c r="M56" s="579">
        <f t="shared" si="30"/>
        <v>5.527123848515865E-2</v>
      </c>
      <c r="N56" s="579">
        <f t="shared" si="30"/>
        <v>5.4658110201371984E-2</v>
      </c>
      <c r="O56" s="580" t="e">
        <f t="shared" si="30"/>
        <v>#DIV/0!</v>
      </c>
      <c r="P56" s="292" t="e">
        <f t="shared" ref="P56" si="31">O56</f>
        <v>#DIV/0!</v>
      </c>
      <c r="Q56" s="293" t="s">
        <v>464</v>
      </c>
      <c r="R56" s="294"/>
    </row>
    <row r="59" spans="8:25" x14ac:dyDescent="0.3">
      <c r="H59" s="39"/>
      <c r="I59" s="43"/>
      <c r="J59" s="286"/>
      <c r="K59" s="286"/>
      <c r="L59" s="286" t="s">
        <v>465</v>
      </c>
      <c r="M59" s="286"/>
      <c r="N59" s="286"/>
      <c r="O59" s="286"/>
      <c r="P59" s="286"/>
      <c r="Q59" s="286"/>
      <c r="R59" s="286"/>
      <c r="S59" s="286"/>
    </row>
    <row r="60" spans="8:25" x14ac:dyDescent="0.3">
      <c r="H60" s="39"/>
      <c r="I60" s="63"/>
      <c r="J60" s="286"/>
      <c r="K60" s="286"/>
      <c r="L60" s="286"/>
      <c r="M60" s="286" t="s">
        <v>307</v>
      </c>
      <c r="N60" s="286" t="s">
        <v>308</v>
      </c>
      <c r="O60" s="286" t="s">
        <v>466</v>
      </c>
      <c r="P60" s="286"/>
      <c r="Q60" s="286"/>
      <c r="R60" s="286"/>
      <c r="S60" s="286"/>
    </row>
    <row r="61" spans="8:25" x14ac:dyDescent="0.3">
      <c r="I61" s="43"/>
      <c r="J61" s="286"/>
      <c r="K61" s="286"/>
      <c r="L61" s="286"/>
      <c r="M61" s="286"/>
      <c r="N61" s="286"/>
      <c r="O61" s="286"/>
      <c r="P61" s="286"/>
      <c r="Q61" s="286"/>
      <c r="R61" s="286"/>
      <c r="S61" s="286"/>
    </row>
    <row r="62" spans="8:25" x14ac:dyDescent="0.3">
      <c r="I62" s="43"/>
      <c r="J62" s="294"/>
      <c r="K62" s="294"/>
      <c r="L62" s="294"/>
      <c r="M62" s="294"/>
      <c r="N62" s="294"/>
      <c r="O62" s="294"/>
      <c r="P62" s="294"/>
      <c r="Q62" s="293"/>
      <c r="R62" s="294"/>
      <c r="S62" s="293"/>
    </row>
    <row r="63" spans="8:25" x14ac:dyDescent="0.3">
      <c r="L63" s="34" t="s">
        <v>467</v>
      </c>
      <c r="M63" s="34">
        <v>4.8999999999999995</v>
      </c>
      <c r="N63" s="34">
        <v>11.333333333333334</v>
      </c>
      <c r="O63" s="34">
        <f>'Monthly Personal Income'!M18</f>
        <v>7.7</v>
      </c>
      <c r="P63" s="34">
        <f>O63/N63-1</f>
        <v>-0.32058823529411762</v>
      </c>
    </row>
    <row r="64" spans="8:25" x14ac:dyDescent="0.3">
      <c r="L64" s="34" t="s">
        <v>468</v>
      </c>
      <c r="M64" s="34">
        <v>76.733333333333334</v>
      </c>
      <c r="N64" s="34">
        <v>177.63333333333333</v>
      </c>
      <c r="O64" s="34">
        <f>'Monthly Personal Income'!M21</f>
        <v>116.36666666666667</v>
      </c>
      <c r="P64" s="34">
        <f t="shared" ref="P64:P67" si="32">O64/N64-1</f>
        <v>-0.34490523550384677</v>
      </c>
    </row>
    <row r="65" spans="12:16" x14ac:dyDescent="0.3">
      <c r="L65" s="34" t="s">
        <v>469</v>
      </c>
      <c r="M65" s="34">
        <f>M64+M63</f>
        <v>81.63333333333334</v>
      </c>
      <c r="N65" s="34">
        <f>N64+N63</f>
        <v>188.96666666666667</v>
      </c>
      <c r="O65" s="34">
        <f>O64+O63</f>
        <v>124.06666666666668</v>
      </c>
      <c r="P65" s="34">
        <f t="shared" si="32"/>
        <v>-0.34344681601693416</v>
      </c>
    </row>
    <row r="66" spans="12:16" x14ac:dyDescent="0.3">
      <c r="L66" s="34" t="s">
        <v>470</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471</v>
      </c>
      <c r="M67" s="90">
        <f>M68-M66-M65</f>
        <v>102.93333333333332</v>
      </c>
      <c r="N67" s="90">
        <f>N68-N66-N65</f>
        <v>238.19999999999996</v>
      </c>
      <c r="O67" s="34">
        <f>N67/(N66+N65)*(O65+O66)</f>
        <v>155.08451099672439</v>
      </c>
      <c r="P67" s="34">
        <f t="shared" si="32"/>
        <v>-0.34893152394322247</v>
      </c>
    </row>
    <row r="68" spans="12:16" x14ac:dyDescent="0.3">
      <c r="L68" s="34" t="s">
        <v>445</v>
      </c>
      <c r="M68" s="90">
        <f>M55</f>
        <v>195.4</v>
      </c>
      <c r="N68" s="90">
        <f>N55</f>
        <v>451.9</v>
      </c>
      <c r="O68" s="34">
        <f>O67+O66+O65</f>
        <v>294.21784433005774</v>
      </c>
    </row>
    <row r="69" spans="12:16" x14ac:dyDescent="0.3">
      <c r="M69" s="34">
        <f>M67/M68</f>
        <v>0.52678266803138851</v>
      </c>
      <c r="N69" s="34">
        <f>N67/N68</f>
        <v>0.52710776720513386</v>
      </c>
      <c r="O69" s="90">
        <f>O55-O68</f>
        <v>-294.21784433005774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79" zoomScale="63" zoomScaleNormal="80" workbookViewId="0">
      <selection activeCell="D90" sqref="D90:AC92"/>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042" t="s">
        <v>244</v>
      </c>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548"/>
      <c r="AA1" s="548"/>
      <c r="AB1" s="548"/>
      <c r="AC1" s="548"/>
      <c r="AD1" s="181"/>
      <c r="AE1" s="181"/>
    </row>
    <row r="2" spans="2:34" ht="14.15" customHeight="1" x14ac:dyDescent="0.3">
      <c r="B2" s="1043" t="s">
        <v>472</v>
      </c>
      <c r="C2" s="1043"/>
      <c r="D2" s="1043"/>
      <c r="E2" s="1043"/>
      <c r="F2" s="1043"/>
      <c r="G2" s="1043"/>
      <c r="H2" s="1043"/>
      <c r="I2" s="1043"/>
      <c r="J2" s="1043"/>
      <c r="K2" s="1043"/>
      <c r="L2" s="1043"/>
      <c r="M2" s="1043"/>
      <c r="N2" s="1043"/>
      <c r="O2" s="1043"/>
      <c r="P2" s="1043"/>
      <c r="Q2" s="1043"/>
      <c r="R2" s="1043"/>
      <c r="S2" s="1043"/>
      <c r="T2" s="1043"/>
      <c r="U2" s="1043"/>
      <c r="V2" s="1043"/>
      <c r="W2" s="1043"/>
      <c r="X2" s="1043"/>
      <c r="Y2" s="1043"/>
      <c r="Z2" s="1043"/>
      <c r="AA2" s="1043"/>
      <c r="AB2" s="1043"/>
      <c r="AC2" s="1043"/>
      <c r="AD2" s="220"/>
      <c r="AE2" s="220"/>
    </row>
    <row r="3" spans="2:34" ht="50.5" customHeight="1" x14ac:dyDescent="0.3">
      <c r="B3" s="1043"/>
      <c r="C3" s="1043"/>
      <c r="D3" s="1043"/>
      <c r="E3" s="1043"/>
      <c r="F3" s="1043"/>
      <c r="G3" s="1043"/>
      <c r="H3" s="1043"/>
      <c r="I3" s="1043"/>
      <c r="J3" s="1043"/>
      <c r="K3" s="1043"/>
      <c r="L3" s="1043"/>
      <c r="M3" s="1043"/>
      <c r="N3" s="1043"/>
      <c r="O3" s="1043"/>
      <c r="P3" s="1043"/>
      <c r="Q3" s="1043"/>
      <c r="R3" s="1043"/>
      <c r="S3" s="1043"/>
      <c r="T3" s="1043"/>
      <c r="U3" s="1043"/>
      <c r="V3" s="1043"/>
      <c r="W3" s="1043"/>
      <c r="X3" s="1043"/>
      <c r="Y3" s="1043"/>
      <c r="Z3" s="1043"/>
      <c r="AA3" s="1043"/>
      <c r="AB3" s="1043"/>
      <c r="AC3" s="1043"/>
      <c r="AD3" s="220"/>
      <c r="AE3" s="220"/>
    </row>
    <row r="4" spans="2:34" ht="5.15" customHeight="1" x14ac:dyDescent="0.3">
      <c r="B4" s="1043"/>
      <c r="C4" s="1043"/>
      <c r="D4" s="1043"/>
      <c r="E4" s="1043"/>
      <c r="F4" s="1043"/>
      <c r="G4" s="1043"/>
      <c r="H4" s="1043"/>
      <c r="I4" s="1043"/>
      <c r="J4" s="1043"/>
      <c r="K4" s="1043"/>
      <c r="L4" s="1043"/>
      <c r="M4" s="1043"/>
      <c r="N4" s="1043"/>
      <c r="O4" s="1043"/>
      <c r="P4" s="1043"/>
      <c r="Q4" s="1043"/>
      <c r="R4" s="1043"/>
      <c r="S4" s="1043"/>
      <c r="T4" s="1043"/>
      <c r="U4" s="1043"/>
      <c r="V4" s="1043"/>
      <c r="W4" s="1043"/>
      <c r="X4" s="1043"/>
      <c r="Y4" s="1043"/>
      <c r="Z4" s="1043"/>
      <c r="AA4" s="1043"/>
      <c r="AB4" s="1043"/>
      <c r="AC4" s="1043"/>
      <c r="AD4" s="220"/>
      <c r="AE4" s="220"/>
    </row>
    <row r="5" spans="2:34" x14ac:dyDescent="0.3">
      <c r="B5" s="134" t="s">
        <v>473</v>
      </c>
    </row>
    <row r="6" spans="2:34" ht="14.5" customHeight="1" x14ac:dyDescent="0.3">
      <c r="B6" s="1047" t="s">
        <v>474</v>
      </c>
      <c r="C6" s="1048"/>
      <c r="D6" s="1054" t="s">
        <v>409</v>
      </c>
      <c r="E6" s="1055"/>
      <c r="F6" s="1055"/>
      <c r="G6" s="1055"/>
      <c r="H6" s="1055"/>
      <c r="I6" s="1055"/>
      <c r="J6" s="1055"/>
      <c r="K6" s="1055"/>
      <c r="L6" s="1055"/>
      <c r="M6" s="1095"/>
      <c r="N6" s="1096"/>
      <c r="O6" s="1057" t="s">
        <v>410</v>
      </c>
      <c r="P6" s="1058"/>
      <c r="Q6" s="1058"/>
      <c r="R6" s="1058"/>
      <c r="S6" s="1058"/>
      <c r="T6" s="1058"/>
      <c r="U6" s="1058"/>
      <c r="V6" s="1058"/>
      <c r="W6" s="1058"/>
      <c r="X6" s="1058"/>
      <c r="Y6" s="1058"/>
      <c r="Z6" s="1058"/>
      <c r="AA6" s="1058"/>
      <c r="AB6" s="1058"/>
      <c r="AC6" s="1059"/>
      <c r="AD6" s="1089" t="s">
        <v>475</v>
      </c>
      <c r="AE6" s="1092" t="s">
        <v>476</v>
      </c>
    </row>
    <row r="7" spans="2:34" ht="24" customHeight="1" x14ac:dyDescent="0.3">
      <c r="B7" s="1049"/>
      <c r="C7" s="1050"/>
      <c r="D7" s="549">
        <v>2018</v>
      </c>
      <c r="E7" s="1044">
        <v>2019</v>
      </c>
      <c r="F7" s="1045"/>
      <c r="G7" s="1045"/>
      <c r="H7" s="1046"/>
      <c r="I7" s="1044">
        <v>2020</v>
      </c>
      <c r="J7" s="1045"/>
      <c r="K7" s="1045"/>
      <c r="L7" s="1045"/>
      <c r="M7" s="1044">
        <v>2021</v>
      </c>
      <c r="N7" s="1045"/>
      <c r="O7" s="1046"/>
      <c r="P7" s="582">
        <v>2021</v>
      </c>
      <c r="Q7" s="1051">
        <v>2022</v>
      </c>
      <c r="R7" s="1052"/>
      <c r="S7" s="1052"/>
      <c r="T7" s="1053"/>
      <c r="U7" s="1051">
        <v>2023</v>
      </c>
      <c r="V7" s="1052"/>
      <c r="W7" s="1052"/>
      <c r="X7" s="1052"/>
      <c r="Y7" s="1051">
        <v>2024</v>
      </c>
      <c r="Z7" s="1052"/>
      <c r="AA7" s="1052"/>
      <c r="AB7" s="1053"/>
      <c r="AC7" s="334">
        <v>2025</v>
      </c>
      <c r="AD7" s="1090"/>
      <c r="AE7" s="1093"/>
    </row>
    <row r="8" spans="2:34" ht="14.15" customHeight="1" x14ac:dyDescent="0.3">
      <c r="B8" s="1087"/>
      <c r="C8" s="1088"/>
      <c r="D8" s="167" t="s">
        <v>411</v>
      </c>
      <c r="E8" s="167" t="s">
        <v>412</v>
      </c>
      <c r="F8" s="148" t="s">
        <v>413</v>
      </c>
      <c r="G8" s="148" t="s">
        <v>298</v>
      </c>
      <c r="H8" s="155" t="s">
        <v>411</v>
      </c>
      <c r="I8" s="149" t="s">
        <v>412</v>
      </c>
      <c r="J8" s="149" t="s">
        <v>413</v>
      </c>
      <c r="K8" s="149" t="s">
        <v>298</v>
      </c>
      <c r="L8" s="149" t="s">
        <v>411</v>
      </c>
      <c r="M8" s="35" t="s">
        <v>412</v>
      </c>
      <c r="N8" s="36" t="s">
        <v>413</v>
      </c>
      <c r="O8" s="37" t="s">
        <v>298</v>
      </c>
      <c r="P8" s="438" t="s">
        <v>411</v>
      </c>
      <c r="Q8" s="436" t="s">
        <v>412</v>
      </c>
      <c r="R8" s="437" t="s">
        <v>413</v>
      </c>
      <c r="S8" s="437" t="s">
        <v>298</v>
      </c>
      <c r="T8" s="437" t="s">
        <v>411</v>
      </c>
      <c r="U8" s="436" t="s">
        <v>412</v>
      </c>
      <c r="V8" s="437" t="s">
        <v>413</v>
      </c>
      <c r="W8" s="437" t="s">
        <v>298</v>
      </c>
      <c r="X8" s="437" t="s">
        <v>411</v>
      </c>
      <c r="Y8" s="436" t="s">
        <v>412</v>
      </c>
      <c r="Z8" s="398" t="s">
        <v>413</v>
      </c>
      <c r="AA8" s="437" t="s">
        <v>298</v>
      </c>
      <c r="AB8" s="438" t="s">
        <v>411</v>
      </c>
      <c r="AC8" s="71" t="s">
        <v>412</v>
      </c>
      <c r="AD8" s="1091"/>
      <c r="AE8" s="1094"/>
    </row>
    <row r="9" spans="2:34" ht="23.5" customHeight="1" x14ac:dyDescent="0.3">
      <c r="B9" s="255" t="s">
        <v>477</v>
      </c>
      <c r="C9" s="887" t="s">
        <v>478</v>
      </c>
      <c r="D9" s="633"/>
      <c r="E9" s="887"/>
      <c r="F9" s="887"/>
      <c r="G9" s="887"/>
      <c r="H9" s="771">
        <f>'Haver Pivoted'!GS32</f>
        <v>622.4</v>
      </c>
      <c r="I9" s="771">
        <f>'Haver Pivoted'!GT32</f>
        <v>640.6</v>
      </c>
      <c r="J9" s="771">
        <f>'Haver Pivoted'!GU32</f>
        <v>1400</v>
      </c>
      <c r="K9" s="771">
        <f>'Haver Pivoted'!GV32</f>
        <v>738.5</v>
      </c>
      <c r="L9" s="771">
        <f>'Haver Pivoted'!GW32</f>
        <v>743</v>
      </c>
      <c r="M9" s="299">
        <f>'Haver Pivoted'!GX32</f>
        <v>781.5</v>
      </c>
      <c r="N9" s="299">
        <f>'Haver Pivoted'!GY32</f>
        <v>1632.2</v>
      </c>
      <c r="O9" s="955">
        <f>'Haver Pivoted'!GZ32</f>
        <v>0</v>
      </c>
      <c r="P9" s="254" t="e">
        <f t="shared" ref="P9:AC9" si="0">P10+P11</f>
        <v>#DIV/0!</v>
      </c>
      <c r="Q9" s="254" t="e">
        <f t="shared" si="0"/>
        <v>#DIV/0!</v>
      </c>
      <c r="R9" s="254" t="e">
        <f t="shared" si="0"/>
        <v>#DIV/0!</v>
      </c>
      <c r="S9" s="254" t="e">
        <f t="shared" si="0"/>
        <v>#DIV/0!</v>
      </c>
      <c r="T9" s="254" t="e">
        <f t="shared" si="0"/>
        <v>#DIV/0!</v>
      </c>
      <c r="U9" s="254" t="e">
        <f t="shared" si="0"/>
        <v>#DIV/0!</v>
      </c>
      <c r="V9" s="254" t="e">
        <f t="shared" si="0"/>
        <v>#DIV/0!</v>
      </c>
      <c r="W9" s="254" t="e">
        <f t="shared" si="0"/>
        <v>#DIV/0!</v>
      </c>
      <c r="X9" s="254" t="e">
        <f t="shared" si="0"/>
        <v>#DIV/0!</v>
      </c>
      <c r="Y9" s="254" t="e">
        <f t="shared" si="0"/>
        <v>#DIV/0!</v>
      </c>
      <c r="Z9" s="254" t="e">
        <f t="shared" si="0"/>
        <v>#DIV/0!</v>
      </c>
      <c r="AA9" s="254" t="e">
        <f t="shared" si="0"/>
        <v>#DIV/0!</v>
      </c>
      <c r="AB9" s="254" t="e">
        <f t="shared" si="0"/>
        <v>#DIV/0!</v>
      </c>
      <c r="AC9" s="391" t="e">
        <f t="shared" si="0"/>
        <v>#DIV/0!</v>
      </c>
      <c r="AD9" s="581"/>
      <c r="AE9" s="956"/>
    </row>
    <row r="10" spans="2:34" s="80" customFormat="1" ht="28" x14ac:dyDescent="0.3">
      <c r="B10" s="95" t="s">
        <v>183</v>
      </c>
      <c r="C10" s="88" t="s">
        <v>479</v>
      </c>
      <c r="D10" s="125"/>
      <c r="E10" s="88"/>
      <c r="F10" s="88"/>
      <c r="G10" s="88"/>
      <c r="H10" s="575">
        <f>'Haver Pivoted'!GS40</f>
        <v>413.80599999999998</v>
      </c>
      <c r="I10" s="575">
        <f>'Haver Pivoted'!GT40</f>
        <v>428.11799999999999</v>
      </c>
      <c r="J10" s="575">
        <f>'Haver Pivoted'!GU40</f>
        <v>502.49</v>
      </c>
      <c r="K10" s="575">
        <f>'Haver Pivoted'!GV40</f>
        <v>481.71699999999998</v>
      </c>
      <c r="L10" s="575">
        <f>'Haver Pivoted'!GW40</f>
        <v>507.83699999999999</v>
      </c>
      <c r="M10" s="575">
        <f>'Haver Pivoted'!GX40</f>
        <v>511.34500000000003</v>
      </c>
      <c r="N10" s="575">
        <f>'Haver Pivoted'!GY40</f>
        <v>520.72900000000004</v>
      </c>
      <c r="O10" s="957">
        <f>'Haver Pivoted'!GZ40</f>
        <v>0</v>
      </c>
      <c r="P10" s="403" t="e">
        <f>Medicaid!L26</f>
        <v>#DIV/0!</v>
      </c>
      <c r="Q10" s="403" t="e">
        <f>Medicaid!M26</f>
        <v>#DIV/0!</v>
      </c>
      <c r="R10" s="403" t="e">
        <f>Medicaid!N26</f>
        <v>#DIV/0!</v>
      </c>
      <c r="S10" s="403" t="e">
        <f>Medicaid!O26</f>
        <v>#DIV/0!</v>
      </c>
      <c r="T10" s="403" t="e">
        <f>Medicaid!P26</f>
        <v>#DIV/0!</v>
      </c>
      <c r="U10" s="403" t="e">
        <f>Medicaid!Q26</f>
        <v>#DIV/0!</v>
      </c>
      <c r="V10" s="403" t="e">
        <f>Medicaid!R26</f>
        <v>#DIV/0!</v>
      </c>
      <c r="W10" s="403" t="e">
        <f>Medicaid!S26</f>
        <v>#DIV/0!</v>
      </c>
      <c r="X10" s="403" t="e">
        <f>Medicaid!T26</f>
        <v>#DIV/0!</v>
      </c>
      <c r="Y10" s="403" t="e">
        <f>Medicaid!U26</f>
        <v>#DIV/0!</v>
      </c>
      <c r="Z10" s="403" t="e">
        <f>Medicaid!V26</f>
        <v>#DIV/0!</v>
      </c>
      <c r="AA10" s="403" t="e">
        <f>Medicaid!W26</f>
        <v>#DIV/0!</v>
      </c>
      <c r="AB10" s="403" t="e">
        <f>Medicaid!X26</f>
        <v>#DIV/0!</v>
      </c>
      <c r="AC10" s="404" t="e">
        <f>Medicaid!Y26</f>
        <v>#DIV/0!</v>
      </c>
      <c r="AD10" s="634"/>
      <c r="AE10" s="459"/>
    </row>
    <row r="11" spans="2:34" s="80" customFormat="1" ht="17.149999999999999" customHeight="1" x14ac:dyDescent="0.3">
      <c r="B11" s="49" t="s">
        <v>480</v>
      </c>
      <c r="C11" s="88"/>
      <c r="D11" s="125"/>
      <c r="E11" s="88"/>
      <c r="F11" s="88"/>
      <c r="G11" s="88"/>
      <c r="H11" s="575">
        <f>H9-H10</f>
        <v>208.59399999999999</v>
      </c>
      <c r="I11" s="575">
        <f t="shared" ref="I11:O11" si="1">I9-I10</f>
        <v>212.48200000000003</v>
      </c>
      <c r="J11" s="575">
        <f t="shared" si="1"/>
        <v>897.51</v>
      </c>
      <c r="K11" s="575">
        <f t="shared" si="1"/>
        <v>256.78300000000002</v>
      </c>
      <c r="L11" s="575">
        <f t="shared" si="1"/>
        <v>235.16300000000001</v>
      </c>
      <c r="M11" s="575">
        <f t="shared" si="1"/>
        <v>270.15499999999997</v>
      </c>
      <c r="N11" s="575">
        <f t="shared" si="1"/>
        <v>1111.471</v>
      </c>
      <c r="O11" s="957">
        <f t="shared" si="1"/>
        <v>0</v>
      </c>
      <c r="P11" s="403" t="e">
        <f t="shared" ref="P11:AC11" si="2">SUM(P12:P20)</f>
        <v>#DIV/0!</v>
      </c>
      <c r="Q11" s="403" t="e">
        <f t="shared" si="2"/>
        <v>#DIV/0!</v>
      </c>
      <c r="R11" s="403" t="e">
        <f t="shared" si="2"/>
        <v>#DIV/0!</v>
      </c>
      <c r="S11" s="403" t="e">
        <f t="shared" si="2"/>
        <v>#DIV/0!</v>
      </c>
      <c r="T11" s="403">
        <f t="shared" si="2"/>
        <v>-40.308913365947774</v>
      </c>
      <c r="U11" s="403">
        <f t="shared" si="2"/>
        <v>-46.193749900585686</v>
      </c>
      <c r="V11" s="403">
        <f t="shared" si="2"/>
        <v>-52.313979896609112</v>
      </c>
      <c r="W11" s="403">
        <f t="shared" si="2"/>
        <v>-58.679019092473482</v>
      </c>
      <c r="X11" s="403">
        <f t="shared" si="2"/>
        <v>-86.556659856172416</v>
      </c>
      <c r="Y11" s="403">
        <f t="shared" si="2"/>
        <v>-118.44108625041929</v>
      </c>
      <c r="Z11" s="403">
        <f t="shared" si="2"/>
        <v>-144.60088970043606</v>
      </c>
      <c r="AA11" s="403">
        <f t="shared" si="2"/>
        <v>-152.0470852884535</v>
      </c>
      <c r="AB11" s="403">
        <f t="shared" si="2"/>
        <v>-173.66712869999165</v>
      </c>
      <c r="AC11" s="404">
        <f t="shared" si="2"/>
        <v>-181.72093384799132</v>
      </c>
      <c r="AD11" s="634"/>
      <c r="AE11" s="459"/>
    </row>
    <row r="12" spans="2:34" s="80" customFormat="1" ht="16" customHeight="1" x14ac:dyDescent="0.3">
      <c r="B12" s="81" t="s">
        <v>199</v>
      </c>
      <c r="C12" s="261" t="s">
        <v>481</v>
      </c>
      <c r="D12" s="590"/>
      <c r="E12" s="261"/>
      <c r="F12" s="261"/>
      <c r="G12" s="261"/>
      <c r="H12" s="265"/>
      <c r="I12" s="265"/>
      <c r="J12" s="265">
        <f>'Haver Pivoted'!GU56</f>
        <v>597.9</v>
      </c>
      <c r="K12" s="265"/>
      <c r="L12" s="265"/>
      <c r="M12" s="265"/>
      <c r="N12" s="265"/>
      <c r="O12" s="634">
        <v>0</v>
      </c>
      <c r="P12" s="403">
        <v>0</v>
      </c>
      <c r="Q12" s="403">
        <v>0</v>
      </c>
      <c r="R12" s="403">
        <v>0</v>
      </c>
      <c r="S12" s="403">
        <v>0</v>
      </c>
      <c r="T12" s="403">
        <v>0</v>
      </c>
      <c r="U12" s="403">
        <v>0</v>
      </c>
      <c r="V12" s="403">
        <v>0</v>
      </c>
      <c r="W12" s="403">
        <v>0</v>
      </c>
      <c r="X12" s="403">
        <v>0</v>
      </c>
      <c r="Y12" s="403">
        <v>0</v>
      </c>
      <c r="Z12" s="403">
        <v>0</v>
      </c>
      <c r="AA12" s="403">
        <v>0</v>
      </c>
      <c r="AB12" s="403">
        <v>0</v>
      </c>
      <c r="AC12" s="404">
        <v>0</v>
      </c>
      <c r="AD12" s="634">
        <f>SUM(I12:Y12)/4</f>
        <v>149.47499999999999</v>
      </c>
      <c r="AE12" s="459">
        <f>AD25</f>
        <v>150</v>
      </c>
    </row>
    <row r="13" spans="2:34" s="80" customFormat="1" x14ac:dyDescent="0.3">
      <c r="B13" s="81" t="s">
        <v>200</v>
      </c>
      <c r="C13" s="261" t="s">
        <v>482</v>
      </c>
      <c r="D13" s="590"/>
      <c r="E13" s="261"/>
      <c r="F13" s="261"/>
      <c r="G13" s="261"/>
      <c r="H13" s="265"/>
      <c r="I13" s="265"/>
      <c r="J13" s="265">
        <f>'Haver Pivoted'!GU57</f>
        <v>28.4</v>
      </c>
      <c r="K13" s="265">
        <f>'Haver Pivoted'!GV57</f>
        <v>15.8</v>
      </c>
      <c r="L13" s="265">
        <f>'Haver Pivoted'!GW57</f>
        <v>15.2</v>
      </c>
      <c r="M13" s="265">
        <f>'Haver Pivoted'!GX57</f>
        <v>28.9</v>
      </c>
      <c r="N13" s="265">
        <f>'Haver Pivoted'!GY57</f>
        <v>67.599999999999994</v>
      </c>
      <c r="O13" s="958">
        <f>'Haver Pivoted'!GZ57</f>
        <v>0</v>
      </c>
      <c r="P13" s="403">
        <f t="shared" ref="P13:AC13" si="3">P26+P30+P36</f>
        <v>74.123333333333335</v>
      </c>
      <c r="Q13" s="403">
        <f t="shared" si="3"/>
        <v>69.123333333333306</v>
      </c>
      <c r="R13" s="403">
        <f t="shared" si="3"/>
        <v>69.123333333333306</v>
      </c>
      <c r="S13" s="403">
        <f t="shared" si="3"/>
        <v>69.123333333333306</v>
      </c>
      <c r="T13" s="403">
        <f t="shared" si="3"/>
        <v>60.929333333333297</v>
      </c>
      <c r="U13" s="403">
        <f t="shared" si="3"/>
        <v>60.929333333333297</v>
      </c>
      <c r="V13" s="403">
        <f t="shared" si="3"/>
        <v>60.929333333333297</v>
      </c>
      <c r="W13" s="403">
        <f t="shared" si="3"/>
        <v>60.929333333333297</v>
      </c>
      <c r="X13" s="403">
        <f t="shared" si="3"/>
        <v>54.244333333333302</v>
      </c>
      <c r="Y13" s="403">
        <f t="shared" si="3"/>
        <v>50.911000000000001</v>
      </c>
      <c r="Z13" s="403">
        <f t="shared" si="3"/>
        <v>31.911000000000001</v>
      </c>
      <c r="AA13" s="403">
        <f t="shared" si="3"/>
        <v>31.911000000000001</v>
      </c>
      <c r="AB13" s="403">
        <f t="shared" si="3"/>
        <v>23.099</v>
      </c>
      <c r="AC13" s="404">
        <f t="shared" si="3"/>
        <v>23.099</v>
      </c>
      <c r="AD13" s="634">
        <f t="shared" ref="AD13:AD19" si="4">SUM(I13:Y13)/4</f>
        <v>196.56649999999996</v>
      </c>
      <c r="AE13" s="459">
        <f>AD26+AD30+AD36</f>
        <v>218.26349999999994</v>
      </c>
    </row>
    <row r="14" spans="2:34" s="80" customFormat="1" x14ac:dyDescent="0.3">
      <c r="B14" s="81" t="s">
        <v>202</v>
      </c>
      <c r="C14" s="97" t="s">
        <v>440</v>
      </c>
      <c r="D14" s="589"/>
      <c r="E14" s="97"/>
      <c r="F14" s="97"/>
      <c r="G14" s="97"/>
      <c r="H14" s="265"/>
      <c r="I14" s="265"/>
      <c r="J14" s="265">
        <f>'Haver Pivoted'!GU58</f>
        <v>64.400000000000006</v>
      </c>
      <c r="K14" s="265">
        <f>'Haver Pivoted'!GV58</f>
        <v>23.4</v>
      </c>
      <c r="L14" s="265">
        <f>'Haver Pivoted'!GW58</f>
        <v>13.8</v>
      </c>
      <c r="M14" s="265">
        <f>'Haver Pivoted'!GX58</f>
        <v>17.100000000000001</v>
      </c>
      <c r="N14" s="265">
        <f>'Haver Pivoted'!GY58</f>
        <v>10.6</v>
      </c>
      <c r="O14" s="958">
        <f>'Haver Pivoted'!GZ58</f>
        <v>0</v>
      </c>
      <c r="P14" s="403" t="e">
        <f>'Provider Relief'!P12</f>
        <v>#DIV/0!</v>
      </c>
      <c r="Q14" s="403" t="e">
        <f>'Provider Relief'!Q12</f>
        <v>#DIV/0!</v>
      </c>
      <c r="R14" s="403" t="e">
        <f>'Provider Relief'!R12</f>
        <v>#DIV/0!</v>
      </c>
      <c r="S14" s="403" t="e">
        <f>'Provider Relief'!S12</f>
        <v>#DIV/0!</v>
      </c>
      <c r="T14" s="403">
        <f>'Provider Relief'!T12</f>
        <v>0</v>
      </c>
      <c r="U14" s="403">
        <f>'Provider Relief'!U12</f>
        <v>0</v>
      </c>
      <c r="V14" s="403">
        <f>'Provider Relief'!V12</f>
        <v>0</v>
      </c>
      <c r="W14" s="403">
        <f>'Provider Relief'!W12</f>
        <v>0</v>
      </c>
      <c r="X14" s="403">
        <f>'Provider Relief'!X12</f>
        <v>0</v>
      </c>
      <c r="Y14" s="403">
        <f>'Provider Relief'!Y12</f>
        <v>0</v>
      </c>
      <c r="Z14" s="403">
        <f>'Provider Relief'!Z12</f>
        <v>0</v>
      </c>
      <c r="AA14" s="403">
        <f>'Provider Relief'!AA12</f>
        <v>0</v>
      </c>
      <c r="AB14" s="403">
        <f>'Provider Relief'!AB12</f>
        <v>0</v>
      </c>
      <c r="AC14" s="404">
        <f>'Provider Relief'!AC12</f>
        <v>0</v>
      </c>
      <c r="AD14" s="634" t="e">
        <f t="shared" si="4"/>
        <v>#DIV/0!</v>
      </c>
      <c r="AE14" s="459">
        <f>AD27+AD31+AD37</f>
        <v>34.125000000000007</v>
      </c>
    </row>
    <row r="15" spans="2:34" s="80" customFormat="1" ht="15.65" customHeight="1" x14ac:dyDescent="0.3">
      <c r="B15" s="81" t="s">
        <v>483</v>
      </c>
      <c r="C15" s="97"/>
      <c r="D15" s="589"/>
      <c r="E15" s="97"/>
      <c r="F15" s="97"/>
      <c r="G15" s="97"/>
      <c r="H15" s="265"/>
      <c r="I15" s="265"/>
      <c r="J15" s="265"/>
      <c r="K15" s="265"/>
      <c r="L15" s="265"/>
      <c r="M15" s="265">
        <f>M29</f>
        <v>9.6666666666666661</v>
      </c>
      <c r="N15" s="108">
        <f t="shared" ref="N15:AC15" si="5">N29</f>
        <v>9.6666666666666661</v>
      </c>
      <c r="O15" s="634">
        <f t="shared" si="5"/>
        <v>9.6666666666666661</v>
      </c>
      <c r="P15" s="403">
        <f t="shared" si="5"/>
        <v>9.6666666666666661</v>
      </c>
      <c r="Q15" s="403">
        <f t="shared" si="5"/>
        <v>9.6666666666666661</v>
      </c>
      <c r="R15" s="403">
        <f t="shared" si="5"/>
        <v>9.6666666666666661</v>
      </c>
      <c r="S15" s="403">
        <f t="shared" si="5"/>
        <v>9.6666666666666661</v>
      </c>
      <c r="T15" s="403">
        <f t="shared" si="5"/>
        <v>9.6666666666666661</v>
      </c>
      <c r="U15" s="403">
        <f t="shared" si="5"/>
        <v>9.6666666666666661</v>
      </c>
      <c r="V15" s="403">
        <f t="shared" si="5"/>
        <v>9.6666666666666661</v>
      </c>
      <c r="W15" s="403">
        <f t="shared" si="5"/>
        <v>9.6666666666666661</v>
      </c>
      <c r="X15" s="403">
        <f t="shared" si="5"/>
        <v>9.6666666666666661</v>
      </c>
      <c r="Y15" s="403">
        <f t="shared" si="5"/>
        <v>0</v>
      </c>
      <c r="Z15" s="403">
        <f t="shared" si="5"/>
        <v>0</v>
      </c>
      <c r="AA15" s="403">
        <f t="shared" si="5"/>
        <v>0</v>
      </c>
      <c r="AB15" s="403">
        <f t="shared" si="5"/>
        <v>0</v>
      </c>
      <c r="AC15" s="404">
        <f t="shared" si="5"/>
        <v>0</v>
      </c>
      <c r="AD15" s="634">
        <f t="shared" si="4"/>
        <v>29.000000000000004</v>
      </c>
      <c r="AE15" s="460">
        <f>AD29</f>
        <v>29.000000000000004</v>
      </c>
      <c r="AF15" s="109" t="s">
        <v>484</v>
      </c>
      <c r="AG15" s="109"/>
      <c r="AH15" s="109"/>
    </row>
    <row r="16" spans="2:34" s="80" customFormat="1" ht="31" customHeight="1" x14ac:dyDescent="0.3">
      <c r="B16" s="81" t="s">
        <v>485</v>
      </c>
      <c r="C16" s="97"/>
      <c r="D16" s="589"/>
      <c r="E16" s="97"/>
      <c r="F16" s="97"/>
      <c r="G16" s="97"/>
      <c r="H16" s="265"/>
      <c r="I16" s="265"/>
      <c r="J16" s="265"/>
      <c r="K16" s="265"/>
      <c r="L16" s="265"/>
      <c r="M16" s="265">
        <f>M33+M32</f>
        <v>12</v>
      </c>
      <c r="N16" s="108">
        <f>N33+N32</f>
        <v>12</v>
      </c>
      <c r="O16" s="634">
        <f t="shared" ref="O16:AC16" si="6">O33+O32</f>
        <v>12</v>
      </c>
      <c r="P16" s="403">
        <f t="shared" si="6"/>
        <v>12</v>
      </c>
      <c r="Q16" s="403">
        <f t="shared" si="6"/>
        <v>12</v>
      </c>
      <c r="R16" s="403">
        <f t="shared" si="6"/>
        <v>12</v>
      </c>
      <c r="S16" s="403">
        <f t="shared" si="6"/>
        <v>12</v>
      </c>
      <c r="T16" s="403">
        <f t="shared" si="6"/>
        <v>12</v>
      </c>
      <c r="U16" s="403">
        <f t="shared" si="6"/>
        <v>12</v>
      </c>
      <c r="V16" s="403">
        <f t="shared" si="6"/>
        <v>12</v>
      </c>
      <c r="W16" s="403">
        <f t="shared" si="6"/>
        <v>12</v>
      </c>
      <c r="X16" s="403">
        <f t="shared" si="6"/>
        <v>12</v>
      </c>
      <c r="Y16" s="403">
        <f t="shared" si="6"/>
        <v>0</v>
      </c>
      <c r="Z16" s="403">
        <f t="shared" si="6"/>
        <v>0</v>
      </c>
      <c r="AA16" s="403">
        <f t="shared" si="6"/>
        <v>0</v>
      </c>
      <c r="AB16" s="403">
        <f t="shared" si="6"/>
        <v>0</v>
      </c>
      <c r="AC16" s="404">
        <f t="shared" si="6"/>
        <v>0</v>
      </c>
      <c r="AD16" s="634">
        <f t="shared" si="4"/>
        <v>36</v>
      </c>
      <c r="AE16" s="459">
        <f>SUM(AD32:AD33)+AD38</f>
        <v>130.3365</v>
      </c>
      <c r="AF16" s="109" t="s">
        <v>486</v>
      </c>
      <c r="AG16" s="109"/>
      <c r="AH16" s="109"/>
    </row>
    <row r="17" spans="1:34" s="80" customFormat="1" x14ac:dyDescent="0.3">
      <c r="B17" s="81" t="s">
        <v>487</v>
      </c>
      <c r="C17" s="97"/>
      <c r="D17" s="589"/>
      <c r="E17" s="97"/>
      <c r="F17" s="97"/>
      <c r="G17" s="97"/>
      <c r="H17" s="265"/>
      <c r="I17" s="265"/>
      <c r="J17" s="265"/>
      <c r="K17" s="265"/>
      <c r="L17" s="265"/>
      <c r="M17" s="265"/>
      <c r="N17" s="108">
        <f>N38</f>
        <v>59.256</v>
      </c>
      <c r="O17" s="634">
        <f t="shared" ref="O17:AC17" si="7">O38</f>
        <v>59.256</v>
      </c>
      <c r="P17" s="403">
        <f t="shared" si="7"/>
        <v>35.671000000000006</v>
      </c>
      <c r="Q17" s="403">
        <f t="shared" si="7"/>
        <v>35.671000000000006</v>
      </c>
      <c r="R17" s="403">
        <f t="shared" si="7"/>
        <v>35.671000000000006</v>
      </c>
      <c r="S17" s="403">
        <f t="shared" si="7"/>
        <v>35.671000000000006</v>
      </c>
      <c r="T17" s="403">
        <f t="shared" si="7"/>
        <v>24.216000000000001</v>
      </c>
      <c r="U17" s="403">
        <f t="shared" si="7"/>
        <v>24.216000000000001</v>
      </c>
      <c r="V17" s="403">
        <f t="shared" si="7"/>
        <v>24.216000000000001</v>
      </c>
      <c r="W17" s="403">
        <f t="shared" si="7"/>
        <v>24.216000000000001</v>
      </c>
      <c r="X17" s="403">
        <f t="shared" si="7"/>
        <v>9.6430000000000007</v>
      </c>
      <c r="Y17" s="403">
        <f t="shared" si="7"/>
        <v>9.6430000000000007</v>
      </c>
      <c r="Z17" s="403">
        <f t="shared" si="7"/>
        <v>9.6430000000000007</v>
      </c>
      <c r="AA17" s="403">
        <f t="shared" si="7"/>
        <v>9.6430000000000007</v>
      </c>
      <c r="AB17" s="403">
        <f t="shared" si="7"/>
        <v>4.5789999999999997</v>
      </c>
      <c r="AC17" s="404">
        <f t="shared" si="7"/>
        <v>4.5789999999999997</v>
      </c>
      <c r="AD17" s="634">
        <f t="shared" si="4"/>
        <v>94.336500000000001</v>
      </c>
      <c r="AE17" s="459"/>
      <c r="AF17" s="109"/>
      <c r="AG17" s="109"/>
      <c r="AH17" s="109"/>
    </row>
    <row r="18" spans="1:34" s="80" customFormat="1" ht="28" x14ac:dyDescent="0.3">
      <c r="B18" s="665" t="s">
        <v>488</v>
      </c>
      <c r="C18" s="97"/>
      <c r="D18" s="589"/>
      <c r="E18" s="97"/>
      <c r="F18" s="97"/>
      <c r="G18" s="97"/>
      <c r="H18" s="265"/>
      <c r="I18" s="265"/>
      <c r="J18" s="265"/>
      <c r="K18" s="265"/>
      <c r="L18" s="265"/>
      <c r="M18" s="265"/>
      <c r="N18" s="108">
        <v>-40</v>
      </c>
      <c r="O18" s="959">
        <v>40</v>
      </c>
      <c r="P18" s="403"/>
      <c r="Q18" s="403"/>
      <c r="R18" s="403"/>
      <c r="S18" s="403"/>
      <c r="T18" s="403"/>
      <c r="U18" s="403"/>
      <c r="V18" s="403"/>
      <c r="W18" s="403"/>
      <c r="X18" s="403"/>
      <c r="Y18" s="403"/>
      <c r="Z18" s="403"/>
      <c r="AA18" s="403"/>
      <c r="AB18" s="403"/>
      <c r="AC18" s="404"/>
      <c r="AD18" s="634"/>
      <c r="AE18" s="459"/>
      <c r="AF18" s="109"/>
      <c r="AG18" s="109"/>
      <c r="AH18" s="109"/>
    </row>
    <row r="19" spans="1:34" s="80" customFormat="1" ht="15.65" customHeight="1" x14ac:dyDescent="0.3">
      <c r="B19" s="81" t="s">
        <v>489</v>
      </c>
      <c r="C19" s="261" t="s">
        <v>490</v>
      </c>
      <c r="D19" s="589"/>
      <c r="E19" s="97"/>
      <c r="F19" s="97"/>
      <c r="G19" s="97"/>
      <c r="H19" s="265"/>
      <c r="I19" s="265"/>
      <c r="J19" s="265"/>
      <c r="K19" s="265">
        <f>'Haver Pivoted'!GV56</f>
        <v>0</v>
      </c>
      <c r="L19" s="265">
        <f>'Haver Pivoted'!GW56</f>
        <v>0</v>
      </c>
      <c r="M19" s="265">
        <f>'Haver Pivoted'!GX56</f>
        <v>0</v>
      </c>
      <c r="N19" s="265">
        <f>'Haver Pivoted'!GY56</f>
        <v>785.9</v>
      </c>
      <c r="O19" s="958">
        <f>'Haver Pivoted'!GZ56</f>
        <v>0</v>
      </c>
      <c r="P19" s="74">
        <f t="shared" ref="P19:AC19" si="8">P35</f>
        <v>0</v>
      </c>
      <c r="Q19" s="74">
        <f>4*AE19-N19</f>
        <v>662.29999999999984</v>
      </c>
      <c r="R19" s="74">
        <f t="shared" si="8"/>
        <v>0</v>
      </c>
      <c r="S19" s="74">
        <f t="shared" si="8"/>
        <v>0</v>
      </c>
      <c r="T19" s="74">
        <f t="shared" si="8"/>
        <v>0</v>
      </c>
      <c r="U19" s="74">
        <f t="shared" si="8"/>
        <v>0</v>
      </c>
      <c r="V19" s="74">
        <f t="shared" si="8"/>
        <v>0</v>
      </c>
      <c r="W19" s="74">
        <f t="shared" si="8"/>
        <v>0</v>
      </c>
      <c r="X19" s="74">
        <f t="shared" si="8"/>
        <v>0</v>
      </c>
      <c r="Y19" s="74">
        <f t="shared" si="8"/>
        <v>0</v>
      </c>
      <c r="Z19" s="74">
        <f t="shared" si="8"/>
        <v>0</v>
      </c>
      <c r="AA19" s="74">
        <f t="shared" si="8"/>
        <v>0</v>
      </c>
      <c r="AB19" s="74">
        <f t="shared" si="8"/>
        <v>0</v>
      </c>
      <c r="AC19" s="75">
        <f t="shared" si="8"/>
        <v>0</v>
      </c>
      <c r="AD19" s="634">
        <f t="shared" si="4"/>
        <v>362.04999999999995</v>
      </c>
      <c r="AE19" s="459">
        <f>AD35</f>
        <v>362.04999999999995</v>
      </c>
      <c r="AF19" s="129"/>
      <c r="AH19" s="109"/>
    </row>
    <row r="20" spans="1:34" s="80" customFormat="1" ht="15.65" customHeight="1" x14ac:dyDescent="0.3">
      <c r="A20" s="113"/>
      <c r="B20" s="110" t="s">
        <v>491</v>
      </c>
      <c r="C20" s="264"/>
      <c r="D20" s="591"/>
      <c r="E20" s="264"/>
      <c r="F20" s="264"/>
      <c r="G20" s="264"/>
      <c r="H20" s="635">
        <f>H11-SUM(H12:H19)</f>
        <v>208.59399999999999</v>
      </c>
      <c r="I20" s="635">
        <f t="shared" ref="I20:M20" si="9">I11-SUM(I12:I19)</f>
        <v>212.48200000000003</v>
      </c>
      <c r="J20" s="635">
        <f t="shared" si="9"/>
        <v>206.81000000000006</v>
      </c>
      <c r="K20" s="635">
        <f t="shared" si="9"/>
        <v>217.58300000000003</v>
      </c>
      <c r="L20" s="635">
        <f t="shared" si="9"/>
        <v>206.16300000000001</v>
      </c>
      <c r="M20" s="635">
        <f t="shared" si="9"/>
        <v>202.48833333333332</v>
      </c>
      <c r="N20" s="635">
        <f>N11-SUM(N12:N19)</f>
        <v>206.44833333333338</v>
      </c>
      <c r="O20" s="888">
        <f>O11-SUM(O12:O19)</f>
        <v>-120.92266666666666</v>
      </c>
      <c r="P20" s="405">
        <f t="shared" ref="P20:Y20" si="10">O20*1.04</f>
        <v>-125.75957333333332</v>
      </c>
      <c r="Q20" s="405">
        <f t="shared" si="10"/>
        <v>-130.78995626666665</v>
      </c>
      <c r="R20" s="405">
        <f t="shared" si="10"/>
        <v>-136.02155451733333</v>
      </c>
      <c r="S20" s="405">
        <f t="shared" si="10"/>
        <v>-141.46241669802666</v>
      </c>
      <c r="T20" s="405">
        <f t="shared" si="10"/>
        <v>-147.12091336594773</v>
      </c>
      <c r="U20" s="405">
        <f t="shared" si="10"/>
        <v>-153.00574990058564</v>
      </c>
      <c r="V20" s="405">
        <f t="shared" si="10"/>
        <v>-159.12597989660907</v>
      </c>
      <c r="W20" s="405">
        <f t="shared" si="10"/>
        <v>-165.49101909247344</v>
      </c>
      <c r="X20" s="405">
        <f t="shared" si="10"/>
        <v>-172.11065985617239</v>
      </c>
      <c r="Y20" s="405">
        <f t="shared" si="10"/>
        <v>-178.99508625041929</v>
      </c>
      <c r="Z20" s="405">
        <f t="shared" ref="Z20" si="11">Y20*1.04</f>
        <v>-186.15488970043606</v>
      </c>
      <c r="AA20" s="405">
        <f t="shared" ref="AA20" si="12">Z20*1.04</f>
        <v>-193.6010852884535</v>
      </c>
      <c r="AB20" s="405">
        <f t="shared" ref="AB20" si="13">AA20*1.04</f>
        <v>-201.34512869999165</v>
      </c>
      <c r="AC20" s="406">
        <f t="shared" ref="AC20" si="14">AB20*1.04</f>
        <v>-209.39893384799132</v>
      </c>
      <c r="AD20" s="636"/>
      <c r="AE20" s="461"/>
      <c r="AF20" s="109" t="s">
        <v>492</v>
      </c>
      <c r="AG20" s="109"/>
      <c r="AH20" s="109"/>
    </row>
    <row r="21" spans="1:34" s="80" customFormat="1" x14ac:dyDescent="0.35">
      <c r="C21" s="97"/>
      <c r="D21" s="97"/>
      <c r="E21" s="97"/>
      <c r="F21" s="97"/>
      <c r="G21" s="97"/>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row>
    <row r="22" spans="1:34" s="80" customFormat="1" x14ac:dyDescent="0.35">
      <c r="B22" s="256" t="s">
        <v>493</v>
      </c>
      <c r="C22" s="97"/>
      <c r="D22" s="97"/>
      <c r="E22" s="97"/>
      <c r="F22" s="97"/>
      <c r="G22" s="97"/>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row>
    <row r="23" spans="1:34" s="80" customFormat="1" ht="27" customHeight="1" x14ac:dyDescent="0.35">
      <c r="B23" s="1097" t="s">
        <v>494</v>
      </c>
      <c r="C23" s="1098"/>
      <c r="D23" s="1099"/>
      <c r="E23" s="1099"/>
      <c r="F23" s="1099"/>
      <c r="G23" s="1099"/>
      <c r="H23" s="1099"/>
      <c r="I23" s="1099"/>
      <c r="J23" s="1099"/>
      <c r="K23" s="1099"/>
      <c r="L23" s="1099"/>
      <c r="M23" s="1099"/>
      <c r="N23" s="1099"/>
      <c r="O23" s="1099"/>
      <c r="P23" s="1099"/>
      <c r="Q23" s="1099"/>
      <c r="R23" s="1099"/>
      <c r="S23" s="1099"/>
      <c r="T23" s="1099"/>
      <c r="U23" s="1099"/>
      <c r="V23" s="1099"/>
      <c r="W23" s="1099"/>
      <c r="X23" s="1099"/>
      <c r="Y23" s="1099"/>
      <c r="Z23" s="1099"/>
      <c r="AA23" s="1099"/>
      <c r="AB23" s="1099"/>
      <c r="AC23" s="1100"/>
      <c r="AD23" s="463" t="s">
        <v>475</v>
      </c>
      <c r="AE23" s="462"/>
    </row>
    <row r="24" spans="1:34" s="80" customFormat="1" ht="17.5" customHeight="1" x14ac:dyDescent="0.3">
      <c r="B24" s="73" t="s">
        <v>495</v>
      </c>
      <c r="C24" s="97"/>
      <c r="D24" s="883"/>
      <c r="E24" s="884"/>
      <c r="F24" s="884"/>
      <c r="G24" s="884"/>
      <c r="H24" s="667"/>
      <c r="I24" s="667"/>
      <c r="J24" s="885">
        <f>SUM(J25:J27)</f>
        <v>692.8</v>
      </c>
      <c r="K24" s="885">
        <f t="shared" ref="K24:P24" si="15">SUM(K25:K27)</f>
        <v>39.200000000000003</v>
      </c>
      <c r="L24" s="885">
        <f t="shared" si="15"/>
        <v>29</v>
      </c>
      <c r="M24" s="885">
        <f t="shared" si="15"/>
        <v>27</v>
      </c>
      <c r="N24" s="885">
        <f t="shared" si="15"/>
        <v>18</v>
      </c>
      <c r="O24" s="886">
        <f t="shared" si="15"/>
        <v>0</v>
      </c>
      <c r="P24" s="646">
        <f t="shared" si="15"/>
        <v>0</v>
      </c>
      <c r="Q24" s="646"/>
      <c r="R24" s="646"/>
      <c r="S24" s="646"/>
      <c r="T24" s="646"/>
      <c r="U24" s="646"/>
      <c r="V24" s="646"/>
      <c r="W24" s="646"/>
      <c r="X24" s="646"/>
      <c r="Y24" s="646"/>
      <c r="Z24" s="646"/>
      <c r="AA24" s="646"/>
      <c r="AB24" s="646"/>
      <c r="AC24" s="136"/>
      <c r="AD24" s="634">
        <f t="shared" ref="AD24:AD38" si="16">SUM(I24:Y24)/4</f>
        <v>201.5</v>
      </c>
      <c r="AE24" s="1086" t="s">
        <v>496</v>
      </c>
      <c r="AF24" s="1075"/>
    </row>
    <row r="25" spans="1:34" s="80" customFormat="1" x14ac:dyDescent="0.3">
      <c r="B25" s="114" t="s">
        <v>199</v>
      </c>
      <c r="C25" s="97"/>
      <c r="D25" s="589"/>
      <c r="E25" s="97"/>
      <c r="F25" s="97"/>
      <c r="G25" s="97"/>
      <c r="H25" s="108"/>
      <c r="I25" s="108"/>
      <c r="J25" s="133">
        <f>C45*4</f>
        <v>600</v>
      </c>
      <c r="K25" s="133"/>
      <c r="L25" s="133"/>
      <c r="M25" s="133"/>
      <c r="N25" s="133"/>
      <c r="O25" s="960"/>
      <c r="P25" s="74"/>
      <c r="Q25" s="74"/>
      <c r="R25" s="74"/>
      <c r="S25" s="74"/>
      <c r="T25" s="74"/>
      <c r="U25" s="74"/>
      <c r="V25" s="74"/>
      <c r="W25" s="74"/>
      <c r="X25" s="74"/>
      <c r="Y25" s="74"/>
      <c r="Z25" s="74"/>
      <c r="AA25" s="74"/>
      <c r="AB25" s="74"/>
      <c r="AC25" s="75"/>
      <c r="AD25" s="634">
        <f t="shared" si="16"/>
        <v>150</v>
      </c>
      <c r="AE25" s="133"/>
    </row>
    <row r="26" spans="1:34" s="80" customFormat="1" ht="15" customHeight="1" x14ac:dyDescent="0.3">
      <c r="B26" s="114" t="s">
        <v>200</v>
      </c>
      <c r="C26" s="97"/>
      <c r="D26" s="589"/>
      <c r="E26" s="97"/>
      <c r="F26" s="97"/>
      <c r="G26" s="97"/>
      <c r="H26" s="108"/>
      <c r="I26" s="108"/>
      <c r="J26" s="133">
        <v>28.4</v>
      </c>
      <c r="K26" s="133">
        <v>15.8</v>
      </c>
      <c r="L26" s="133">
        <v>15.2</v>
      </c>
      <c r="M26" s="133">
        <v>10.9</v>
      </c>
      <c r="N26" s="133">
        <v>18</v>
      </c>
      <c r="O26" s="960"/>
      <c r="P26" s="74"/>
      <c r="Q26" s="74"/>
      <c r="R26" s="74"/>
      <c r="S26" s="74"/>
      <c r="T26" s="74"/>
      <c r="U26" s="74"/>
      <c r="V26" s="74"/>
      <c r="W26" s="74"/>
      <c r="X26" s="74"/>
      <c r="Y26" s="74"/>
      <c r="Z26" s="74"/>
      <c r="AA26" s="74"/>
      <c r="AB26" s="74"/>
      <c r="AC26" s="75"/>
      <c r="AD26" s="634">
        <f t="shared" si="16"/>
        <v>22.075000000000003</v>
      </c>
      <c r="AE26" s="133"/>
    </row>
    <row r="27" spans="1:34" s="80" customFormat="1" x14ac:dyDescent="0.3">
      <c r="B27" s="114" t="s">
        <v>202</v>
      </c>
      <c r="C27" s="97"/>
      <c r="D27" s="589"/>
      <c r="E27" s="97"/>
      <c r="F27" s="97"/>
      <c r="G27" s="97"/>
      <c r="H27" s="108"/>
      <c r="I27" s="108"/>
      <c r="J27" s="88">
        <v>64.400000000000006</v>
      </c>
      <c r="K27" s="88">
        <v>23.4</v>
      </c>
      <c r="L27" s="88">
        <v>13.8</v>
      </c>
      <c r="M27" s="88">
        <v>16.100000000000001</v>
      </c>
      <c r="N27" s="133"/>
      <c r="O27" s="960"/>
      <c r="P27" s="74"/>
      <c r="Q27" s="74"/>
      <c r="R27" s="74"/>
      <c r="S27" s="74"/>
      <c r="T27" s="74"/>
      <c r="U27" s="74"/>
      <c r="V27" s="74"/>
      <c r="W27" s="74"/>
      <c r="X27" s="74"/>
      <c r="Y27" s="74"/>
      <c r="Z27" s="74"/>
      <c r="AA27" s="74"/>
      <c r="AB27" s="74"/>
      <c r="AC27" s="75"/>
      <c r="AD27" s="634">
        <f t="shared" si="16"/>
        <v>29.425000000000004</v>
      </c>
      <c r="AE27" s="133"/>
    </row>
    <row r="28" spans="1:34" s="80" customFormat="1" ht="16.5" customHeight="1" x14ac:dyDescent="0.3">
      <c r="B28" s="73" t="s">
        <v>497</v>
      </c>
      <c r="C28" s="97"/>
      <c r="D28" s="589"/>
      <c r="E28" s="97"/>
      <c r="F28" s="97"/>
      <c r="G28" s="97"/>
      <c r="H28" s="108"/>
      <c r="I28" s="108"/>
      <c r="J28" s="108"/>
      <c r="K28" s="108"/>
      <c r="L28" s="108"/>
      <c r="M28" s="133">
        <f>SUM(M29:M33)</f>
        <v>43</v>
      </c>
      <c r="N28" s="133">
        <f t="shared" ref="N28:AC28" si="17">SUM(N29:N33)</f>
        <v>70</v>
      </c>
      <c r="O28" s="960">
        <f t="shared" si="17"/>
        <v>59.999999999999964</v>
      </c>
      <c r="P28" s="74">
        <f t="shared" si="17"/>
        <v>50</v>
      </c>
      <c r="Q28" s="74">
        <f t="shared" si="17"/>
        <v>44.999999999999964</v>
      </c>
      <c r="R28" s="74">
        <f t="shared" si="17"/>
        <v>44.999999999999964</v>
      </c>
      <c r="S28" s="74">
        <f t="shared" si="17"/>
        <v>44.999999999999964</v>
      </c>
      <c r="T28" s="74">
        <f t="shared" si="17"/>
        <v>44.999999999999964</v>
      </c>
      <c r="U28" s="74">
        <f t="shared" si="17"/>
        <v>44.999999999999964</v>
      </c>
      <c r="V28" s="74">
        <f t="shared" si="17"/>
        <v>44.999999999999964</v>
      </c>
      <c r="W28" s="74">
        <f t="shared" si="17"/>
        <v>44.999999999999964</v>
      </c>
      <c r="X28" s="74">
        <f t="shared" si="17"/>
        <v>44.999999999999964</v>
      </c>
      <c r="Y28" s="74">
        <f t="shared" si="17"/>
        <v>19</v>
      </c>
      <c r="Z28" s="74">
        <f t="shared" si="17"/>
        <v>0</v>
      </c>
      <c r="AA28" s="74">
        <f t="shared" si="17"/>
        <v>0</v>
      </c>
      <c r="AB28" s="74">
        <f t="shared" si="17"/>
        <v>0</v>
      </c>
      <c r="AC28" s="75">
        <f t="shared" si="17"/>
        <v>0</v>
      </c>
      <c r="AD28" s="634">
        <f t="shared" si="16"/>
        <v>150.49999999999991</v>
      </c>
      <c r="AE28" s="1086" t="s">
        <v>498</v>
      </c>
      <c r="AF28" s="1075"/>
    </row>
    <row r="29" spans="1:34" s="80" customFormat="1" x14ac:dyDescent="0.3">
      <c r="B29" s="114" t="s">
        <v>483</v>
      </c>
      <c r="C29" s="97"/>
      <c r="D29" s="589"/>
      <c r="E29" s="97"/>
      <c r="F29" s="97"/>
      <c r="G29" s="97"/>
      <c r="H29" s="108"/>
      <c r="I29" s="108"/>
      <c r="J29" s="108"/>
      <c r="K29" s="108"/>
      <c r="L29" s="108"/>
      <c r="M29" s="133">
        <f>C48/12*4</f>
        <v>9.6666666666666661</v>
      </c>
      <c r="N29" s="133">
        <f>M29</f>
        <v>9.6666666666666661</v>
      </c>
      <c r="O29" s="960">
        <f t="shared" ref="O29:X29" si="18">N29</f>
        <v>9.6666666666666661</v>
      </c>
      <c r="P29" s="74">
        <f t="shared" si="18"/>
        <v>9.6666666666666661</v>
      </c>
      <c r="Q29" s="74">
        <f t="shared" si="18"/>
        <v>9.6666666666666661</v>
      </c>
      <c r="R29" s="74">
        <f t="shared" si="18"/>
        <v>9.6666666666666661</v>
      </c>
      <c r="S29" s="74">
        <f t="shared" si="18"/>
        <v>9.6666666666666661</v>
      </c>
      <c r="T29" s="74">
        <f t="shared" si="18"/>
        <v>9.6666666666666661</v>
      </c>
      <c r="U29" s="74">
        <f t="shared" si="18"/>
        <v>9.6666666666666661</v>
      </c>
      <c r="V29" s="74">
        <f t="shared" si="18"/>
        <v>9.6666666666666661</v>
      </c>
      <c r="W29" s="74">
        <f t="shared" si="18"/>
        <v>9.6666666666666661</v>
      </c>
      <c r="X29" s="74">
        <f t="shared" si="18"/>
        <v>9.6666666666666661</v>
      </c>
      <c r="Y29" s="395"/>
      <c r="Z29" s="395"/>
      <c r="AA29" s="395"/>
      <c r="AB29" s="395"/>
      <c r="AC29" s="77"/>
      <c r="AD29" s="634">
        <f t="shared" si="16"/>
        <v>29.000000000000004</v>
      </c>
      <c r="AE29" s="1086"/>
      <c r="AF29" s="1075"/>
    </row>
    <row r="30" spans="1:34" s="80" customFormat="1" ht="42" x14ac:dyDescent="0.3">
      <c r="B30" s="114" t="s">
        <v>200</v>
      </c>
      <c r="C30" s="97"/>
      <c r="D30" s="589"/>
      <c r="E30" s="97"/>
      <c r="F30" s="97"/>
      <c r="G30" s="97"/>
      <c r="H30" s="108"/>
      <c r="I30" s="108"/>
      <c r="J30" s="108"/>
      <c r="K30" s="108"/>
      <c r="L30" s="108"/>
      <c r="M30" s="629">
        <f>C59/12*4 - 7</f>
        <v>20.333333333333332</v>
      </c>
      <c r="N30" s="629">
        <f>C59/12*4 + 20</f>
        <v>47.333333333333329</v>
      </c>
      <c r="O30" s="961">
        <v>37.3333333333333</v>
      </c>
      <c r="P30" s="78">
        <v>27.333333333333332</v>
      </c>
      <c r="Q30" s="78">
        <v>22.3333333333333</v>
      </c>
      <c r="R30" s="78">
        <v>22.3333333333333</v>
      </c>
      <c r="S30" s="78">
        <v>22.3333333333333</v>
      </c>
      <c r="T30" s="78">
        <v>22.3333333333333</v>
      </c>
      <c r="U30" s="78">
        <v>22.3333333333333</v>
      </c>
      <c r="V30" s="78">
        <v>22.3333333333333</v>
      </c>
      <c r="W30" s="78">
        <v>22.3333333333333</v>
      </c>
      <c r="X30" s="78">
        <v>22.3333333333333</v>
      </c>
      <c r="Y30" s="78">
        <v>19</v>
      </c>
      <c r="Z30" s="78"/>
      <c r="AA30" s="78"/>
      <c r="AB30" s="78"/>
      <c r="AC30" s="79"/>
      <c r="AD30" s="634">
        <f>SUM(I30:Y30)/4</f>
        <v>82.499999999999943</v>
      </c>
      <c r="AE30" s="89" t="s">
        <v>499</v>
      </c>
    </row>
    <row r="31" spans="1:34" s="80" customFormat="1" x14ac:dyDescent="0.3">
      <c r="B31" s="114" t="s">
        <v>202</v>
      </c>
      <c r="C31" s="97"/>
      <c r="D31" s="589"/>
      <c r="E31" s="97"/>
      <c r="F31" s="97"/>
      <c r="G31" s="97"/>
      <c r="H31" s="108"/>
      <c r="I31" s="108"/>
      <c r="J31" s="108"/>
      <c r="K31" s="108"/>
      <c r="L31" s="108"/>
      <c r="M31" s="133">
        <f>C60/12*4</f>
        <v>1</v>
      </c>
      <c r="N31" s="133">
        <f>C60/12*4</f>
        <v>1</v>
      </c>
      <c r="O31" s="960">
        <f t="shared" ref="O31:X31" si="19">$C$60/12*4</f>
        <v>1</v>
      </c>
      <c r="P31" s="74">
        <f t="shared" si="19"/>
        <v>1</v>
      </c>
      <c r="Q31" s="74">
        <f t="shared" si="19"/>
        <v>1</v>
      </c>
      <c r="R31" s="74">
        <f t="shared" si="19"/>
        <v>1</v>
      </c>
      <c r="S31" s="74">
        <f t="shared" si="19"/>
        <v>1</v>
      </c>
      <c r="T31" s="74">
        <f t="shared" si="19"/>
        <v>1</v>
      </c>
      <c r="U31" s="74">
        <f t="shared" si="19"/>
        <v>1</v>
      </c>
      <c r="V31" s="74">
        <f t="shared" si="19"/>
        <v>1</v>
      </c>
      <c r="W31" s="74">
        <f t="shared" si="19"/>
        <v>1</v>
      </c>
      <c r="X31" s="74">
        <f t="shared" si="19"/>
        <v>1</v>
      </c>
      <c r="Y31" s="395"/>
      <c r="Z31" s="395"/>
      <c r="AA31" s="395"/>
      <c r="AB31" s="395"/>
      <c r="AC31" s="77"/>
      <c r="AD31" s="634">
        <f t="shared" si="16"/>
        <v>3</v>
      </c>
      <c r="AE31" s="108"/>
    </row>
    <row r="32" spans="1:34" s="80" customFormat="1" ht="13" customHeight="1" x14ac:dyDescent="0.3">
      <c r="B32" s="114" t="s">
        <v>500</v>
      </c>
      <c r="C32" s="97"/>
      <c r="D32" s="589"/>
      <c r="E32" s="97"/>
      <c r="F32" s="97"/>
      <c r="G32" s="97"/>
      <c r="H32" s="108"/>
      <c r="I32" s="108"/>
      <c r="J32" s="108"/>
      <c r="K32" s="108"/>
      <c r="L32" s="108"/>
      <c r="M32" s="133">
        <f t="shared" ref="M32:X32" si="20">$C$61/12*4</f>
        <v>11.333333333333334</v>
      </c>
      <c r="N32" s="133">
        <f t="shared" si="20"/>
        <v>11.333333333333334</v>
      </c>
      <c r="O32" s="960">
        <f t="shared" si="20"/>
        <v>11.333333333333334</v>
      </c>
      <c r="P32" s="74">
        <f t="shared" si="20"/>
        <v>11.333333333333334</v>
      </c>
      <c r="Q32" s="74">
        <f t="shared" si="20"/>
        <v>11.333333333333334</v>
      </c>
      <c r="R32" s="74">
        <f t="shared" si="20"/>
        <v>11.333333333333334</v>
      </c>
      <c r="S32" s="74">
        <f t="shared" si="20"/>
        <v>11.333333333333334</v>
      </c>
      <c r="T32" s="74">
        <f t="shared" si="20"/>
        <v>11.333333333333334</v>
      </c>
      <c r="U32" s="74">
        <f t="shared" si="20"/>
        <v>11.333333333333334</v>
      </c>
      <c r="V32" s="74">
        <f t="shared" si="20"/>
        <v>11.333333333333334</v>
      </c>
      <c r="W32" s="74">
        <f t="shared" si="20"/>
        <v>11.333333333333334</v>
      </c>
      <c r="X32" s="74">
        <f t="shared" si="20"/>
        <v>11.333333333333334</v>
      </c>
      <c r="Y32" s="395"/>
      <c r="Z32" s="395"/>
      <c r="AA32" s="395"/>
      <c r="AB32" s="395"/>
      <c r="AC32" s="77"/>
      <c r="AD32" s="634">
        <f t="shared" si="16"/>
        <v>33.999999999999993</v>
      </c>
      <c r="AE32" s="108"/>
    </row>
    <row r="33" spans="1:88" s="80" customFormat="1" x14ac:dyDescent="0.3">
      <c r="B33" s="114" t="s">
        <v>501</v>
      </c>
      <c r="C33" s="97"/>
      <c r="D33" s="589"/>
      <c r="E33" s="97"/>
      <c r="F33" s="97"/>
      <c r="G33" s="97"/>
      <c r="H33" s="108"/>
      <c r="I33" s="108"/>
      <c r="J33" s="108"/>
      <c r="K33" s="108"/>
      <c r="L33" s="108"/>
      <c r="M33" s="133">
        <f t="shared" ref="M33:X33" si="21">$C$62/12*4</f>
        <v>0.66666666666666663</v>
      </c>
      <c r="N33" s="133">
        <f t="shared" si="21"/>
        <v>0.66666666666666663</v>
      </c>
      <c r="O33" s="960">
        <f t="shared" si="21"/>
        <v>0.66666666666666663</v>
      </c>
      <c r="P33" s="74">
        <f t="shared" si="21"/>
        <v>0.66666666666666663</v>
      </c>
      <c r="Q33" s="74">
        <f t="shared" si="21"/>
        <v>0.66666666666666663</v>
      </c>
      <c r="R33" s="74">
        <f t="shared" si="21"/>
        <v>0.66666666666666663</v>
      </c>
      <c r="S33" s="74">
        <f t="shared" si="21"/>
        <v>0.66666666666666663</v>
      </c>
      <c r="T33" s="74">
        <f t="shared" si="21"/>
        <v>0.66666666666666663</v>
      </c>
      <c r="U33" s="74">
        <f t="shared" si="21"/>
        <v>0.66666666666666663</v>
      </c>
      <c r="V33" s="74">
        <f t="shared" si="21"/>
        <v>0.66666666666666663</v>
      </c>
      <c r="W33" s="74">
        <f t="shared" si="21"/>
        <v>0.66666666666666663</v>
      </c>
      <c r="X33" s="74">
        <f t="shared" si="21"/>
        <v>0.66666666666666663</v>
      </c>
      <c r="Y33" s="395"/>
      <c r="Z33" s="395"/>
      <c r="AA33" s="395"/>
      <c r="AB33" s="395"/>
      <c r="AC33" s="77"/>
      <c r="AD33" s="634">
        <f t="shared" si="16"/>
        <v>2</v>
      </c>
      <c r="AE33" s="108"/>
    </row>
    <row r="34" spans="1:88" s="80" customFormat="1" ht="44.15" customHeight="1" x14ac:dyDescent="0.3">
      <c r="B34" s="73" t="s">
        <v>502</v>
      </c>
      <c r="C34" s="97"/>
      <c r="D34" s="589"/>
      <c r="E34" s="97"/>
      <c r="F34" s="97"/>
      <c r="G34" s="97"/>
      <c r="H34" s="108"/>
      <c r="I34" s="108"/>
      <c r="J34" s="108"/>
      <c r="K34" s="108"/>
      <c r="L34" s="108"/>
      <c r="M34" s="133"/>
      <c r="N34" s="133">
        <f t="shared" ref="N34:AC34" si="22">SUM(N35:N39)</f>
        <v>953.63159999999982</v>
      </c>
      <c r="O34" s="960">
        <f t="shared" si="22"/>
        <v>85.9084</v>
      </c>
      <c r="P34" s="74">
        <f t="shared" si="22"/>
        <v>83.481000000000009</v>
      </c>
      <c r="Q34" s="74">
        <f t="shared" si="22"/>
        <v>662.76099999999997</v>
      </c>
      <c r="R34" s="74">
        <f t="shared" si="22"/>
        <v>83.481000000000009</v>
      </c>
      <c r="S34" s="74">
        <f t="shared" si="22"/>
        <v>83.481000000000009</v>
      </c>
      <c r="T34" s="74">
        <f t="shared" si="22"/>
        <v>62.811999999999998</v>
      </c>
      <c r="U34" s="74">
        <f t="shared" si="22"/>
        <v>62.811999999999998</v>
      </c>
      <c r="V34" s="74">
        <f t="shared" si="22"/>
        <v>62.811999999999998</v>
      </c>
      <c r="W34" s="74">
        <f t="shared" si="22"/>
        <v>62.811999999999998</v>
      </c>
      <c r="X34" s="74">
        <f t="shared" si="22"/>
        <v>41.554000000000002</v>
      </c>
      <c r="Y34" s="74">
        <f t="shared" si="22"/>
        <v>41.554000000000002</v>
      </c>
      <c r="Z34" s="74">
        <f t="shared" si="22"/>
        <v>41.554000000000002</v>
      </c>
      <c r="AA34" s="74">
        <f t="shared" si="22"/>
        <v>41.554000000000002</v>
      </c>
      <c r="AB34" s="74">
        <f t="shared" si="22"/>
        <v>27.678000000000001</v>
      </c>
      <c r="AC34" s="75">
        <f t="shared" si="22"/>
        <v>27.678000000000001</v>
      </c>
      <c r="AD34" s="634">
        <f t="shared" si="16"/>
        <v>571.77499999999986</v>
      </c>
      <c r="AE34" s="1086" t="s">
        <v>503</v>
      </c>
      <c r="AF34" s="1075"/>
    </row>
    <row r="35" spans="1:88" s="80" customFormat="1" ht="17.5" customHeight="1" x14ac:dyDescent="0.3">
      <c r="B35" s="114" t="s">
        <v>489</v>
      </c>
      <c r="C35" s="97"/>
      <c r="D35" s="589"/>
      <c r="E35" s="97"/>
      <c r="F35" s="97"/>
      <c r="G35" s="97"/>
      <c r="H35" s="108"/>
      <c r="I35" s="108"/>
      <c r="J35" s="108"/>
      <c r="K35" s="108"/>
      <c r="L35" s="108"/>
      <c r="M35" s="133"/>
      <c r="N35" s="133">
        <f>0.6*C64*4</f>
        <v>868.91999999999985</v>
      </c>
      <c r="O35" s="960"/>
      <c r="P35" s="74"/>
      <c r="Q35" s="74">
        <f>0.4*C64*4</f>
        <v>579.28</v>
      </c>
      <c r="R35" s="74"/>
      <c r="S35" s="74"/>
      <c r="T35" s="74"/>
      <c r="U35" s="74"/>
      <c r="V35" s="74"/>
      <c r="W35" s="74"/>
      <c r="X35" s="74"/>
      <c r="Y35" s="74"/>
      <c r="Z35" s="74"/>
      <c r="AA35" s="74"/>
      <c r="AB35" s="74"/>
      <c r="AC35" s="75"/>
      <c r="AD35" s="634">
        <f t="shared" si="16"/>
        <v>362.04999999999995</v>
      </c>
      <c r="AE35" s="129" t="s">
        <v>504</v>
      </c>
      <c r="AF35" s="129"/>
    </row>
    <row r="36" spans="1:88" s="80" customFormat="1" x14ac:dyDescent="0.3">
      <c r="B36" s="114" t="s">
        <v>200</v>
      </c>
      <c r="C36" s="97"/>
      <c r="D36" s="589"/>
      <c r="E36" s="97"/>
      <c r="F36" s="97"/>
      <c r="G36" s="97"/>
      <c r="H36" s="108"/>
      <c r="I36" s="108"/>
      <c r="J36" s="108"/>
      <c r="K36" s="108"/>
      <c r="L36" s="108"/>
      <c r="M36" s="133"/>
      <c r="N36" s="133">
        <f>'ARP Quarterly'!D9</f>
        <v>24.693999999999999</v>
      </c>
      <c r="O36" s="960">
        <f>'ARP Quarterly'!E9</f>
        <v>24.693999999999999</v>
      </c>
      <c r="P36" s="74">
        <f>'ARP Quarterly'!F9</f>
        <v>46.79</v>
      </c>
      <c r="Q36" s="74">
        <f>'ARP Quarterly'!G9</f>
        <v>46.79</v>
      </c>
      <c r="R36" s="74">
        <f>'ARP Quarterly'!H9</f>
        <v>46.79</v>
      </c>
      <c r="S36" s="74">
        <f>'ARP Quarterly'!I9</f>
        <v>46.79</v>
      </c>
      <c r="T36" s="74">
        <f>'ARP Quarterly'!J9</f>
        <v>38.595999999999997</v>
      </c>
      <c r="U36" s="74">
        <f>'ARP Quarterly'!K9</f>
        <v>38.595999999999997</v>
      </c>
      <c r="V36" s="74">
        <f>'ARP Quarterly'!L9</f>
        <v>38.595999999999997</v>
      </c>
      <c r="W36" s="74">
        <f>'ARP Quarterly'!M9</f>
        <v>38.595999999999997</v>
      </c>
      <c r="X36" s="74">
        <f>'ARP Quarterly'!N9</f>
        <v>31.911000000000001</v>
      </c>
      <c r="Y36" s="74">
        <f>'ARP Quarterly'!O9</f>
        <v>31.911000000000001</v>
      </c>
      <c r="Z36" s="74">
        <f>'ARP Quarterly'!P9</f>
        <v>31.911000000000001</v>
      </c>
      <c r="AA36" s="74">
        <f>'ARP Quarterly'!Q9</f>
        <v>31.911000000000001</v>
      </c>
      <c r="AB36" s="74">
        <f>'ARP Quarterly'!R9</f>
        <v>23.099</v>
      </c>
      <c r="AC36" s="75">
        <f>'ARP Quarterly'!S9</f>
        <v>23.099</v>
      </c>
      <c r="AD36" s="634">
        <f t="shared" si="16"/>
        <v>113.68849999999999</v>
      </c>
      <c r="AE36" s="133"/>
    </row>
    <row r="37" spans="1:88" s="80" customFormat="1" x14ac:dyDescent="0.3">
      <c r="B37" s="114" t="s">
        <v>202</v>
      </c>
      <c r="C37" s="97"/>
      <c r="D37" s="589"/>
      <c r="E37" s="97"/>
      <c r="F37" s="97"/>
      <c r="G37" s="97"/>
      <c r="H37" s="108"/>
      <c r="I37" s="108"/>
      <c r="J37" s="108"/>
      <c r="K37" s="108"/>
      <c r="L37" s="108"/>
      <c r="M37" s="133"/>
      <c r="N37" s="133">
        <f>'ARP Quarterly'!D14</f>
        <v>0.76160000000000005</v>
      </c>
      <c r="O37" s="960">
        <f>'ARP Quarterly'!E14</f>
        <v>1.9584000000000001</v>
      </c>
      <c r="P37" s="74">
        <f>'ARP Quarterly'!F14</f>
        <v>1.02</v>
      </c>
      <c r="Q37" s="74">
        <f>'ARP Quarterly'!G14</f>
        <v>1.02</v>
      </c>
      <c r="R37" s="74">
        <f>'ARP Quarterly'!H14</f>
        <v>1.02</v>
      </c>
      <c r="S37" s="74">
        <f>'ARP Quarterly'!I14</f>
        <v>1.02</v>
      </c>
      <c r="T37" s="74">
        <f>'ARP Quarterly'!J14</f>
        <v>0</v>
      </c>
      <c r="U37" s="74">
        <f>'ARP Quarterly'!K14</f>
        <v>0</v>
      </c>
      <c r="V37" s="74">
        <f>'ARP Quarterly'!L14</f>
        <v>0</v>
      </c>
      <c r="W37" s="74">
        <f>'ARP Quarterly'!M14</f>
        <v>0</v>
      </c>
      <c r="X37" s="74">
        <f>'ARP Quarterly'!N14</f>
        <v>0</v>
      </c>
      <c r="Y37" s="74">
        <f>'ARP Quarterly'!O14</f>
        <v>0</v>
      </c>
      <c r="Z37" s="74">
        <f>'ARP Quarterly'!P14</f>
        <v>0</v>
      </c>
      <c r="AA37" s="74">
        <f>'ARP Quarterly'!Q14</f>
        <v>0</v>
      </c>
      <c r="AB37" s="74">
        <f>'ARP Quarterly'!R14</f>
        <v>0</v>
      </c>
      <c r="AC37" s="75">
        <f>'ARP Quarterly'!S14</f>
        <v>0</v>
      </c>
      <c r="AD37" s="634">
        <f t="shared" si="16"/>
        <v>1.6999999999999997</v>
      </c>
      <c r="AE37" s="133"/>
    </row>
    <row r="38" spans="1:88" s="80" customFormat="1" x14ac:dyDescent="0.3">
      <c r="B38" s="114" t="s">
        <v>505</v>
      </c>
      <c r="C38" s="97"/>
      <c r="D38" s="589"/>
      <c r="E38" s="97"/>
      <c r="F38" s="97"/>
      <c r="G38" s="97"/>
      <c r="H38" s="108"/>
      <c r="I38" s="108"/>
      <c r="J38" s="108"/>
      <c r="K38" s="108"/>
      <c r="L38" s="108"/>
      <c r="M38" s="133"/>
      <c r="N38" s="133">
        <f>'ARP Quarterly'!D10</f>
        <v>59.256</v>
      </c>
      <c r="O38" s="960">
        <f>'ARP Quarterly'!E10</f>
        <v>59.256</v>
      </c>
      <c r="P38" s="74">
        <f>'ARP Quarterly'!F10</f>
        <v>35.671000000000006</v>
      </c>
      <c r="Q38" s="74">
        <f>'ARP Quarterly'!G10</f>
        <v>35.671000000000006</v>
      </c>
      <c r="R38" s="74">
        <f>'ARP Quarterly'!H10</f>
        <v>35.671000000000006</v>
      </c>
      <c r="S38" s="74">
        <f>'ARP Quarterly'!I10</f>
        <v>35.671000000000006</v>
      </c>
      <c r="T38" s="74">
        <f>'ARP Quarterly'!J10</f>
        <v>24.216000000000001</v>
      </c>
      <c r="U38" s="74">
        <f>'ARP Quarterly'!K10</f>
        <v>24.216000000000001</v>
      </c>
      <c r="V38" s="74">
        <f>'ARP Quarterly'!L10</f>
        <v>24.216000000000001</v>
      </c>
      <c r="W38" s="74">
        <f>'ARP Quarterly'!M10</f>
        <v>24.216000000000001</v>
      </c>
      <c r="X38" s="74">
        <f>'ARP Quarterly'!N10</f>
        <v>9.6430000000000007</v>
      </c>
      <c r="Y38" s="74">
        <f>'ARP Quarterly'!O10</f>
        <v>9.6430000000000007</v>
      </c>
      <c r="Z38" s="74">
        <f>'ARP Quarterly'!P10</f>
        <v>9.6430000000000007</v>
      </c>
      <c r="AA38" s="74">
        <f>'ARP Quarterly'!Q10</f>
        <v>9.6430000000000007</v>
      </c>
      <c r="AB38" s="74">
        <f>'ARP Quarterly'!R10</f>
        <v>4.5789999999999997</v>
      </c>
      <c r="AC38" s="75">
        <f>'ARP Quarterly'!S10</f>
        <v>4.5789999999999997</v>
      </c>
      <c r="AD38" s="634">
        <f t="shared" si="16"/>
        <v>94.336500000000001</v>
      </c>
      <c r="AE38" s="133"/>
    </row>
    <row r="39" spans="1:88" s="111" customFormat="1" x14ac:dyDescent="0.3">
      <c r="A39" s="80"/>
      <c r="B39" s="123"/>
      <c r="C39" s="264"/>
      <c r="D39" s="591"/>
      <c r="E39" s="264"/>
      <c r="F39" s="264"/>
      <c r="G39" s="264"/>
      <c r="H39" s="630"/>
      <c r="I39" s="630"/>
      <c r="J39" s="630"/>
      <c r="K39" s="630"/>
      <c r="L39" s="630"/>
      <c r="M39" s="632"/>
      <c r="N39" s="632"/>
      <c r="O39" s="631"/>
      <c r="P39" s="131"/>
      <c r="Q39" s="131"/>
      <c r="R39" s="131"/>
      <c r="S39" s="131"/>
      <c r="T39" s="131"/>
      <c r="U39" s="131"/>
      <c r="V39" s="131"/>
      <c r="W39" s="131"/>
      <c r="X39" s="131"/>
      <c r="Y39" s="131"/>
      <c r="Z39" s="131"/>
      <c r="AA39" s="131"/>
      <c r="AB39" s="131"/>
      <c r="AC39" s="132"/>
      <c r="AD39" s="631"/>
      <c r="AE39" s="133"/>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row>
    <row r="40" spans="1:88" s="80" customFormat="1" x14ac:dyDescent="0.35">
      <c r="B40" s="112"/>
      <c r="C40" s="97"/>
      <c r="D40" s="97"/>
      <c r="E40" s="97"/>
      <c r="F40" s="97"/>
      <c r="G40" s="97"/>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row>
    <row r="41" spans="1:88" s="80" customFormat="1" x14ac:dyDescent="0.35">
      <c r="B41" s="112"/>
      <c r="C41" s="97"/>
      <c r="D41" s="97"/>
      <c r="E41" s="97"/>
      <c r="F41" s="97"/>
      <c r="G41" s="97"/>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row>
    <row r="42" spans="1:88" s="39" customFormat="1" ht="17.5" customHeight="1" x14ac:dyDescent="0.3">
      <c r="B42" s="134" t="s">
        <v>506</v>
      </c>
      <c r="H42" s="76"/>
      <c r="I42" s="76"/>
      <c r="J42" s="76"/>
      <c r="K42" s="76"/>
      <c r="L42" s="76"/>
      <c r="M42" s="76"/>
      <c r="N42" s="108"/>
      <c r="O42" s="108"/>
      <c r="P42" s="108"/>
      <c r="Q42" s="108"/>
      <c r="R42" s="108"/>
      <c r="S42" s="108"/>
      <c r="T42" s="108"/>
      <c r="U42" s="108"/>
      <c r="V42" s="108"/>
      <c r="W42" s="108"/>
      <c r="X42" s="108"/>
      <c r="Y42" s="108"/>
      <c r="Z42" s="108"/>
      <c r="AA42" s="108"/>
      <c r="AB42" s="108"/>
      <c r="AC42" s="108"/>
      <c r="AD42" s="108"/>
      <c r="AE42" s="108"/>
    </row>
    <row r="43" spans="1:88" s="39" customFormat="1" ht="29.5" customHeight="1" x14ac:dyDescent="0.3">
      <c r="B43" s="962" t="s">
        <v>507</v>
      </c>
      <c r="C43" s="963" t="s">
        <v>508</v>
      </c>
      <c r="D43" s="964" t="s">
        <v>509</v>
      </c>
      <c r="E43" s="445" t="s">
        <v>510</v>
      </c>
      <c r="F43" s="76"/>
      <c r="G43" s="76"/>
      <c r="H43" s="76"/>
      <c r="I43" s="76"/>
      <c r="J43" s="108"/>
      <c r="K43" s="108"/>
      <c r="L43" s="108"/>
      <c r="M43" s="108"/>
      <c r="N43" s="108"/>
      <c r="O43" s="108"/>
      <c r="P43" s="108"/>
      <c r="Q43" s="108"/>
      <c r="R43" s="108"/>
      <c r="S43" s="108"/>
      <c r="T43" s="108"/>
      <c r="U43" s="108"/>
      <c r="V43" s="108"/>
      <c r="W43" s="108"/>
    </row>
    <row r="44" spans="1:88" s="39" customFormat="1" ht="18.649999999999999" customHeight="1" x14ac:dyDescent="0.3">
      <c r="B44" s="98" t="s">
        <v>511</v>
      </c>
      <c r="C44" s="127">
        <f>SUM(C45:C50)</f>
        <v>898.11599999999999</v>
      </c>
      <c r="D44" s="76">
        <f>SUM(D45:D49)</f>
        <v>203.64166666666668</v>
      </c>
      <c r="E44" s="48">
        <f>SUM(E45:E49)</f>
        <v>649.07733333333329</v>
      </c>
      <c r="F44" s="76"/>
      <c r="G44" s="76"/>
      <c r="H44" s="76"/>
      <c r="I44" s="76"/>
      <c r="J44" s="108"/>
      <c r="K44" s="108"/>
      <c r="L44" s="108"/>
      <c r="M44" s="108"/>
      <c r="N44" s="108"/>
      <c r="O44" s="108"/>
      <c r="P44" s="108"/>
      <c r="Q44" s="108"/>
      <c r="R44" s="108"/>
      <c r="S44" s="108"/>
      <c r="T44" s="108"/>
      <c r="U44" s="108"/>
      <c r="V44" s="108"/>
      <c r="W44" s="108"/>
    </row>
    <row r="45" spans="1:88" s="39" customFormat="1" x14ac:dyDescent="0.3">
      <c r="B45" s="95" t="s">
        <v>199</v>
      </c>
      <c r="C45" s="127">
        <f>C54</f>
        <v>150</v>
      </c>
      <c r="D45" s="76">
        <f>SUM(H12:M12)/4</f>
        <v>149.47499999999999</v>
      </c>
      <c r="E45" s="116">
        <f>C45-D45</f>
        <v>0.52500000000000568</v>
      </c>
      <c r="F45" s="76"/>
      <c r="G45" s="76"/>
      <c r="H45" s="76"/>
      <c r="I45" s="137"/>
      <c r="J45" s="137"/>
      <c r="K45" s="137"/>
      <c r="L45" s="137"/>
      <c r="M45" s="137"/>
      <c r="N45" s="137"/>
      <c r="O45" s="137"/>
      <c r="P45" s="137"/>
      <c r="Q45" s="108"/>
      <c r="R45" s="108"/>
      <c r="S45" s="108"/>
      <c r="T45" s="108"/>
      <c r="U45" s="108"/>
      <c r="V45" s="108"/>
      <c r="W45" s="108"/>
    </row>
    <row r="46" spans="1:88" s="39" customFormat="1" x14ac:dyDescent="0.3">
      <c r="B46" s="95" t="s">
        <v>200</v>
      </c>
      <c r="C46" s="107">
        <f>C55+C59+C65</f>
        <v>273.16899999999998</v>
      </c>
      <c r="D46" s="76">
        <f>SUM(H13:M13)/4</f>
        <v>22.075000000000003</v>
      </c>
      <c r="E46" s="116">
        <f>C46-D46</f>
        <v>251.09399999999999</v>
      </c>
      <c r="F46" s="76"/>
      <c r="G46" s="76"/>
      <c r="H46" s="76"/>
      <c r="I46" s="137"/>
      <c r="J46" s="137"/>
      <c r="K46" s="137"/>
      <c r="L46" s="137"/>
      <c r="M46" s="137"/>
      <c r="N46" s="137"/>
      <c r="O46" s="137"/>
      <c r="P46" s="137"/>
      <c r="Q46" s="108"/>
      <c r="R46" s="108"/>
      <c r="S46" s="108"/>
      <c r="T46" s="108"/>
      <c r="U46" s="108"/>
      <c r="V46" s="108"/>
      <c r="W46" s="108"/>
    </row>
    <row r="47" spans="1:88" s="39" customFormat="1" x14ac:dyDescent="0.3">
      <c r="B47" s="95" t="s">
        <v>202</v>
      </c>
      <c r="C47" s="125">
        <f>C56+C66+C60</f>
        <v>38.5</v>
      </c>
      <c r="D47" s="76">
        <f>SUM(H14:M14)/4</f>
        <v>29.675000000000004</v>
      </c>
      <c r="E47" s="116">
        <f>C47-D47</f>
        <v>8.8249999999999957</v>
      </c>
      <c r="F47" s="76"/>
      <c r="G47" s="76"/>
      <c r="H47" s="76"/>
      <c r="I47" s="137"/>
      <c r="J47" s="137"/>
      <c r="K47" s="137"/>
      <c r="L47" s="137"/>
      <c r="M47" s="137"/>
      <c r="N47" s="137"/>
      <c r="O47" s="137"/>
      <c r="P47" s="137"/>
      <c r="Q47" s="1102"/>
      <c r="R47" s="1102"/>
      <c r="S47" s="1102"/>
      <c r="T47" s="1102"/>
      <c r="U47" s="1102"/>
      <c r="V47" s="1102"/>
      <c r="W47" s="1102"/>
      <c r="X47" s="1102"/>
      <c r="Y47" s="1102"/>
      <c r="Z47" s="1102"/>
      <c r="AA47" s="1102"/>
      <c r="AB47" s="1102"/>
      <c r="AC47" s="1102"/>
      <c r="AD47" s="1102"/>
      <c r="AE47" s="1102"/>
      <c r="AF47" s="1102"/>
      <c r="AG47" s="1102"/>
      <c r="AH47" s="1102"/>
    </row>
    <row r="48" spans="1:88" s="39" customFormat="1" ht="17.149999999999999" customHeight="1" x14ac:dyDescent="0.3">
      <c r="B48" s="95" t="s">
        <v>512</v>
      </c>
      <c r="C48" s="125">
        <f>C58</f>
        <v>29</v>
      </c>
      <c r="D48" s="76">
        <f>SUM(H15:M15)/4</f>
        <v>2.4166666666666665</v>
      </c>
      <c r="E48" s="116">
        <f>C48-D48</f>
        <v>26.583333333333332</v>
      </c>
      <c r="F48" s="76"/>
      <c r="G48" s="76"/>
      <c r="H48" s="76"/>
      <c r="I48" s="137"/>
      <c r="J48" s="137"/>
      <c r="K48" s="137"/>
      <c r="L48" s="137"/>
      <c r="M48" s="137"/>
      <c r="N48" s="137"/>
      <c r="O48" s="137"/>
      <c r="P48" s="137"/>
      <c r="Q48" s="1074"/>
      <c r="R48" s="1074"/>
      <c r="S48" s="1074"/>
      <c r="T48" s="1074"/>
      <c r="U48" s="1074"/>
      <c r="V48" s="1074"/>
      <c r="W48" s="1074"/>
      <c r="X48" s="1074"/>
      <c r="Y48" s="1074"/>
      <c r="Z48" s="43"/>
      <c r="AA48" s="43"/>
      <c r="AB48" s="43"/>
      <c r="AC48" s="43"/>
      <c r="AD48" s="1074"/>
      <c r="AE48" s="1074"/>
      <c r="AF48" s="1074"/>
      <c r="AG48" s="1074"/>
      <c r="AH48" s="43"/>
    </row>
    <row r="49" spans="1:34" s="39" customFormat="1" ht="15.65" customHeight="1" x14ac:dyDescent="0.3">
      <c r="B49" s="95" t="s">
        <v>489</v>
      </c>
      <c r="C49" s="125">
        <f>C64</f>
        <v>362.04999999999995</v>
      </c>
      <c r="D49" s="76">
        <v>0</v>
      </c>
      <c r="E49" s="116">
        <f>C49-D49</f>
        <v>362.04999999999995</v>
      </c>
      <c r="F49" s="76"/>
      <c r="G49" s="76"/>
      <c r="H49" s="76"/>
      <c r="I49" s="137"/>
      <c r="J49" s="137"/>
      <c r="K49" s="137"/>
      <c r="L49" s="137"/>
      <c r="M49" s="137"/>
      <c r="N49" s="137"/>
      <c r="O49" s="137"/>
      <c r="P49" s="137"/>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2" t="s">
        <v>513</v>
      </c>
      <c r="C50" s="127">
        <f>C67+C68+C61+C62</f>
        <v>45.396999999999998</v>
      </c>
      <c r="D50" s="76"/>
      <c r="E50" s="116"/>
      <c r="F50" s="76"/>
      <c r="G50" s="76"/>
      <c r="H50" s="76"/>
      <c r="I50" s="137"/>
      <c r="J50" s="137"/>
      <c r="K50" s="137"/>
      <c r="L50" s="137"/>
      <c r="M50" s="137"/>
      <c r="N50" s="137"/>
      <c r="O50" s="137"/>
      <c r="P50" s="137"/>
      <c r="Q50" s="108"/>
      <c r="R50" s="108"/>
      <c r="S50" s="108"/>
      <c r="T50" s="108"/>
      <c r="U50" s="108"/>
      <c r="V50" s="108"/>
      <c r="W50" s="108"/>
    </row>
    <row r="51" spans="1:34" s="39" customFormat="1" ht="5.15" customHeight="1" x14ac:dyDescent="0.3">
      <c r="B51" s="92"/>
      <c r="C51" s="127"/>
      <c r="D51" s="76"/>
      <c r="E51" s="116"/>
      <c r="F51" s="76"/>
      <c r="G51" s="76"/>
      <c r="H51" s="76"/>
      <c r="I51" s="137"/>
      <c r="J51" s="137"/>
      <c r="K51" s="137"/>
      <c r="L51" s="137"/>
      <c r="M51" s="137"/>
      <c r="N51" s="137"/>
      <c r="O51" s="137"/>
      <c r="P51" s="137"/>
      <c r="Q51" s="108"/>
      <c r="R51" s="108"/>
      <c r="S51" s="108"/>
      <c r="T51" s="108"/>
      <c r="U51" s="108"/>
      <c r="V51" s="108"/>
      <c r="W51" s="108"/>
    </row>
    <row r="52" spans="1:34" s="39" customFormat="1" ht="18.649999999999999" customHeight="1" x14ac:dyDescent="0.3">
      <c r="B52" s="98" t="s">
        <v>514</v>
      </c>
      <c r="C52" s="125">
        <f>C53+C57+C63</f>
        <v>898.11599999999999</v>
      </c>
      <c r="D52" s="76"/>
      <c r="E52" s="116"/>
      <c r="F52" s="76"/>
      <c r="G52" s="76"/>
      <c r="H52" s="76"/>
      <c r="I52" s="137"/>
      <c r="J52" s="137"/>
      <c r="K52" s="137"/>
      <c r="L52" s="137"/>
      <c r="M52" s="137"/>
      <c r="N52" s="137"/>
      <c r="O52" s="137"/>
      <c r="P52" s="137"/>
      <c r="Q52" s="108"/>
      <c r="R52" s="108"/>
      <c r="S52" s="108"/>
      <c r="T52" s="108"/>
      <c r="U52" s="108"/>
      <c r="V52" s="108"/>
      <c r="W52" s="108"/>
    </row>
    <row r="53" spans="1:34" s="39" customFormat="1" ht="16" customHeight="1" x14ac:dyDescent="0.3">
      <c r="B53" s="73" t="s">
        <v>495</v>
      </c>
      <c r="C53" s="125">
        <f>SUM(C54:C56)</f>
        <v>199</v>
      </c>
      <c r="D53" s="76"/>
      <c r="E53" s="116"/>
      <c r="F53" s="76"/>
      <c r="G53" s="76"/>
      <c r="H53" s="76"/>
      <c r="I53" s="137"/>
      <c r="J53" s="137"/>
      <c r="K53" s="137"/>
      <c r="L53" s="137"/>
      <c r="M53" s="137"/>
      <c r="N53" s="137"/>
      <c r="O53" s="137"/>
      <c r="P53" s="137"/>
      <c r="Q53" s="108"/>
      <c r="R53" s="108"/>
      <c r="S53" s="108"/>
      <c r="T53" s="108"/>
      <c r="U53" s="108"/>
      <c r="V53" s="108"/>
      <c r="W53" s="108"/>
    </row>
    <row r="54" spans="1:34" s="39" customFormat="1" ht="20.5" customHeight="1" x14ac:dyDescent="0.3">
      <c r="B54" s="114" t="s">
        <v>199</v>
      </c>
      <c r="C54" s="125">
        <v>150</v>
      </c>
      <c r="D54" s="76"/>
      <c r="E54" s="116"/>
      <c r="F54" s="76"/>
      <c r="G54" s="76"/>
      <c r="H54" s="76"/>
      <c r="I54" s="137"/>
      <c r="J54" s="137"/>
      <c r="K54" s="137"/>
      <c r="L54" s="137"/>
      <c r="M54" s="137"/>
      <c r="N54" s="137"/>
      <c r="O54" s="137"/>
      <c r="P54" s="137"/>
      <c r="Q54" s="108"/>
      <c r="R54" s="108"/>
      <c r="S54" s="108"/>
      <c r="T54" s="108"/>
      <c r="U54" s="108"/>
      <c r="V54" s="108"/>
      <c r="W54" s="108"/>
    </row>
    <row r="55" spans="1:34" s="39" customFormat="1" ht="16.5" customHeight="1" x14ac:dyDescent="0.3">
      <c r="B55" s="114" t="s">
        <v>200</v>
      </c>
      <c r="C55" s="106">
        <v>22</v>
      </c>
      <c r="D55" s="88"/>
      <c r="E55" s="116"/>
      <c r="F55" s="76"/>
      <c r="G55" s="76"/>
      <c r="H55" s="76"/>
      <c r="I55" s="137"/>
      <c r="J55" s="137"/>
      <c r="K55" s="137"/>
      <c r="L55" s="137"/>
      <c r="M55" s="137"/>
      <c r="N55" s="137"/>
      <c r="O55" s="137"/>
      <c r="P55" s="137"/>
      <c r="Q55" s="108"/>
      <c r="R55" s="108"/>
      <c r="S55" s="108"/>
      <c r="T55" s="108"/>
      <c r="U55" s="108"/>
      <c r="V55" s="108"/>
      <c r="W55" s="108"/>
    </row>
    <row r="56" spans="1:34" s="39" customFormat="1" x14ac:dyDescent="0.3">
      <c r="B56" s="114" t="s">
        <v>202</v>
      </c>
      <c r="C56" s="125">
        <v>27</v>
      </c>
      <c r="D56" s="76"/>
      <c r="E56" s="116"/>
      <c r="F56" s="97"/>
      <c r="G56" s="76"/>
      <c r="H56" s="76"/>
      <c r="I56" s="137"/>
      <c r="J56" s="137"/>
      <c r="K56" s="137"/>
      <c r="L56" s="137"/>
      <c r="M56" s="137"/>
      <c r="N56" s="137"/>
      <c r="O56" s="137"/>
      <c r="P56" s="137"/>
      <c r="Q56" s="108"/>
      <c r="R56" s="108"/>
      <c r="S56" s="108"/>
      <c r="T56" s="108"/>
      <c r="U56" s="108"/>
      <c r="V56" s="108"/>
      <c r="W56" s="108"/>
    </row>
    <row r="57" spans="1:34" s="39" customFormat="1" ht="15" customHeight="1" x14ac:dyDescent="0.3">
      <c r="B57" s="73" t="s">
        <v>497</v>
      </c>
      <c r="C57" s="125">
        <f>SUM(C58:C62)</f>
        <v>150</v>
      </c>
      <c r="D57" s="76"/>
      <c r="E57" s="116"/>
      <c r="F57" s="76"/>
      <c r="G57" s="76"/>
      <c r="H57" s="76"/>
      <c r="I57" s="76"/>
      <c r="J57" s="108"/>
      <c r="K57" s="108"/>
      <c r="L57" s="108"/>
      <c r="M57" s="108"/>
      <c r="N57" s="108"/>
      <c r="O57" s="108"/>
      <c r="P57" s="108"/>
      <c r="Q57" s="108"/>
      <c r="R57" s="108"/>
      <c r="S57" s="108"/>
      <c r="T57" s="108"/>
      <c r="U57" s="108"/>
      <c r="V57" s="108"/>
      <c r="W57" s="108"/>
    </row>
    <row r="58" spans="1:34" s="39" customFormat="1" ht="17.149999999999999" customHeight="1" x14ac:dyDescent="0.3">
      <c r="B58" s="114" t="s">
        <v>483</v>
      </c>
      <c r="C58" s="125">
        <f>'Response and Relief Act Score'!F7</f>
        <v>29</v>
      </c>
      <c r="D58" s="76"/>
      <c r="E58" s="116"/>
      <c r="F58" s="76"/>
      <c r="G58" s="76"/>
      <c r="H58" s="76"/>
      <c r="I58" s="76"/>
    </row>
    <row r="59" spans="1:34" s="39" customFormat="1" x14ac:dyDescent="0.3">
      <c r="B59" s="114" t="s">
        <v>200</v>
      </c>
      <c r="C59" s="125">
        <f>'Response and Relief Act Score'!F5</f>
        <v>82</v>
      </c>
      <c r="D59" s="76"/>
      <c r="E59" s="116"/>
      <c r="F59" s="76"/>
      <c r="G59" s="76"/>
      <c r="H59" s="76"/>
      <c r="I59" s="76"/>
      <c r="J59" s="108"/>
      <c r="K59" s="108"/>
      <c r="L59" s="108"/>
      <c r="M59" s="108"/>
      <c r="N59" s="108"/>
      <c r="O59" s="108"/>
      <c r="P59" s="108"/>
      <c r="Q59" s="108"/>
      <c r="R59" s="108"/>
      <c r="S59" s="108"/>
      <c r="T59" s="108"/>
      <c r="U59" s="108"/>
      <c r="V59" s="108"/>
      <c r="W59" s="108"/>
    </row>
    <row r="60" spans="1:34" s="39" customFormat="1" x14ac:dyDescent="0.3">
      <c r="B60" s="114" t="s">
        <v>202</v>
      </c>
      <c r="C60" s="125">
        <f>'Response and Relief Act Score'!F6</f>
        <v>3</v>
      </c>
      <c r="D60" s="76"/>
      <c r="E60" s="116"/>
      <c r="F60" s="76"/>
      <c r="G60" s="76"/>
      <c r="H60" s="76"/>
      <c r="I60" s="76"/>
      <c r="J60" s="108"/>
      <c r="K60" s="108"/>
      <c r="L60" s="108"/>
      <c r="M60" s="108"/>
      <c r="N60" s="108"/>
      <c r="O60" s="108"/>
      <c r="P60" s="108"/>
      <c r="Q60" s="108"/>
      <c r="R60" s="108"/>
      <c r="S60" s="108"/>
      <c r="T60" s="108"/>
      <c r="U60" s="108"/>
      <c r="V60" s="108"/>
      <c r="W60" s="108"/>
    </row>
    <row r="61" spans="1:34" s="39" customFormat="1" x14ac:dyDescent="0.3">
      <c r="B61" s="114" t="s">
        <v>500</v>
      </c>
      <c r="C61" s="125">
        <f>'Response and Relief Act Score'!F9</f>
        <v>34</v>
      </c>
      <c r="D61" s="76"/>
      <c r="E61" s="116"/>
      <c r="F61" s="76"/>
      <c r="G61" s="76"/>
      <c r="H61" s="76"/>
      <c r="I61" s="135"/>
      <c r="J61" s="108"/>
      <c r="K61" s="108"/>
      <c r="L61" s="108"/>
      <c r="M61" s="108"/>
      <c r="N61" s="108"/>
      <c r="O61" s="108"/>
      <c r="P61" s="108"/>
      <c r="Q61" s="108"/>
      <c r="R61" s="108"/>
      <c r="S61" s="108"/>
      <c r="T61" s="108"/>
      <c r="U61" s="108"/>
      <c r="V61" s="108"/>
      <c r="W61" s="108"/>
    </row>
    <row r="62" spans="1:34" s="39" customFormat="1" ht="12.65" customHeight="1" x14ac:dyDescent="0.3">
      <c r="B62" s="114" t="s">
        <v>501</v>
      </c>
      <c r="C62" s="125">
        <f>'Response and Relief Act Score'!F8</f>
        <v>2</v>
      </c>
      <c r="D62" s="76"/>
      <c r="E62" s="116"/>
      <c r="F62" s="76"/>
      <c r="G62" s="76"/>
      <c r="H62" s="76"/>
      <c r="I62" s="76"/>
      <c r="J62" s="108"/>
      <c r="K62" s="108"/>
      <c r="L62" s="108"/>
      <c r="M62" s="108"/>
      <c r="N62" s="108"/>
      <c r="O62" s="108"/>
      <c r="P62" s="108"/>
      <c r="Q62" s="108"/>
      <c r="R62" s="108"/>
      <c r="S62" s="108"/>
      <c r="T62" s="108"/>
      <c r="U62" s="108"/>
      <c r="V62" s="108"/>
      <c r="W62" s="108"/>
    </row>
    <row r="63" spans="1:34" s="39" customFormat="1" x14ac:dyDescent="0.3">
      <c r="A63" s="122"/>
      <c r="B63" s="120" t="s">
        <v>502</v>
      </c>
      <c r="C63" s="127">
        <f>SUM(C64:C68)</f>
        <v>549.11599999999999</v>
      </c>
      <c r="D63" s="76"/>
      <c r="E63" s="116"/>
      <c r="F63" s="76"/>
      <c r="G63" s="76"/>
      <c r="H63" s="76"/>
      <c r="I63" s="76"/>
      <c r="J63" s="108"/>
      <c r="K63" s="108"/>
      <c r="L63" s="108"/>
      <c r="M63" s="108"/>
      <c r="N63" s="108"/>
      <c r="O63" s="108"/>
      <c r="P63" s="108"/>
      <c r="Q63" s="108"/>
      <c r="R63" s="108"/>
      <c r="S63" s="108"/>
      <c r="T63" s="108"/>
      <c r="U63" s="108"/>
      <c r="V63" s="108"/>
      <c r="W63" s="108"/>
    </row>
    <row r="64" spans="1:34" s="39" customFormat="1" ht="16" customHeight="1" x14ac:dyDescent="0.3">
      <c r="A64" s="122"/>
      <c r="B64" s="121" t="s">
        <v>489</v>
      </c>
      <c r="C64" s="127">
        <f>'ARP Score'!AJ16</f>
        <v>362.04999999999995</v>
      </c>
      <c r="D64" s="76"/>
      <c r="E64" s="116"/>
      <c r="F64" s="76"/>
      <c r="G64" s="76"/>
      <c r="H64" s="76"/>
      <c r="I64" s="76"/>
      <c r="J64" s="108"/>
      <c r="K64" s="108"/>
      <c r="L64" s="108"/>
      <c r="M64" s="108"/>
      <c r="N64" s="108"/>
      <c r="O64" s="108"/>
      <c r="P64" s="108"/>
      <c r="Q64" s="108"/>
      <c r="R64" s="108"/>
      <c r="S64" s="108"/>
      <c r="T64" s="108"/>
      <c r="U64" s="108"/>
      <c r="V64" s="108"/>
      <c r="W64" s="108"/>
    </row>
    <row r="65" spans="1:31" s="39" customFormat="1" ht="15" customHeight="1" x14ac:dyDescent="0.3">
      <c r="A65" s="1101"/>
      <c r="B65" s="121" t="s">
        <v>200</v>
      </c>
      <c r="C65" s="127">
        <f>'ARP Score'!AL16</f>
        <v>169.16899999999998</v>
      </c>
      <c r="D65" s="76"/>
      <c r="E65" s="116"/>
      <c r="F65" s="76"/>
      <c r="G65" s="76"/>
      <c r="H65" s="76"/>
      <c r="I65" s="76"/>
      <c r="J65" s="108"/>
      <c r="K65" s="108"/>
      <c r="L65" s="108"/>
      <c r="M65" s="108"/>
      <c r="N65" s="108"/>
      <c r="O65" s="108"/>
      <c r="P65" s="108"/>
      <c r="Q65" s="108"/>
      <c r="R65" s="108"/>
      <c r="S65" s="108"/>
      <c r="T65" s="108"/>
      <c r="U65" s="108"/>
      <c r="V65" s="108"/>
      <c r="W65" s="108"/>
    </row>
    <row r="66" spans="1:31" s="39" customFormat="1" x14ac:dyDescent="0.3">
      <c r="A66" s="1101"/>
      <c r="B66" s="121" t="s">
        <v>202</v>
      </c>
      <c r="C66" s="127">
        <f>'ARP Score'!AK16</f>
        <v>8.5</v>
      </c>
      <c r="D66" s="76"/>
      <c r="E66" s="116"/>
      <c r="F66" s="76"/>
      <c r="G66" s="76"/>
      <c r="H66" s="76"/>
      <c r="I66" s="76"/>
      <c r="J66" s="108"/>
      <c r="K66" s="108"/>
      <c r="L66" s="108"/>
      <c r="M66" s="108"/>
      <c r="N66" s="108"/>
      <c r="O66" s="108"/>
      <c r="P66" s="108"/>
      <c r="Q66" s="108"/>
      <c r="R66" s="108"/>
      <c r="S66" s="108"/>
      <c r="T66" s="108"/>
      <c r="U66" s="108"/>
      <c r="V66" s="108"/>
      <c r="W66" s="108"/>
    </row>
    <row r="67" spans="1:31" s="39" customFormat="1" ht="17.149999999999999" customHeight="1" x14ac:dyDescent="0.3">
      <c r="A67" s="122"/>
      <c r="B67" s="121" t="s">
        <v>505</v>
      </c>
      <c r="C67" s="127">
        <f>'ARP Score'!AM16</f>
        <v>0.79700000000000004</v>
      </c>
      <c r="D67" s="76"/>
      <c r="E67" s="116"/>
      <c r="F67" s="76"/>
      <c r="G67" s="76"/>
      <c r="H67" s="76"/>
      <c r="I67" s="76"/>
      <c r="J67" s="108"/>
      <c r="K67" s="108"/>
      <c r="L67" s="108"/>
      <c r="M67" s="108"/>
      <c r="N67" s="108"/>
      <c r="O67" s="108"/>
      <c r="P67" s="108"/>
      <c r="Q67" s="108"/>
      <c r="R67" s="108"/>
      <c r="S67" s="108"/>
      <c r="T67" s="108"/>
      <c r="U67" s="108"/>
      <c r="V67" s="108"/>
      <c r="W67" s="108"/>
    </row>
    <row r="68" spans="1:31" s="39" customFormat="1" ht="17.149999999999999" customHeight="1" x14ac:dyDescent="0.3">
      <c r="A68" s="122"/>
      <c r="B68" s="123" t="s">
        <v>515</v>
      </c>
      <c r="C68" s="128">
        <f>'ARP Score'!AN16</f>
        <v>8.6</v>
      </c>
      <c r="D68" s="124"/>
      <c r="E68" s="117"/>
      <c r="F68" s="76"/>
      <c r="G68" s="76"/>
      <c r="H68" s="76"/>
      <c r="I68" s="76"/>
      <c r="J68" s="108"/>
      <c r="K68" s="108"/>
      <c r="L68" s="108"/>
      <c r="M68" s="108"/>
      <c r="N68" s="108"/>
      <c r="O68" s="108"/>
      <c r="P68" s="108"/>
      <c r="Q68" s="108"/>
      <c r="R68" s="108"/>
      <c r="S68" s="108"/>
      <c r="T68" s="108"/>
      <c r="U68" s="108"/>
      <c r="V68" s="108"/>
      <c r="W68" s="108"/>
    </row>
    <row r="69" spans="1:31" s="39" customFormat="1" ht="17.149999999999999" customHeight="1" x14ac:dyDescent="0.3">
      <c r="B69" s="121"/>
      <c r="C69" s="96"/>
      <c r="D69" s="96"/>
      <c r="E69" s="96"/>
      <c r="F69" s="96"/>
      <c r="G69" s="96"/>
      <c r="H69" s="76"/>
      <c r="I69" s="76"/>
      <c r="J69" s="76"/>
      <c r="K69" s="76"/>
      <c r="L69" s="76"/>
      <c r="M69" s="76"/>
      <c r="N69" s="108"/>
      <c r="O69" s="108"/>
      <c r="P69" s="108"/>
      <c r="Q69" s="108"/>
      <c r="R69" s="108"/>
      <c r="S69" s="108"/>
      <c r="T69" s="108"/>
      <c r="U69" s="108"/>
      <c r="V69" s="108"/>
      <c r="W69" s="108"/>
      <c r="X69" s="108"/>
      <c r="Y69" s="108"/>
      <c r="Z69" s="108"/>
      <c r="AA69" s="108"/>
      <c r="AB69" s="108"/>
      <c r="AC69" s="108"/>
      <c r="AD69" s="108"/>
      <c r="AE69" s="108"/>
    </row>
    <row r="70" spans="1:31" s="39" customFormat="1" ht="17.149999999999999" customHeight="1" x14ac:dyDescent="0.3">
      <c r="B70" s="115" t="s">
        <v>516</v>
      </c>
      <c r="C70" s="96"/>
      <c r="D70" s="96"/>
      <c r="E70" s="96"/>
      <c r="F70" s="96"/>
      <c r="G70" s="96"/>
      <c r="H70" s="76"/>
      <c r="I70" s="76"/>
      <c r="J70" s="76"/>
      <c r="K70" s="76"/>
      <c r="L70" s="76"/>
      <c r="M70" s="76"/>
      <c r="N70" s="108"/>
      <c r="O70" s="108"/>
      <c r="P70" s="108"/>
      <c r="Q70" s="108"/>
      <c r="R70" s="108"/>
      <c r="S70" s="108"/>
      <c r="T70" s="108"/>
      <c r="U70" s="108"/>
      <c r="V70" s="108"/>
      <c r="W70" s="108"/>
      <c r="X70" s="108"/>
      <c r="Y70" s="108"/>
      <c r="Z70" s="108"/>
      <c r="AA70" s="108"/>
      <c r="AB70" s="108"/>
      <c r="AC70" s="108"/>
      <c r="AD70" s="108"/>
      <c r="AE70" s="108"/>
    </row>
    <row r="71" spans="1:31" s="39" customFormat="1" ht="14.5" customHeight="1" x14ac:dyDescent="0.3">
      <c r="B71" s="1047" t="s">
        <v>517</v>
      </c>
      <c r="C71" s="1048"/>
      <c r="D71" s="1054" t="s">
        <v>409</v>
      </c>
      <c r="E71" s="1055"/>
      <c r="F71" s="1055"/>
      <c r="G71" s="1055"/>
      <c r="H71" s="1055"/>
      <c r="I71" s="1055"/>
      <c r="J71" s="1055"/>
      <c r="K71" s="1055"/>
      <c r="L71" s="1055"/>
      <c r="M71" s="1055"/>
      <c r="N71" s="1055"/>
      <c r="O71" s="1056"/>
      <c r="P71" s="1083" t="s">
        <v>410</v>
      </c>
      <c r="Q71" s="1084"/>
      <c r="R71" s="1084"/>
      <c r="S71" s="1084"/>
      <c r="T71" s="1084"/>
      <c r="U71" s="1084"/>
      <c r="V71" s="1084"/>
      <c r="W71" s="1084"/>
      <c r="X71" s="1084"/>
      <c r="Y71" s="1084"/>
      <c r="Z71" s="1084"/>
      <c r="AA71" s="1084"/>
      <c r="AB71" s="1084"/>
      <c r="AC71" s="1085"/>
      <c r="AD71" s="181"/>
      <c r="AE71" s="181"/>
    </row>
    <row r="72" spans="1:31" s="39" customFormat="1" x14ac:dyDescent="0.3">
      <c r="B72" s="1049"/>
      <c r="C72" s="1050"/>
      <c r="D72" s="549">
        <v>2018</v>
      </c>
      <c r="E72" s="1044">
        <v>2019</v>
      </c>
      <c r="F72" s="1045"/>
      <c r="G72" s="1045"/>
      <c r="H72" s="1046"/>
      <c r="I72" s="1044">
        <v>2020</v>
      </c>
      <c r="J72" s="1045"/>
      <c r="K72" s="1045"/>
      <c r="L72" s="1046"/>
      <c r="M72" s="1044">
        <v>2021</v>
      </c>
      <c r="N72" s="1045"/>
      <c r="O72" s="1046"/>
      <c r="P72" s="582">
        <v>2021</v>
      </c>
      <c r="Q72" s="1051">
        <v>2022</v>
      </c>
      <c r="R72" s="1052"/>
      <c r="S72" s="1052"/>
      <c r="T72" s="1053"/>
      <c r="U72" s="1051">
        <v>2023</v>
      </c>
      <c r="V72" s="1052"/>
      <c r="W72" s="1052"/>
      <c r="X72" s="1052"/>
      <c r="Y72" s="1051">
        <v>2024</v>
      </c>
      <c r="Z72" s="1052"/>
      <c r="AA72" s="1052"/>
      <c r="AB72" s="1053"/>
      <c r="AC72" s="334">
        <v>2025</v>
      </c>
      <c r="AD72" s="43"/>
      <c r="AE72" s="43"/>
    </row>
    <row r="73" spans="1:31" s="39" customFormat="1" x14ac:dyDescent="0.3">
      <c r="B73" s="1087"/>
      <c r="C73" s="1088"/>
      <c r="D73" s="167" t="s">
        <v>411</v>
      </c>
      <c r="E73" s="167" t="s">
        <v>412</v>
      </c>
      <c r="F73" s="148" t="s">
        <v>413</v>
      </c>
      <c r="G73" s="148" t="s">
        <v>298</v>
      </c>
      <c r="H73" s="155" t="s">
        <v>411</v>
      </c>
      <c r="I73" s="149" t="s">
        <v>412</v>
      </c>
      <c r="J73" s="149" t="s">
        <v>413</v>
      </c>
      <c r="K73" s="149" t="s">
        <v>298</v>
      </c>
      <c r="L73" s="149" t="s">
        <v>411</v>
      </c>
      <c r="M73" s="162" t="s">
        <v>412</v>
      </c>
      <c r="N73" s="149" t="s">
        <v>413</v>
      </c>
      <c r="O73" s="155" t="s">
        <v>298</v>
      </c>
      <c r="P73" s="438" t="s">
        <v>411</v>
      </c>
      <c r="Q73" s="436" t="s">
        <v>412</v>
      </c>
      <c r="R73" s="437" t="s">
        <v>413</v>
      </c>
      <c r="S73" s="437" t="s">
        <v>298</v>
      </c>
      <c r="T73" s="437" t="s">
        <v>411</v>
      </c>
      <c r="U73" s="436" t="s">
        <v>412</v>
      </c>
      <c r="V73" s="437" t="s">
        <v>413</v>
      </c>
      <c r="W73" s="437" t="s">
        <v>298</v>
      </c>
      <c r="X73" s="437" t="s">
        <v>411</v>
      </c>
      <c r="Y73" s="436" t="s">
        <v>412</v>
      </c>
      <c r="Z73" s="398" t="s">
        <v>413</v>
      </c>
      <c r="AA73" s="437" t="s">
        <v>298</v>
      </c>
      <c r="AB73" s="438" t="s">
        <v>411</v>
      </c>
      <c r="AC73" s="71" t="s">
        <v>412</v>
      </c>
      <c r="AD73" s="43"/>
      <c r="AE73" s="43"/>
    </row>
    <row r="74" spans="1:31" s="39" customFormat="1" ht="29.15" customHeight="1" x14ac:dyDescent="0.35">
      <c r="B74" s="458" t="s">
        <v>518</v>
      </c>
      <c r="C74" s="891"/>
      <c r="D74" s="889"/>
      <c r="E74" s="891"/>
      <c r="F74" s="891"/>
      <c r="G74" s="891"/>
      <c r="H74" s="892">
        <f t="shared" ref="H74:AC74" si="23">SUM(H76:H83)</f>
        <v>208.59399999999999</v>
      </c>
      <c r="I74" s="892">
        <f t="shared" si="23"/>
        <v>212.48200000000003</v>
      </c>
      <c r="J74" s="892">
        <f t="shared" si="23"/>
        <v>334.61</v>
      </c>
      <c r="K74" s="892">
        <f t="shared" si="23"/>
        <v>301.78300000000002</v>
      </c>
      <c r="L74" s="892">
        <f t="shared" si="23"/>
        <v>280.16300000000001</v>
      </c>
      <c r="M74" s="892">
        <f t="shared" si="23"/>
        <v>310.15499999999997</v>
      </c>
      <c r="N74" s="892">
        <f t="shared" si="23"/>
        <v>346.31500000000005</v>
      </c>
      <c r="O74" s="893">
        <f t="shared" si="23"/>
        <v>-34.256</v>
      </c>
      <c r="P74" s="965" t="e">
        <f t="shared" si="23"/>
        <v>#DIV/0!</v>
      </c>
      <c r="Q74" s="965" t="e">
        <f t="shared" si="23"/>
        <v>#DIV/0!</v>
      </c>
      <c r="R74" s="965" t="e">
        <f t="shared" si="23"/>
        <v>#DIV/0!</v>
      </c>
      <c r="S74" s="965" t="e">
        <f t="shared" si="23"/>
        <v>#DIV/0!</v>
      </c>
      <c r="T74" s="965">
        <f t="shared" si="23"/>
        <v>49.935991634052229</v>
      </c>
      <c r="U74" s="965">
        <f t="shared" si="23"/>
        <v>54.299929299414316</v>
      </c>
      <c r="V74" s="965">
        <f t="shared" si="23"/>
        <v>30.051664103390891</v>
      </c>
      <c r="W74" s="965">
        <f t="shared" si="23"/>
        <v>20.06163690752652</v>
      </c>
      <c r="X74" s="965">
        <f t="shared" si="23"/>
        <v>15.03172414382756</v>
      </c>
      <c r="Y74" s="965">
        <f t="shared" si="23"/>
        <v>-15.26297425041929</v>
      </c>
      <c r="Z74" s="965">
        <f t="shared" si="23"/>
        <v>-42.809780700436079</v>
      </c>
      <c r="AA74" s="965">
        <f t="shared" si="23"/>
        <v>-48.345755288453518</v>
      </c>
      <c r="AB74" s="965">
        <f t="shared" si="23"/>
        <v>-54.983802999991639</v>
      </c>
      <c r="AC74" s="457">
        <f t="shared" si="23"/>
        <v>-69.968936847991301</v>
      </c>
      <c r="AD74" s="259"/>
      <c r="AE74" s="259"/>
    </row>
    <row r="75" spans="1:31" s="39" customFormat="1" ht="19" customHeight="1" x14ac:dyDescent="0.35">
      <c r="B75" s="98" t="s">
        <v>519</v>
      </c>
      <c r="C75" s="179"/>
      <c r="D75" s="890"/>
      <c r="E75" s="179"/>
      <c r="F75" s="179"/>
      <c r="G75" s="179"/>
      <c r="H75" s="259"/>
      <c r="I75" s="259"/>
      <c r="J75" s="259"/>
      <c r="K75" s="259"/>
      <c r="L75" s="259"/>
      <c r="M75" s="259"/>
      <c r="N75" s="259"/>
      <c r="O75" s="966"/>
      <c r="P75" s="257"/>
      <c r="Q75" s="257"/>
      <c r="R75" s="257"/>
      <c r="S75" s="257"/>
      <c r="T75" s="257"/>
      <c r="U75" s="257"/>
      <c r="V75" s="257"/>
      <c r="W75" s="257"/>
      <c r="X75" s="257"/>
      <c r="Y75" s="257"/>
      <c r="Z75" s="257"/>
      <c r="AA75" s="257"/>
      <c r="AB75" s="257"/>
      <c r="AC75" s="258"/>
      <c r="AD75" s="259"/>
      <c r="AE75" s="259"/>
    </row>
    <row r="76" spans="1:31" s="39" customFormat="1" x14ac:dyDescent="0.3">
      <c r="B76" s="81" t="s">
        <v>202</v>
      </c>
      <c r="C76" s="97"/>
      <c r="D76" s="589"/>
      <c r="E76" s="97"/>
      <c r="F76" s="97"/>
      <c r="G76" s="97"/>
      <c r="H76" s="133"/>
      <c r="I76" s="133"/>
      <c r="J76" s="133">
        <f t="shared" ref="J76:AC76" si="24">J14</f>
        <v>64.400000000000006</v>
      </c>
      <c r="K76" s="133">
        <f t="shared" si="24"/>
        <v>23.4</v>
      </c>
      <c r="L76" s="133">
        <f t="shared" si="24"/>
        <v>13.8</v>
      </c>
      <c r="M76" s="133">
        <f t="shared" si="24"/>
        <v>17.100000000000001</v>
      </c>
      <c r="N76" s="133">
        <f t="shared" si="24"/>
        <v>10.6</v>
      </c>
      <c r="O76" s="960">
        <f t="shared" si="24"/>
        <v>0</v>
      </c>
      <c r="P76" s="401" t="e">
        <f t="shared" si="24"/>
        <v>#DIV/0!</v>
      </c>
      <c r="Q76" s="401" t="e">
        <f t="shared" si="24"/>
        <v>#DIV/0!</v>
      </c>
      <c r="R76" s="401" t="e">
        <f t="shared" si="24"/>
        <v>#DIV/0!</v>
      </c>
      <c r="S76" s="401" t="e">
        <f t="shared" si="24"/>
        <v>#DIV/0!</v>
      </c>
      <c r="T76" s="401">
        <f t="shared" si="24"/>
        <v>0</v>
      </c>
      <c r="U76" s="401">
        <f t="shared" si="24"/>
        <v>0</v>
      </c>
      <c r="V76" s="401">
        <f t="shared" si="24"/>
        <v>0</v>
      </c>
      <c r="W76" s="401">
        <f t="shared" si="24"/>
        <v>0</v>
      </c>
      <c r="X76" s="401">
        <f t="shared" si="24"/>
        <v>0</v>
      </c>
      <c r="Y76" s="401">
        <f t="shared" si="24"/>
        <v>0</v>
      </c>
      <c r="Z76" s="401">
        <f t="shared" si="24"/>
        <v>0</v>
      </c>
      <c r="AA76" s="401">
        <f t="shared" si="24"/>
        <v>0</v>
      </c>
      <c r="AB76" s="401">
        <f t="shared" si="24"/>
        <v>0</v>
      </c>
      <c r="AC76" s="402">
        <f t="shared" si="24"/>
        <v>0</v>
      </c>
      <c r="AD76" s="133"/>
      <c r="AE76" s="133"/>
    </row>
    <row r="77" spans="1:31" s="39" customFormat="1" x14ac:dyDescent="0.3">
      <c r="B77" s="81" t="s">
        <v>483</v>
      </c>
      <c r="C77" s="97"/>
      <c r="D77" s="589"/>
      <c r="E77" s="97"/>
      <c r="F77" s="97"/>
      <c r="G77" s="97"/>
      <c r="H77" s="133"/>
      <c r="I77" s="133"/>
      <c r="J77" s="133"/>
      <c r="K77" s="133"/>
      <c r="L77" s="133"/>
      <c r="M77" s="133">
        <f>M29</f>
        <v>9.6666666666666661</v>
      </c>
      <c r="N77" s="133">
        <f t="shared" ref="N77:AC77" si="25">N29</f>
        <v>9.6666666666666661</v>
      </c>
      <c r="O77" s="960">
        <f t="shared" si="25"/>
        <v>9.6666666666666661</v>
      </c>
      <c r="P77" s="401">
        <f t="shared" si="25"/>
        <v>9.6666666666666661</v>
      </c>
      <c r="Q77" s="401">
        <f t="shared" si="25"/>
        <v>9.6666666666666661</v>
      </c>
      <c r="R77" s="401">
        <f t="shared" si="25"/>
        <v>9.6666666666666661</v>
      </c>
      <c r="S77" s="401">
        <f t="shared" si="25"/>
        <v>9.6666666666666661</v>
      </c>
      <c r="T77" s="401">
        <f t="shared" si="25"/>
        <v>9.6666666666666661</v>
      </c>
      <c r="U77" s="401">
        <f t="shared" si="25"/>
        <v>9.6666666666666661</v>
      </c>
      <c r="V77" s="401">
        <f t="shared" si="25"/>
        <v>9.6666666666666661</v>
      </c>
      <c r="W77" s="401">
        <f t="shared" si="25"/>
        <v>9.6666666666666661</v>
      </c>
      <c r="X77" s="401">
        <f t="shared" si="25"/>
        <v>9.6666666666666661</v>
      </c>
      <c r="Y77" s="401">
        <f t="shared" si="25"/>
        <v>0</v>
      </c>
      <c r="Z77" s="401">
        <f t="shared" si="25"/>
        <v>0</v>
      </c>
      <c r="AA77" s="401">
        <f t="shared" si="25"/>
        <v>0</v>
      </c>
      <c r="AB77" s="401">
        <f t="shared" si="25"/>
        <v>0</v>
      </c>
      <c r="AC77" s="402">
        <f t="shared" si="25"/>
        <v>0</v>
      </c>
      <c r="AD77" s="133"/>
      <c r="AE77" s="133"/>
    </row>
    <row r="78" spans="1:31" s="39" customFormat="1" x14ac:dyDescent="0.3">
      <c r="B78" s="81" t="s">
        <v>520</v>
      </c>
      <c r="C78" s="97"/>
      <c r="D78" s="589"/>
      <c r="E78" s="97"/>
      <c r="F78" s="97"/>
      <c r="G78" s="97"/>
      <c r="H78" s="133"/>
      <c r="I78" s="133"/>
      <c r="J78" s="133"/>
      <c r="K78" s="133"/>
      <c r="L78" s="133"/>
      <c r="M78" s="133">
        <f t="shared" ref="M78:AC78" si="26">M16</f>
        <v>12</v>
      </c>
      <c r="N78" s="133">
        <f t="shared" si="26"/>
        <v>12</v>
      </c>
      <c r="O78" s="960">
        <f t="shared" si="26"/>
        <v>12</v>
      </c>
      <c r="P78" s="401">
        <f t="shared" si="26"/>
        <v>12</v>
      </c>
      <c r="Q78" s="401">
        <f t="shared" si="26"/>
        <v>12</v>
      </c>
      <c r="R78" s="401">
        <f t="shared" si="26"/>
        <v>12</v>
      </c>
      <c r="S78" s="401">
        <f t="shared" si="26"/>
        <v>12</v>
      </c>
      <c r="T78" s="401">
        <f t="shared" si="26"/>
        <v>12</v>
      </c>
      <c r="U78" s="401">
        <f t="shared" si="26"/>
        <v>12</v>
      </c>
      <c r="V78" s="401">
        <f t="shared" si="26"/>
        <v>12</v>
      </c>
      <c r="W78" s="401">
        <f t="shared" si="26"/>
        <v>12</v>
      </c>
      <c r="X78" s="401">
        <f t="shared" si="26"/>
        <v>12</v>
      </c>
      <c r="Y78" s="401">
        <f t="shared" si="26"/>
        <v>0</v>
      </c>
      <c r="Z78" s="401">
        <f t="shared" si="26"/>
        <v>0</v>
      </c>
      <c r="AA78" s="401">
        <f t="shared" si="26"/>
        <v>0</v>
      </c>
      <c r="AB78" s="401">
        <f t="shared" si="26"/>
        <v>0</v>
      </c>
      <c r="AC78" s="402">
        <f t="shared" si="26"/>
        <v>0</v>
      </c>
      <c r="AD78" s="133"/>
      <c r="AE78" s="133"/>
    </row>
    <row r="79" spans="1:31" s="39" customFormat="1" x14ac:dyDescent="0.3">
      <c r="B79" s="81" t="s">
        <v>521</v>
      </c>
      <c r="C79" s="97"/>
      <c r="D79" s="589"/>
      <c r="E79" s="97"/>
      <c r="F79" s="97"/>
      <c r="G79" s="97"/>
      <c r="H79" s="260">
        <f t="shared" ref="H79:AC79" si="27">H20</f>
        <v>208.59399999999999</v>
      </c>
      <c r="I79" s="260">
        <f t="shared" si="27"/>
        <v>212.48200000000003</v>
      </c>
      <c r="J79" s="260">
        <f t="shared" si="27"/>
        <v>206.81000000000006</v>
      </c>
      <c r="K79" s="260">
        <f t="shared" si="27"/>
        <v>217.58300000000003</v>
      </c>
      <c r="L79" s="260">
        <f t="shared" si="27"/>
        <v>206.16300000000001</v>
      </c>
      <c r="M79" s="260">
        <f t="shared" si="27"/>
        <v>202.48833333333332</v>
      </c>
      <c r="N79" s="260">
        <f t="shared" si="27"/>
        <v>206.44833333333338</v>
      </c>
      <c r="O79" s="967">
        <f t="shared" si="27"/>
        <v>-120.92266666666666</v>
      </c>
      <c r="P79" s="262">
        <f t="shared" si="27"/>
        <v>-125.75957333333332</v>
      </c>
      <c r="Q79" s="262">
        <f t="shared" si="27"/>
        <v>-130.78995626666665</v>
      </c>
      <c r="R79" s="262">
        <f t="shared" si="27"/>
        <v>-136.02155451733333</v>
      </c>
      <c r="S79" s="262">
        <f t="shared" si="27"/>
        <v>-141.46241669802666</v>
      </c>
      <c r="T79" s="262">
        <f t="shared" si="27"/>
        <v>-147.12091336594773</v>
      </c>
      <c r="U79" s="262">
        <f t="shared" si="27"/>
        <v>-153.00574990058564</v>
      </c>
      <c r="V79" s="262">
        <f t="shared" si="27"/>
        <v>-159.12597989660907</v>
      </c>
      <c r="W79" s="262">
        <f t="shared" si="27"/>
        <v>-165.49101909247344</v>
      </c>
      <c r="X79" s="262">
        <f t="shared" si="27"/>
        <v>-172.11065985617239</v>
      </c>
      <c r="Y79" s="262">
        <f t="shared" si="27"/>
        <v>-178.99508625041929</v>
      </c>
      <c r="Z79" s="262">
        <f t="shared" si="27"/>
        <v>-186.15488970043606</v>
      </c>
      <c r="AA79" s="262">
        <f t="shared" si="27"/>
        <v>-193.6010852884535</v>
      </c>
      <c r="AB79" s="262">
        <f t="shared" si="27"/>
        <v>-201.34512869999165</v>
      </c>
      <c r="AC79" s="263">
        <f t="shared" si="27"/>
        <v>-209.39893384799132</v>
      </c>
      <c r="AD79" s="260"/>
      <c r="AE79" s="260"/>
    </row>
    <row r="80" spans="1:31" s="39" customFormat="1" ht="14.5" customHeight="1" x14ac:dyDescent="0.3">
      <c r="B80" s="277" t="s">
        <v>522</v>
      </c>
      <c r="C80" s="97"/>
      <c r="D80" s="589"/>
      <c r="E80" s="97"/>
      <c r="F80" s="97"/>
      <c r="G80" s="97"/>
      <c r="H80" s="133"/>
      <c r="I80" s="133"/>
      <c r="J80" s="133"/>
      <c r="K80" s="133"/>
      <c r="L80" s="133"/>
      <c r="M80" s="133"/>
      <c r="N80" s="133"/>
      <c r="O80" s="960"/>
      <c r="P80" s="401"/>
      <c r="Q80" s="401"/>
      <c r="R80" s="401"/>
      <c r="S80" s="401"/>
      <c r="T80" s="401"/>
      <c r="U80" s="401"/>
      <c r="V80" s="401"/>
      <c r="W80" s="401"/>
      <c r="X80" s="401"/>
      <c r="Y80" s="401"/>
      <c r="Z80" s="401"/>
      <c r="AA80" s="401"/>
      <c r="AB80" s="401"/>
      <c r="AC80" s="402"/>
      <c r="AD80" s="133"/>
      <c r="AE80" s="133"/>
    </row>
    <row r="81" spans="2:31" s="39" customFormat="1" ht="14.5" customHeight="1" x14ac:dyDescent="0.3">
      <c r="B81" s="81" t="s">
        <v>200</v>
      </c>
      <c r="C81" s="97"/>
      <c r="D81" s="589"/>
      <c r="E81" s="97"/>
      <c r="F81" s="97"/>
      <c r="G81" s="97"/>
      <c r="H81" s="133"/>
      <c r="I81" s="133"/>
      <c r="J81" s="133">
        <f>J13</f>
        <v>28.4</v>
      </c>
      <c r="K81" s="133">
        <f t="shared" ref="K81:O81" si="28">K13</f>
        <v>15.8</v>
      </c>
      <c r="L81" s="133">
        <f t="shared" si="28"/>
        <v>15.2</v>
      </c>
      <c r="M81" s="133">
        <f t="shared" si="28"/>
        <v>28.9</v>
      </c>
      <c r="N81" s="133">
        <f t="shared" si="28"/>
        <v>67.599999999999994</v>
      </c>
      <c r="O81" s="960">
        <f t="shared" si="28"/>
        <v>0</v>
      </c>
      <c r="P81" s="401">
        <f>P26+P30+'ARP Quarterly'!F28</f>
        <v>43.095653333333331</v>
      </c>
      <c r="Q81" s="401">
        <f>Q26+Q30+'ARP Quarterly'!G28</f>
        <v>42.104973333333305</v>
      </c>
      <c r="R81" s="401">
        <f>R26+R30+'ARP Quarterly'!H28</f>
        <v>46.145562333333302</v>
      </c>
      <c r="S81" s="401">
        <f>S26+S30+'ARP Quarterly'!I28</f>
        <v>50.186151333333306</v>
      </c>
      <c r="T81" s="401">
        <f>T26+T30+'ARP Quarterly'!J28</f>
        <v>52.851310333333302</v>
      </c>
      <c r="U81" s="401">
        <f>U26+U30+'ARP Quarterly'!K28</f>
        <v>55.516469333333305</v>
      </c>
      <c r="V81" s="401">
        <f>V26+V30+'ARP Quarterly'!L28</f>
        <v>58.594257333333303</v>
      </c>
      <c r="W81" s="401">
        <f>W26+W30+'ARP Quarterly'!M28</f>
        <v>61.672045333333294</v>
      </c>
      <c r="X81" s="401">
        <f>X26+X30+'ARP Quarterly'!N28</f>
        <v>63.261773333333295</v>
      </c>
      <c r="Y81" s="401">
        <f>Y26+Y30+'ARP Quarterly'!O28</f>
        <v>61.518167999999996</v>
      </c>
      <c r="Z81" s="401">
        <f>Z26+Z30+'ARP Quarterly'!P28</f>
        <v>44.428388999999996</v>
      </c>
      <c r="AA81" s="401">
        <f>AA26+AA30+'ARP Quarterly'!Q28</f>
        <v>46.338610000000003</v>
      </c>
      <c r="AB81" s="401">
        <f>AB26+AB30+'ARP Quarterly'!R28</f>
        <v>47.279744500000007</v>
      </c>
      <c r="AC81" s="402">
        <f>AC26+AC30+'ARP Quarterly'!S28</f>
        <v>46.283419000000009</v>
      </c>
      <c r="AD81" s="133"/>
      <c r="AE81" s="133"/>
    </row>
    <row r="82" spans="2:31" s="39" customFormat="1" x14ac:dyDescent="0.3">
      <c r="B82" s="81" t="s">
        <v>199</v>
      </c>
      <c r="C82" s="261"/>
      <c r="D82" s="590"/>
      <c r="E82" s="261"/>
      <c r="F82" s="261"/>
      <c r="G82" s="261"/>
      <c r="H82" s="133"/>
      <c r="I82" s="133"/>
      <c r="J82" s="133">
        <v>35</v>
      </c>
      <c r="K82" s="133">
        <v>45</v>
      </c>
      <c r="L82" s="133">
        <v>45</v>
      </c>
      <c r="M82" s="133">
        <v>40</v>
      </c>
      <c r="N82" s="133">
        <v>40</v>
      </c>
      <c r="O82" s="960">
        <v>65</v>
      </c>
      <c r="P82" s="401">
        <v>65</v>
      </c>
      <c r="Q82" s="401">
        <v>55</v>
      </c>
      <c r="R82" s="401">
        <v>50</v>
      </c>
      <c r="S82" s="401">
        <v>50</v>
      </c>
      <c r="T82" s="401">
        <v>50</v>
      </c>
      <c r="U82" s="401">
        <v>50</v>
      </c>
      <c r="V82" s="401">
        <v>10</v>
      </c>
      <c r="W82" s="401"/>
      <c r="X82" s="401"/>
      <c r="Y82" s="401"/>
      <c r="Z82" s="401"/>
      <c r="AA82" s="401"/>
      <c r="AB82" s="401"/>
      <c r="AC82" s="402"/>
    </row>
    <row r="83" spans="2:31" s="39" customFormat="1" ht="28.5" customHeight="1" x14ac:dyDescent="0.3">
      <c r="B83" s="110" t="s">
        <v>523</v>
      </c>
      <c r="C83" s="264"/>
      <c r="D83" s="591"/>
      <c r="E83" s="264"/>
      <c r="F83" s="264"/>
      <c r="G83" s="264"/>
      <c r="H83" s="632"/>
      <c r="I83" s="632"/>
      <c r="J83" s="632"/>
      <c r="K83" s="632"/>
      <c r="L83" s="632"/>
      <c r="M83" s="632"/>
      <c r="N83" s="632">
        <f>'ARP Quarterly'!D47</f>
        <v>0</v>
      </c>
      <c r="O83" s="631">
        <f>'ARP Quarterly'!E47</f>
        <v>0</v>
      </c>
      <c r="P83" s="697">
        <f>'ARP Quarterly'!F47</f>
        <v>34.620851999999999</v>
      </c>
      <c r="Q83" s="697">
        <f>'ARP Quarterly'!G47</f>
        <v>45.996274799999995</v>
      </c>
      <c r="R83" s="697">
        <f>'ARP Quarterly'!H47</f>
        <v>59.350031999999992</v>
      </c>
      <c r="S83" s="697">
        <f>'ARP Quarterly'!I47</f>
        <v>64.295867999999999</v>
      </c>
      <c r="T83" s="697">
        <f>'ARP Quarterly'!J47</f>
        <v>72.538927999999999</v>
      </c>
      <c r="U83" s="697">
        <f>'ARP Quarterly'!K47</f>
        <v>80.122543199999996</v>
      </c>
      <c r="V83" s="697">
        <f>'ARP Quarterly'!L47</f>
        <v>98.916719999999998</v>
      </c>
      <c r="W83" s="697">
        <f>'ARP Quarterly'!M47</f>
        <v>102.213944</v>
      </c>
      <c r="X83" s="697">
        <f>'ARP Quarterly'!N47</f>
        <v>102.213944</v>
      </c>
      <c r="Y83" s="697">
        <f>'ARP Quarterly'!O47</f>
        <v>102.213944</v>
      </c>
      <c r="Z83" s="697">
        <f>'ARP Quarterly'!P47</f>
        <v>98.916719999999998</v>
      </c>
      <c r="AA83" s="697">
        <f>'ARP Quarterly'!Q47</f>
        <v>98.916719999999998</v>
      </c>
      <c r="AB83" s="697">
        <f>'ARP Quarterly'!R47</f>
        <v>99.081581199999988</v>
      </c>
      <c r="AC83" s="698">
        <f>'ARP Quarterly'!S47</f>
        <v>93.146578000000005</v>
      </c>
    </row>
    <row r="85" spans="2:31" ht="12.65" customHeight="1" x14ac:dyDescent="0.3">
      <c r="I85" s="695"/>
      <c r="J85" s="695"/>
      <c r="K85" s="695"/>
      <c r="L85" s="695"/>
      <c r="M85" s="695"/>
      <c r="N85" s="695"/>
      <c r="O85" s="695"/>
      <c r="P85" s="695"/>
      <c r="Q85" s="695"/>
      <c r="R85" s="695"/>
      <c r="S85" s="695"/>
      <c r="T85" s="695"/>
      <c r="U85" s="695"/>
      <c r="V85" s="695"/>
      <c r="W85" s="695"/>
      <c r="X85" s="695"/>
      <c r="Y85" s="695"/>
      <c r="Z85" s="695"/>
      <c r="AA85" s="695"/>
      <c r="AB85" s="695"/>
      <c r="AC85" s="695"/>
      <c r="AD85" s="66"/>
      <c r="AE85" s="66"/>
    </row>
    <row r="87" spans="2:31" x14ac:dyDescent="0.3">
      <c r="B87" s="1042" t="s">
        <v>184</v>
      </c>
      <c r="C87" s="1042"/>
      <c r="D87" s="1042"/>
      <c r="E87" s="1042"/>
      <c r="F87" s="1042"/>
      <c r="G87" s="1042"/>
      <c r="H87" s="1042"/>
      <c r="I87" s="1042"/>
      <c r="J87" s="1042"/>
      <c r="K87" s="1042"/>
      <c r="L87" s="1042"/>
      <c r="M87" s="1042"/>
      <c r="N87" s="1042"/>
      <c r="O87" s="1042"/>
      <c r="P87" s="1042"/>
      <c r="Q87" s="1042"/>
      <c r="R87" s="1042"/>
      <c r="S87" s="1042"/>
      <c r="T87" s="1042"/>
      <c r="U87" s="1042"/>
      <c r="V87" s="1042"/>
      <c r="W87" s="1042"/>
      <c r="X87" s="1042"/>
      <c r="Y87" s="1042"/>
      <c r="Z87" s="548"/>
      <c r="AA87" s="548"/>
      <c r="AB87" s="548"/>
      <c r="AC87" s="548"/>
      <c r="AD87" s="181"/>
      <c r="AE87" s="181"/>
    </row>
    <row r="88" spans="2:31" ht="19" customHeight="1" x14ac:dyDescent="0.3">
      <c r="B88" s="1043" t="s">
        <v>524</v>
      </c>
      <c r="C88" s="1043"/>
      <c r="D88" s="1043"/>
      <c r="E88" s="1043"/>
      <c r="F88" s="1043"/>
      <c r="G88" s="1043"/>
      <c r="H88" s="1043"/>
      <c r="I88" s="1043"/>
      <c r="J88" s="1043"/>
      <c r="K88" s="1043"/>
      <c r="L88" s="1043"/>
      <c r="M88" s="1043"/>
      <c r="N88" s="1043"/>
      <c r="O88" s="1043"/>
      <c r="P88" s="1043"/>
      <c r="Q88" s="1043"/>
      <c r="R88" s="1043"/>
      <c r="S88" s="1043"/>
      <c r="T88" s="1043"/>
      <c r="U88" s="1043"/>
      <c r="V88" s="1043"/>
      <c r="W88" s="1043"/>
      <c r="X88" s="1043"/>
      <c r="Y88" s="1043"/>
      <c r="Z88" s="1043"/>
      <c r="AA88" s="1043"/>
      <c r="AB88" s="1043"/>
      <c r="AC88" s="1043"/>
      <c r="AD88" s="220"/>
      <c r="AE88" s="220"/>
    </row>
    <row r="89" spans="2:31" ht="11.5" customHeight="1" x14ac:dyDescent="0.3">
      <c r="B89" s="66"/>
      <c r="C89" s="66"/>
      <c r="D89" s="66"/>
      <c r="E89" s="66"/>
      <c r="F89" s="66"/>
      <c r="G89" s="66"/>
      <c r="H89" s="66"/>
      <c r="I89" s="66"/>
      <c r="J89" s="66"/>
      <c r="K89" s="66"/>
      <c r="L89" s="66"/>
      <c r="M89" s="66"/>
      <c r="V89" s="43"/>
      <c r="W89" s="43"/>
      <c r="X89" s="43"/>
      <c r="Y89" s="43"/>
      <c r="Z89" s="43"/>
      <c r="AA89" s="43"/>
      <c r="AB89" s="43"/>
      <c r="AC89" s="43"/>
      <c r="AD89" s="43"/>
      <c r="AE89" s="43"/>
    </row>
    <row r="90" spans="2:31" ht="14.5" customHeight="1" x14ac:dyDescent="0.3">
      <c r="B90" s="1047" t="s">
        <v>408</v>
      </c>
      <c r="C90" s="1048"/>
      <c r="D90" s="1054" t="s">
        <v>409</v>
      </c>
      <c r="E90" s="1055"/>
      <c r="F90" s="1055"/>
      <c r="G90" s="1055"/>
      <c r="H90" s="1055"/>
      <c r="I90" s="1055"/>
      <c r="J90" s="1055"/>
      <c r="K90" s="1055"/>
      <c r="L90" s="1055"/>
      <c r="M90" s="1055"/>
      <c r="N90" s="1055"/>
      <c r="O90" s="1056"/>
      <c r="P90" s="1083" t="s">
        <v>410</v>
      </c>
      <c r="Q90" s="1084"/>
      <c r="R90" s="1084"/>
      <c r="S90" s="1084"/>
      <c r="T90" s="1084"/>
      <c r="U90" s="1084"/>
      <c r="V90" s="1084"/>
      <c r="W90" s="1084"/>
      <c r="X90" s="1084"/>
      <c r="Y90" s="1084"/>
      <c r="Z90" s="1084"/>
      <c r="AA90" s="1084"/>
      <c r="AB90" s="1084"/>
      <c r="AC90" s="1085"/>
      <c r="AD90" s="181"/>
      <c r="AE90" s="181"/>
    </row>
    <row r="91" spans="2:31" x14ac:dyDescent="0.3">
      <c r="B91" s="1049"/>
      <c r="C91" s="1050"/>
      <c r="D91" s="549">
        <v>2018</v>
      </c>
      <c r="E91" s="1044">
        <v>2019</v>
      </c>
      <c r="F91" s="1045"/>
      <c r="G91" s="1045"/>
      <c r="H91" s="1046"/>
      <c r="I91" s="1044">
        <v>2020</v>
      </c>
      <c r="J91" s="1045"/>
      <c r="K91" s="1045"/>
      <c r="L91" s="1046"/>
      <c r="M91" s="1044">
        <v>2021</v>
      </c>
      <c r="N91" s="1045"/>
      <c r="O91" s="1046"/>
      <c r="P91" s="582">
        <v>2021</v>
      </c>
      <c r="Q91" s="1051">
        <v>2022</v>
      </c>
      <c r="R91" s="1052"/>
      <c r="S91" s="1052"/>
      <c r="T91" s="1053"/>
      <c r="U91" s="1051">
        <v>2023</v>
      </c>
      <c r="V91" s="1052"/>
      <c r="W91" s="1052"/>
      <c r="X91" s="1052"/>
      <c r="Y91" s="1051">
        <v>2024</v>
      </c>
      <c r="Z91" s="1052"/>
      <c r="AA91" s="1052"/>
      <c r="AB91" s="1053"/>
      <c r="AC91" s="334">
        <v>2025</v>
      </c>
      <c r="AD91" s="43"/>
      <c r="AE91" s="43"/>
    </row>
    <row r="92" spans="2:31" x14ac:dyDescent="0.3">
      <c r="B92" s="1087"/>
      <c r="C92" s="1088"/>
      <c r="D92" s="167" t="s">
        <v>411</v>
      </c>
      <c r="E92" s="167" t="s">
        <v>412</v>
      </c>
      <c r="F92" s="148" t="s">
        <v>413</v>
      </c>
      <c r="G92" s="148" t="s">
        <v>298</v>
      </c>
      <c r="H92" s="155" t="s">
        <v>411</v>
      </c>
      <c r="I92" s="149" t="s">
        <v>412</v>
      </c>
      <c r="J92" s="149" t="s">
        <v>413</v>
      </c>
      <c r="K92" s="149" t="s">
        <v>298</v>
      </c>
      <c r="L92" s="149" t="s">
        <v>411</v>
      </c>
      <c r="M92" s="162" t="s">
        <v>412</v>
      </c>
      <c r="N92" s="149" t="s">
        <v>413</v>
      </c>
      <c r="O92" s="155" t="s">
        <v>298</v>
      </c>
      <c r="P92" s="438" t="s">
        <v>411</v>
      </c>
      <c r="Q92" s="436" t="s">
        <v>412</v>
      </c>
      <c r="R92" s="437" t="s">
        <v>413</v>
      </c>
      <c r="S92" s="437" t="s">
        <v>298</v>
      </c>
      <c r="T92" s="437" t="s">
        <v>411</v>
      </c>
      <c r="U92" s="436" t="s">
        <v>412</v>
      </c>
      <c r="V92" s="437" t="s">
        <v>413</v>
      </c>
      <c r="W92" s="437" t="s">
        <v>298</v>
      </c>
      <c r="X92" s="437" t="s">
        <v>411</v>
      </c>
      <c r="Y92" s="436" t="s">
        <v>412</v>
      </c>
      <c r="Z92" s="398" t="s">
        <v>413</v>
      </c>
      <c r="AA92" s="437" t="s">
        <v>298</v>
      </c>
      <c r="AB92" s="438" t="s">
        <v>411</v>
      </c>
      <c r="AC92" s="71" t="s">
        <v>412</v>
      </c>
      <c r="AD92" s="43"/>
      <c r="AE92" s="43"/>
    </row>
    <row r="93" spans="2:31" ht="14.5" x14ac:dyDescent="0.35">
      <c r="B93" s="453" t="s">
        <v>525</v>
      </c>
      <c r="C93" s="454" t="s">
        <v>526</v>
      </c>
      <c r="D93" s="455"/>
      <c r="E93" s="454"/>
      <c r="F93" s="454"/>
      <c r="G93" s="454"/>
      <c r="H93" s="456">
        <f>'Haver Pivoted'!GS41</f>
        <v>70.894000000000005</v>
      </c>
      <c r="I93" s="456">
        <f>'Haver Pivoted'!GT41</f>
        <v>72.774000000000001</v>
      </c>
      <c r="J93" s="456">
        <f>'Haver Pivoted'!GU41</f>
        <v>75.275000000000006</v>
      </c>
      <c r="K93" s="456">
        <f>'Haver Pivoted'!GV41</f>
        <v>78.766999999999996</v>
      </c>
      <c r="L93" s="456">
        <f>'Haver Pivoted'!GW41</f>
        <v>76.995000000000005</v>
      </c>
      <c r="M93" s="456">
        <f>'Haver Pivoted'!GX41</f>
        <v>75.03</v>
      </c>
      <c r="N93" s="456">
        <f>'Haver Pivoted'!GY41</f>
        <v>77.703999999999994</v>
      </c>
      <c r="O93" s="456">
        <f>'Haver Pivoted'!GZ41</f>
        <v>0</v>
      </c>
      <c r="P93" s="639">
        <f t="shared" ref="P93:AC93" si="29">AVERAGE($H$93:$N$93)</f>
        <v>75.34842857142857</v>
      </c>
      <c r="Q93" s="739">
        <f t="shared" si="29"/>
        <v>75.34842857142857</v>
      </c>
      <c r="R93" s="739">
        <f t="shared" si="29"/>
        <v>75.34842857142857</v>
      </c>
      <c r="S93" s="739">
        <f t="shared" si="29"/>
        <v>75.34842857142857</v>
      </c>
      <c r="T93" s="739">
        <f t="shared" si="29"/>
        <v>75.34842857142857</v>
      </c>
      <c r="U93" s="739">
        <f t="shared" si="29"/>
        <v>75.34842857142857</v>
      </c>
      <c r="V93" s="739">
        <f t="shared" si="29"/>
        <v>75.34842857142857</v>
      </c>
      <c r="W93" s="739">
        <f t="shared" si="29"/>
        <v>75.34842857142857</v>
      </c>
      <c r="X93" s="739">
        <f t="shared" si="29"/>
        <v>75.34842857142857</v>
      </c>
      <c r="Y93" s="739">
        <f t="shared" si="29"/>
        <v>75.34842857142857</v>
      </c>
      <c r="Z93" s="739">
        <f t="shared" si="29"/>
        <v>75.34842857142857</v>
      </c>
      <c r="AA93" s="739">
        <f t="shared" si="29"/>
        <v>75.34842857142857</v>
      </c>
      <c r="AB93" s="739">
        <f t="shared" si="29"/>
        <v>75.34842857142857</v>
      </c>
      <c r="AC93" s="740">
        <f t="shared" si="29"/>
        <v>75.34842857142857</v>
      </c>
      <c r="AD93" s="62"/>
      <c r="AE93" s="62"/>
    </row>
    <row r="95" spans="2:31" ht="11.15" customHeight="1" x14ac:dyDescent="0.3"/>
    <row r="96" spans="2:31" hidden="1" x14ac:dyDescent="0.3"/>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21" zoomScale="49" zoomScaleNormal="135" workbookViewId="0">
      <selection activeCell="D22" sqref="D22:AC24"/>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042" t="s">
        <v>527</v>
      </c>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42"/>
      <c r="AA1" s="1042"/>
      <c r="AB1" s="1042"/>
      <c r="AC1" s="1042"/>
    </row>
    <row r="2" spans="2:46" ht="14.15" customHeight="1" x14ac:dyDescent="0.3">
      <c r="B2" s="1075" t="s">
        <v>528</v>
      </c>
      <c r="C2" s="1075"/>
      <c r="D2" s="1075"/>
      <c r="E2" s="1075"/>
      <c r="F2" s="1075"/>
      <c r="G2" s="1075"/>
      <c r="H2" s="1075"/>
      <c r="I2" s="1075"/>
      <c r="J2" s="1075"/>
      <c r="K2" s="1075"/>
      <c r="L2" s="1075"/>
      <c r="M2" s="1075"/>
      <c r="N2" s="1075"/>
      <c r="O2" s="1075"/>
      <c r="P2" s="1075"/>
      <c r="Q2" s="1075"/>
      <c r="R2" s="1075"/>
      <c r="S2" s="1075"/>
      <c r="T2" s="1075"/>
      <c r="U2" s="1075"/>
      <c r="V2" s="1075"/>
      <c r="W2" s="1075"/>
      <c r="X2" s="1075"/>
      <c r="Y2" s="1075"/>
      <c r="Z2" s="1075"/>
      <c r="AA2" s="1075"/>
      <c r="AB2" s="1075"/>
      <c r="AC2" s="1075"/>
    </row>
    <row r="3" spans="2:46" ht="9" customHeight="1" x14ac:dyDescent="0.3">
      <c r="B3" s="1075"/>
      <c r="C3" s="1075"/>
      <c r="D3" s="1075"/>
      <c r="E3" s="1075"/>
      <c r="F3" s="1075"/>
      <c r="G3" s="1075"/>
      <c r="H3" s="1075"/>
      <c r="I3" s="1075"/>
      <c r="J3" s="1075"/>
      <c r="K3" s="1075"/>
      <c r="L3" s="1075"/>
      <c r="M3" s="1075"/>
      <c r="N3" s="1075"/>
      <c r="O3" s="1075"/>
      <c r="P3" s="1075"/>
      <c r="Q3" s="1075"/>
      <c r="R3" s="1075"/>
      <c r="S3" s="1075"/>
      <c r="T3" s="1075"/>
      <c r="U3" s="1075"/>
      <c r="V3" s="1075"/>
      <c r="W3" s="1075"/>
      <c r="X3" s="1075"/>
      <c r="Y3" s="1075"/>
      <c r="Z3" s="1075"/>
      <c r="AA3" s="1075"/>
      <c r="AB3" s="1075"/>
      <c r="AC3" s="1075"/>
    </row>
    <row r="4" spans="2:46" ht="27" customHeight="1" x14ac:dyDescent="0.3">
      <c r="B4" s="1075"/>
      <c r="C4" s="1075"/>
      <c r="D4" s="1075"/>
      <c r="E4" s="1075"/>
      <c r="F4" s="1075"/>
      <c r="G4" s="1075"/>
      <c r="H4" s="1075"/>
      <c r="I4" s="1075"/>
      <c r="J4" s="1075"/>
      <c r="K4" s="1075"/>
      <c r="L4" s="1075"/>
      <c r="M4" s="1075"/>
      <c r="N4" s="1075"/>
      <c r="O4" s="1075"/>
      <c r="P4" s="1075"/>
      <c r="Q4" s="1075"/>
      <c r="R4" s="1075"/>
      <c r="S4" s="1075"/>
      <c r="T4" s="1075"/>
      <c r="U4" s="1075"/>
      <c r="V4" s="1075"/>
      <c r="W4" s="1075"/>
      <c r="X4" s="1075"/>
      <c r="Y4" s="1075"/>
      <c r="Z4" s="1075"/>
      <c r="AA4" s="1075"/>
      <c r="AB4" s="1075"/>
      <c r="AC4" s="1075"/>
      <c r="AE4" s="38"/>
      <c r="AF4" s="38"/>
      <c r="AG4" s="38"/>
      <c r="AH4" s="38"/>
      <c r="AI4" s="38"/>
      <c r="AJ4" s="38"/>
      <c r="AK4" s="38"/>
      <c r="AL4" s="38"/>
      <c r="AM4" s="38"/>
    </row>
    <row r="5" spans="2:46" x14ac:dyDescent="0.3">
      <c r="B5" s="39"/>
      <c r="AC5" s="51"/>
      <c r="AD5" s="51"/>
      <c r="AE5" s="51"/>
      <c r="AF5" s="51"/>
      <c r="AG5" s="51"/>
      <c r="AH5" s="51"/>
      <c r="AI5" s="51"/>
      <c r="AJ5" s="51"/>
      <c r="AK5" s="51"/>
      <c r="AL5" s="51"/>
      <c r="AM5" s="51"/>
      <c r="AN5" s="51"/>
      <c r="AO5" s="51"/>
      <c r="AP5" s="51"/>
      <c r="AQ5" s="51"/>
      <c r="AR5" s="51"/>
      <c r="AS5" s="51"/>
      <c r="AT5" s="51"/>
    </row>
    <row r="6" spans="2:46" ht="14.5" customHeight="1" x14ac:dyDescent="0.3">
      <c r="B6" s="1047" t="s">
        <v>408</v>
      </c>
      <c r="C6" s="1048"/>
      <c r="D6" s="1054" t="s">
        <v>409</v>
      </c>
      <c r="E6" s="1055"/>
      <c r="F6" s="1055"/>
      <c r="G6" s="1055"/>
      <c r="H6" s="1055"/>
      <c r="I6" s="1055"/>
      <c r="J6" s="1055"/>
      <c r="K6" s="1055"/>
      <c r="L6" s="1055"/>
      <c r="M6" s="1055"/>
      <c r="N6" s="1055"/>
      <c r="O6" s="1056"/>
      <c r="P6" s="1083" t="s">
        <v>410</v>
      </c>
      <c r="Q6" s="1084"/>
      <c r="R6" s="1084"/>
      <c r="S6" s="1084"/>
      <c r="T6" s="1084"/>
      <c r="U6" s="1084"/>
      <c r="V6" s="1084"/>
      <c r="W6" s="1084"/>
      <c r="X6" s="1084"/>
      <c r="Y6" s="1084"/>
      <c r="Z6" s="1084"/>
      <c r="AA6" s="1084"/>
      <c r="AB6" s="1084"/>
      <c r="AC6" s="1085"/>
    </row>
    <row r="7" spans="2:46" ht="14.5" customHeight="1" x14ac:dyDescent="0.3">
      <c r="B7" s="1049"/>
      <c r="C7" s="1050"/>
      <c r="D7" s="549">
        <v>2018</v>
      </c>
      <c r="E7" s="1044">
        <v>2019</v>
      </c>
      <c r="F7" s="1045"/>
      <c r="G7" s="1045"/>
      <c r="H7" s="1046"/>
      <c r="I7" s="1044">
        <v>2020</v>
      </c>
      <c r="J7" s="1045"/>
      <c r="K7" s="1045"/>
      <c r="L7" s="1046"/>
      <c r="M7" s="1044">
        <v>2021</v>
      </c>
      <c r="N7" s="1045"/>
      <c r="O7" s="1046"/>
      <c r="P7" s="582">
        <v>2021</v>
      </c>
      <c r="Q7" s="1051">
        <v>2022</v>
      </c>
      <c r="R7" s="1052"/>
      <c r="S7" s="1052"/>
      <c r="T7" s="1053"/>
      <c r="U7" s="1051">
        <v>2023</v>
      </c>
      <c r="V7" s="1052"/>
      <c r="W7" s="1052"/>
      <c r="X7" s="1052"/>
      <c r="Y7" s="1051">
        <v>2024</v>
      </c>
      <c r="Z7" s="1052"/>
      <c r="AA7" s="1052"/>
      <c r="AB7" s="1053"/>
      <c r="AC7" s="334">
        <v>2025</v>
      </c>
    </row>
    <row r="8" spans="2:46" x14ac:dyDescent="0.3">
      <c r="B8" s="1087"/>
      <c r="C8" s="1088"/>
      <c r="D8" s="167" t="s">
        <v>411</v>
      </c>
      <c r="E8" s="167" t="s">
        <v>412</v>
      </c>
      <c r="F8" s="148" t="s">
        <v>413</v>
      </c>
      <c r="G8" s="148" t="s">
        <v>298</v>
      </c>
      <c r="H8" s="155" t="s">
        <v>411</v>
      </c>
      <c r="I8" s="149" t="s">
        <v>412</v>
      </c>
      <c r="J8" s="149" t="s">
        <v>413</v>
      </c>
      <c r="K8" s="149" t="s">
        <v>298</v>
      </c>
      <c r="L8" s="149" t="s">
        <v>411</v>
      </c>
      <c r="M8" s="162" t="s">
        <v>412</v>
      </c>
      <c r="N8" s="149" t="s">
        <v>413</v>
      </c>
      <c r="O8" s="155" t="s">
        <v>298</v>
      </c>
      <c r="P8" s="438" t="s">
        <v>411</v>
      </c>
      <c r="Q8" s="436" t="s">
        <v>412</v>
      </c>
      <c r="R8" s="437" t="s">
        <v>413</v>
      </c>
      <c r="S8" s="437" t="s">
        <v>298</v>
      </c>
      <c r="T8" s="437" t="s">
        <v>411</v>
      </c>
      <c r="U8" s="436" t="s">
        <v>412</v>
      </c>
      <c r="V8" s="437" t="s">
        <v>413</v>
      </c>
      <c r="W8" s="437" t="s">
        <v>298</v>
      </c>
      <c r="X8" s="437" t="s">
        <v>411</v>
      </c>
      <c r="Y8" s="436" t="s">
        <v>412</v>
      </c>
      <c r="Z8" s="398" t="s">
        <v>413</v>
      </c>
      <c r="AA8" s="437" t="s">
        <v>298</v>
      </c>
      <c r="AB8" s="438" t="s">
        <v>411</v>
      </c>
      <c r="AC8" s="71" t="s">
        <v>412</v>
      </c>
    </row>
    <row r="9" spans="2:46" ht="29.15" customHeight="1" x14ac:dyDescent="0.3">
      <c r="B9" s="56" t="s">
        <v>529</v>
      </c>
      <c r="C9" s="55" t="s">
        <v>530</v>
      </c>
      <c r="D9" s="894"/>
      <c r="E9" s="896"/>
      <c r="F9" s="896"/>
      <c r="G9" s="896"/>
      <c r="H9" s="896">
        <f>'Haver Pivoted'!GS23</f>
        <v>1441.7</v>
      </c>
      <c r="I9" s="896">
        <f>'Haver Pivoted'!GT23</f>
        <v>1454.7</v>
      </c>
      <c r="J9" s="896">
        <f>'Haver Pivoted'!GU23</f>
        <v>1525</v>
      </c>
      <c r="K9" s="896">
        <f>'Haver Pivoted'!GV23</f>
        <v>1515.1</v>
      </c>
      <c r="L9" s="896">
        <f>'Haver Pivoted'!GW23</f>
        <v>1512.3</v>
      </c>
      <c r="M9" s="896">
        <f>'Haver Pivoted'!GX23</f>
        <v>1568.6</v>
      </c>
      <c r="N9" s="896">
        <f>'Haver Pivoted'!GY23</f>
        <v>1563.3</v>
      </c>
      <c r="O9" s="576">
        <f>'Haver Pivoted'!GZ23</f>
        <v>0</v>
      </c>
      <c r="P9" s="968">
        <f t="shared" ref="P9:Y9" si="0">O9*((100 + P11)/100)^(0.25)</f>
        <v>0</v>
      </c>
      <c r="Q9" s="968">
        <f t="shared" si="0"/>
        <v>0</v>
      </c>
      <c r="R9" s="968">
        <f t="shared" si="0"/>
        <v>0</v>
      </c>
      <c r="S9" s="968">
        <f t="shared" si="0"/>
        <v>0</v>
      </c>
      <c r="T9" s="968">
        <f t="shared" si="0"/>
        <v>0</v>
      </c>
      <c r="U9" s="968">
        <f t="shared" si="0"/>
        <v>0</v>
      </c>
      <c r="V9" s="968">
        <f t="shared" si="0"/>
        <v>0</v>
      </c>
      <c r="W9" s="968">
        <f t="shared" si="0"/>
        <v>0</v>
      </c>
      <c r="X9" s="968">
        <f t="shared" si="0"/>
        <v>0</v>
      </c>
      <c r="Y9" s="968">
        <f t="shared" si="0"/>
        <v>0</v>
      </c>
      <c r="Z9" s="968">
        <f t="shared" ref="Z9" si="1">Y9*((100 + Z11)/100)^(0.25)</f>
        <v>0</v>
      </c>
      <c r="AA9" s="968">
        <f t="shared" ref="AA9" si="2">Z9*((100 + AA11)/100)^(0.25)</f>
        <v>0</v>
      </c>
      <c r="AB9" s="968">
        <f t="shared" ref="AB9" si="3">AA9*((100 + AB11)/100)^(0.25)</f>
        <v>0</v>
      </c>
      <c r="AC9" s="660">
        <f t="shared" ref="AC9" si="4">AB9*((100 + AC11)/100)^(0.25)</f>
        <v>0</v>
      </c>
    </row>
    <row r="10" spans="2:46" ht="18" customHeight="1" x14ac:dyDescent="0.3">
      <c r="B10" s="56" t="s">
        <v>531</v>
      </c>
      <c r="C10" s="55"/>
      <c r="D10" s="895"/>
      <c r="E10" s="57"/>
      <c r="F10" s="57"/>
      <c r="G10" s="57"/>
      <c r="H10" s="57">
        <v>1447.9</v>
      </c>
      <c r="I10" s="57">
        <v>1452.6</v>
      </c>
      <c r="J10" s="57">
        <v>1504.8</v>
      </c>
      <c r="K10" s="57">
        <v>1487</v>
      </c>
      <c r="L10" s="57">
        <v>1493.4</v>
      </c>
      <c r="M10" s="57">
        <v>1557</v>
      </c>
      <c r="N10" s="57">
        <v>1546</v>
      </c>
      <c r="O10" s="48">
        <v>1557</v>
      </c>
      <c r="P10" s="400">
        <v>1568.8</v>
      </c>
      <c r="Q10" s="400">
        <v>1580.8</v>
      </c>
      <c r="R10" s="400">
        <v>1582.8</v>
      </c>
      <c r="S10" s="400">
        <v>1582.1</v>
      </c>
      <c r="T10" s="400">
        <v>1582.3</v>
      </c>
      <c r="U10" s="268">
        <v>1586.5</v>
      </c>
      <c r="V10" s="268">
        <v>1592.4</v>
      </c>
      <c r="W10" s="268">
        <v>1600</v>
      </c>
      <c r="X10" s="268">
        <v>1608.9</v>
      </c>
      <c r="Y10" s="268">
        <v>1618</v>
      </c>
      <c r="Z10" s="268">
        <v>1627</v>
      </c>
      <c r="AA10" s="437">
        <v>1636</v>
      </c>
      <c r="AB10" s="437">
        <v>1645</v>
      </c>
      <c r="AC10" s="438">
        <v>1655</v>
      </c>
    </row>
    <row r="11" spans="2:46" ht="14.5" customHeight="1" x14ac:dyDescent="0.3">
      <c r="B11" s="56" t="s">
        <v>532</v>
      </c>
      <c r="C11" s="364"/>
      <c r="D11" s="49"/>
      <c r="E11" s="364"/>
      <c r="F11" s="364"/>
      <c r="G11" s="364"/>
      <c r="H11" s="62">
        <v>5.3259999999999996</v>
      </c>
      <c r="I11" s="62">
        <v>1.278</v>
      </c>
      <c r="J11" s="62">
        <v>15.177</v>
      </c>
      <c r="K11" s="63">
        <v>-4.6340000000000003</v>
      </c>
      <c r="L11" s="63">
        <v>1.732</v>
      </c>
      <c r="M11" s="63">
        <v>18.143999999999998</v>
      </c>
      <c r="N11" s="63">
        <v>-2.7970000000000002</v>
      </c>
      <c r="O11" s="948">
        <v>2.8889999999999998</v>
      </c>
      <c r="P11" s="393">
        <v>3.0630000000000002</v>
      </c>
      <c r="Q11" s="393">
        <v>3.0870000000000002</v>
      </c>
      <c r="R11" s="393">
        <v>0.499</v>
      </c>
      <c r="S11" s="393">
        <v>-0.16500000000000001</v>
      </c>
      <c r="T11" s="393">
        <v>4.2000000000000003E-2</v>
      </c>
      <c r="U11" s="269">
        <v>1.0740000000000001</v>
      </c>
      <c r="V11" s="269">
        <v>1.4990000000000001</v>
      </c>
      <c r="W11" s="269">
        <v>1.915</v>
      </c>
      <c r="X11" s="269">
        <v>2.2429999999999999</v>
      </c>
      <c r="Y11" s="269">
        <v>2.2000000000000002</v>
      </c>
      <c r="Z11" s="269">
        <v>2.2000000000000002</v>
      </c>
      <c r="AA11" s="437">
        <v>2.2999999999999998</v>
      </c>
      <c r="AB11" s="437">
        <v>2.2000000000000002</v>
      </c>
      <c r="AC11" s="438">
        <v>2.5</v>
      </c>
    </row>
    <row r="12" spans="2:46" x14ac:dyDescent="0.3">
      <c r="B12" s="41" t="s">
        <v>533</v>
      </c>
      <c r="D12" s="41"/>
      <c r="H12" s="63"/>
      <c r="I12" s="63"/>
      <c r="J12" s="63"/>
      <c r="K12" s="63"/>
      <c r="L12" s="63"/>
      <c r="M12" s="63"/>
      <c r="N12" s="63"/>
      <c r="O12" s="948"/>
      <c r="P12" s="393"/>
      <c r="Q12" s="393"/>
      <c r="R12" s="393"/>
      <c r="S12" s="393"/>
      <c r="T12" s="393"/>
      <c r="U12" s="393"/>
      <c r="V12" s="393"/>
      <c r="W12" s="393"/>
      <c r="X12" s="393"/>
      <c r="Y12" s="393"/>
      <c r="Z12" s="393"/>
      <c r="AA12" s="393"/>
      <c r="AB12" s="393"/>
      <c r="AC12" s="394"/>
      <c r="AD12" s="34" t="s">
        <v>534</v>
      </c>
    </row>
    <row r="13" spans="2:46" ht="29" x14ac:dyDescent="0.35">
      <c r="B13" s="50" t="s">
        <v>535</v>
      </c>
      <c r="C13" s="364"/>
      <c r="D13" s="49"/>
      <c r="E13" s="364"/>
      <c r="F13" s="364"/>
      <c r="G13" s="364"/>
      <c r="H13" s="57">
        <f t="shared" ref="H13:O13" si="5">H9</f>
        <v>1441.7</v>
      </c>
      <c r="I13" s="57">
        <f t="shared" si="5"/>
        <v>1454.7</v>
      </c>
      <c r="J13" s="57">
        <f t="shared" si="5"/>
        <v>1525</v>
      </c>
      <c r="K13" s="57">
        <f t="shared" si="5"/>
        <v>1515.1</v>
      </c>
      <c r="L13" s="57">
        <f t="shared" si="5"/>
        <v>1512.3</v>
      </c>
      <c r="M13" s="57">
        <f t="shared" si="5"/>
        <v>1568.6</v>
      </c>
      <c r="N13" s="57">
        <f t="shared" si="5"/>
        <v>1563.3</v>
      </c>
      <c r="O13" s="48">
        <f t="shared" si="5"/>
        <v>0</v>
      </c>
      <c r="P13" s="398">
        <f t="shared" ref="P13:AC13" si="6">P9 +P12</f>
        <v>0</v>
      </c>
      <c r="Q13" s="398">
        <f t="shared" si="6"/>
        <v>0</v>
      </c>
      <c r="R13" s="398">
        <f t="shared" si="6"/>
        <v>0</v>
      </c>
      <c r="S13" s="398">
        <f t="shared" si="6"/>
        <v>0</v>
      </c>
      <c r="T13" s="398">
        <f t="shared" si="6"/>
        <v>0</v>
      </c>
      <c r="U13" s="398">
        <f t="shared" si="6"/>
        <v>0</v>
      </c>
      <c r="V13" s="398">
        <f t="shared" si="6"/>
        <v>0</v>
      </c>
      <c r="W13" s="398">
        <f t="shared" si="6"/>
        <v>0</v>
      </c>
      <c r="X13" s="398">
        <f t="shared" si="6"/>
        <v>0</v>
      </c>
      <c r="Y13" s="398">
        <f t="shared" si="6"/>
        <v>0</v>
      </c>
      <c r="Z13" s="398">
        <f t="shared" si="6"/>
        <v>0</v>
      </c>
      <c r="AA13" s="398">
        <f t="shared" si="6"/>
        <v>0</v>
      </c>
      <c r="AB13" s="398">
        <f t="shared" si="6"/>
        <v>0</v>
      </c>
      <c r="AC13" s="399">
        <f t="shared" si="6"/>
        <v>0</v>
      </c>
      <c r="AD13" s="34" t="s">
        <v>536</v>
      </c>
    </row>
    <row r="14" spans="2:46" x14ac:dyDescent="0.3">
      <c r="B14" s="86" t="s">
        <v>537</v>
      </c>
      <c r="C14" s="550"/>
      <c r="D14" s="86"/>
      <c r="E14" s="550"/>
      <c r="F14" s="550"/>
      <c r="G14" s="550"/>
      <c r="H14" s="270">
        <f t="shared" ref="H14:AC14" si="7">H13+H48</f>
        <v>1721.1880000000001</v>
      </c>
      <c r="I14" s="270">
        <f t="shared" si="7"/>
        <v>1739.9560000000001</v>
      </c>
      <c r="J14" s="270">
        <f t="shared" si="7"/>
        <v>1934.885</v>
      </c>
      <c r="K14" s="270">
        <f t="shared" si="7"/>
        <v>1895.6499999999999</v>
      </c>
      <c r="L14" s="270">
        <f t="shared" si="7"/>
        <v>1869.4580000000001</v>
      </c>
      <c r="M14" s="270">
        <f t="shared" si="7"/>
        <v>1953.7849999999999</v>
      </c>
      <c r="N14" s="270">
        <f t="shared" si="7"/>
        <v>1987.319</v>
      </c>
      <c r="O14" s="470">
        <f t="shared" si="7"/>
        <v>-34.256</v>
      </c>
      <c r="P14" s="266" t="e">
        <f t="shared" si="7"/>
        <v>#DIV/0!</v>
      </c>
      <c r="Q14" s="266" t="e">
        <f t="shared" si="7"/>
        <v>#DIV/0!</v>
      </c>
      <c r="R14" s="266" t="e">
        <f t="shared" si="7"/>
        <v>#DIV/0!</v>
      </c>
      <c r="S14" s="266" t="e">
        <f t="shared" si="7"/>
        <v>#DIV/0!</v>
      </c>
      <c r="T14" s="266">
        <f t="shared" si="7"/>
        <v>125.2844202054808</v>
      </c>
      <c r="U14" s="266">
        <f t="shared" si="7"/>
        <v>129.64835787084289</v>
      </c>
      <c r="V14" s="266">
        <f t="shared" si="7"/>
        <v>105.40009267481946</v>
      </c>
      <c r="W14" s="266">
        <f t="shared" si="7"/>
        <v>95.41006547895509</v>
      </c>
      <c r="X14" s="266">
        <f t="shared" si="7"/>
        <v>90.380152715256131</v>
      </c>
      <c r="Y14" s="266">
        <f t="shared" si="7"/>
        <v>60.08545432100928</v>
      </c>
      <c r="Z14" s="266">
        <f t="shared" si="7"/>
        <v>32.538647870992492</v>
      </c>
      <c r="AA14" s="266">
        <f t="shared" si="7"/>
        <v>27.002673282975053</v>
      </c>
      <c r="AB14" s="266">
        <f t="shared" si="7"/>
        <v>20.364625571436932</v>
      </c>
      <c r="AC14" s="267">
        <f t="shared" si="7"/>
        <v>5.379491723437269</v>
      </c>
      <c r="AD14" s="34" t="s">
        <v>538</v>
      </c>
    </row>
    <row r="17" spans="2:30" ht="21.65" customHeight="1" x14ac:dyDescent="0.3">
      <c r="B17" s="1042" t="s">
        <v>215</v>
      </c>
      <c r="C17" s="1042"/>
      <c r="D17" s="1042"/>
      <c r="E17" s="1042"/>
      <c r="F17" s="1042"/>
      <c r="G17" s="1042"/>
      <c r="H17" s="1042"/>
      <c r="I17" s="1042"/>
      <c r="J17" s="1042"/>
      <c r="K17" s="1042"/>
      <c r="L17" s="1042"/>
      <c r="M17" s="1042"/>
      <c r="N17" s="1042"/>
      <c r="O17" s="1042"/>
      <c r="P17" s="1042"/>
      <c r="Q17" s="1042"/>
      <c r="R17" s="1042"/>
      <c r="S17" s="1042"/>
      <c r="T17" s="1042"/>
      <c r="U17" s="1042"/>
      <c r="V17" s="1042"/>
      <c r="W17" s="1042"/>
      <c r="X17" s="1042"/>
      <c r="Y17" s="1042"/>
      <c r="Z17" s="1042"/>
      <c r="AA17" s="1042"/>
      <c r="AB17" s="1042"/>
      <c r="AC17" s="1042"/>
    </row>
    <row r="18" spans="2:30" ht="14.15" customHeight="1" x14ac:dyDescent="0.3">
      <c r="B18" s="1043" t="s">
        <v>539</v>
      </c>
      <c r="C18" s="1043"/>
      <c r="D18" s="1043"/>
      <c r="E18" s="1043"/>
      <c r="F18" s="1043"/>
      <c r="G18" s="1043"/>
      <c r="H18" s="1043"/>
      <c r="I18" s="1043"/>
      <c r="J18" s="1043"/>
      <c r="K18" s="1043"/>
      <c r="L18" s="1043"/>
      <c r="M18" s="1043"/>
      <c r="N18" s="1043"/>
      <c r="O18" s="1043"/>
      <c r="P18" s="1043"/>
      <c r="Q18" s="1043"/>
      <c r="R18" s="1043"/>
      <c r="S18" s="1043"/>
      <c r="T18" s="1043"/>
      <c r="U18" s="1043"/>
      <c r="V18" s="1043"/>
      <c r="W18" s="1043"/>
      <c r="X18" s="1043"/>
      <c r="Y18" s="1043"/>
      <c r="Z18" s="1043"/>
      <c r="AA18" s="1043"/>
      <c r="AB18" s="1043"/>
      <c r="AC18" s="1043"/>
    </row>
    <row r="19" spans="2:30" x14ac:dyDescent="0.3">
      <c r="B19" s="1043"/>
      <c r="C19" s="1043"/>
      <c r="D19" s="1043"/>
      <c r="E19" s="1043"/>
      <c r="F19" s="1043"/>
      <c r="G19" s="1043"/>
      <c r="H19" s="1043"/>
      <c r="I19" s="1043"/>
      <c r="J19" s="1043"/>
      <c r="K19" s="1043"/>
      <c r="L19" s="1043"/>
      <c r="M19" s="1043"/>
      <c r="N19" s="1043"/>
      <c r="O19" s="1043"/>
      <c r="P19" s="1043"/>
      <c r="Q19" s="1043"/>
      <c r="R19" s="1043"/>
      <c r="S19" s="1043"/>
      <c r="T19" s="1043"/>
      <c r="U19" s="1043"/>
      <c r="V19" s="1043"/>
      <c r="W19" s="1043"/>
      <c r="X19" s="1043"/>
      <c r="Y19" s="1043"/>
      <c r="Z19" s="1043"/>
      <c r="AA19" s="1043"/>
      <c r="AB19" s="1043"/>
      <c r="AC19" s="1043"/>
    </row>
    <row r="20" spans="2:30" x14ac:dyDescent="0.3">
      <c r="B20" s="1043"/>
      <c r="C20" s="1043"/>
      <c r="D20" s="1043"/>
      <c r="E20" s="1043"/>
      <c r="F20" s="1043"/>
      <c r="G20" s="1043"/>
      <c r="H20" s="1043"/>
      <c r="I20" s="1043"/>
      <c r="J20" s="1043"/>
      <c r="K20" s="1043"/>
      <c r="L20" s="1043"/>
      <c r="M20" s="1043"/>
      <c r="N20" s="1043"/>
      <c r="O20" s="1043"/>
      <c r="P20" s="1043"/>
      <c r="Q20" s="1043"/>
      <c r="R20" s="1043"/>
      <c r="S20" s="1043"/>
      <c r="T20" s="1043"/>
      <c r="U20" s="1043"/>
      <c r="V20" s="1043"/>
      <c r="W20" s="1043"/>
      <c r="X20" s="1043"/>
      <c r="Y20" s="1043"/>
      <c r="Z20" s="1043"/>
      <c r="AA20" s="1043"/>
      <c r="AB20" s="1043"/>
      <c r="AC20" s="1043"/>
    </row>
    <row r="22" spans="2:30" x14ac:dyDescent="0.3">
      <c r="B22" s="1047" t="s">
        <v>408</v>
      </c>
      <c r="C22" s="1048"/>
      <c r="D22" s="1054" t="s">
        <v>409</v>
      </c>
      <c r="E22" s="1055"/>
      <c r="F22" s="1055"/>
      <c r="G22" s="1055"/>
      <c r="H22" s="1055"/>
      <c r="I22" s="1055"/>
      <c r="J22" s="1055"/>
      <c r="K22" s="1055"/>
      <c r="L22" s="1055"/>
      <c r="M22" s="1055"/>
      <c r="N22" s="1055"/>
      <c r="O22" s="1056"/>
      <c r="P22" s="1083" t="s">
        <v>410</v>
      </c>
      <c r="Q22" s="1084"/>
      <c r="R22" s="1084"/>
      <c r="S22" s="1084"/>
      <c r="T22" s="1084"/>
      <c r="U22" s="1084"/>
      <c r="V22" s="1084"/>
      <c r="W22" s="1084"/>
      <c r="X22" s="1084"/>
      <c r="Y22" s="1084"/>
      <c r="Z22" s="1084"/>
      <c r="AA22" s="1084"/>
      <c r="AB22" s="1084"/>
      <c r="AC22" s="1085"/>
    </row>
    <row r="23" spans="2:30" x14ac:dyDescent="0.3">
      <c r="B23" s="1049"/>
      <c r="C23" s="1050"/>
      <c r="D23" s="549">
        <v>2018</v>
      </c>
      <c r="E23" s="1044">
        <v>2019</v>
      </c>
      <c r="F23" s="1045"/>
      <c r="G23" s="1045"/>
      <c r="H23" s="1046"/>
      <c r="I23" s="1044">
        <v>2020</v>
      </c>
      <c r="J23" s="1045"/>
      <c r="K23" s="1045"/>
      <c r="L23" s="1046"/>
      <c r="M23" s="1044">
        <v>2021</v>
      </c>
      <c r="N23" s="1045"/>
      <c r="O23" s="1046"/>
      <c r="P23" s="582">
        <v>2021</v>
      </c>
      <c r="Q23" s="1051">
        <v>2022</v>
      </c>
      <c r="R23" s="1052"/>
      <c r="S23" s="1052"/>
      <c r="T23" s="1053"/>
      <c r="U23" s="1051">
        <v>2023</v>
      </c>
      <c r="V23" s="1052"/>
      <c r="W23" s="1052"/>
      <c r="X23" s="1052"/>
      <c r="Y23" s="1051">
        <v>2024</v>
      </c>
      <c r="Z23" s="1052"/>
      <c r="AA23" s="1052"/>
      <c r="AB23" s="1053"/>
      <c r="AC23" s="334">
        <v>2025</v>
      </c>
    </row>
    <row r="24" spans="2:30" x14ac:dyDescent="0.3">
      <c r="B24" s="1087"/>
      <c r="C24" s="1088"/>
      <c r="D24" s="167" t="s">
        <v>411</v>
      </c>
      <c r="E24" s="167" t="s">
        <v>412</v>
      </c>
      <c r="F24" s="148" t="s">
        <v>413</v>
      </c>
      <c r="G24" s="148" t="s">
        <v>298</v>
      </c>
      <c r="H24" s="155" t="s">
        <v>411</v>
      </c>
      <c r="I24" s="149" t="s">
        <v>412</v>
      </c>
      <c r="J24" s="149" t="s">
        <v>413</v>
      </c>
      <c r="K24" s="149" t="s">
        <v>298</v>
      </c>
      <c r="L24" s="149" t="s">
        <v>411</v>
      </c>
      <c r="M24" s="162" t="s">
        <v>412</v>
      </c>
      <c r="N24" s="149" t="s">
        <v>413</v>
      </c>
      <c r="O24" s="155" t="s">
        <v>298</v>
      </c>
      <c r="P24" s="438" t="s">
        <v>411</v>
      </c>
      <c r="Q24" s="436" t="s">
        <v>412</v>
      </c>
      <c r="R24" s="437" t="s">
        <v>413</v>
      </c>
      <c r="S24" s="437" t="s">
        <v>298</v>
      </c>
      <c r="T24" s="437" t="s">
        <v>411</v>
      </c>
      <c r="U24" s="436" t="s">
        <v>412</v>
      </c>
      <c r="V24" s="437" t="s">
        <v>413</v>
      </c>
      <c r="W24" s="437" t="s">
        <v>298</v>
      </c>
      <c r="X24" s="437" t="s">
        <v>411</v>
      </c>
      <c r="Y24" s="436" t="s">
        <v>412</v>
      </c>
      <c r="Z24" s="398" t="s">
        <v>413</v>
      </c>
      <c r="AA24" s="437" t="s">
        <v>298</v>
      </c>
      <c r="AB24" s="438" t="s">
        <v>411</v>
      </c>
      <c r="AC24" s="71" t="s">
        <v>412</v>
      </c>
    </row>
    <row r="25" spans="2:30" x14ac:dyDescent="0.3">
      <c r="B25" s="65" t="s">
        <v>161</v>
      </c>
      <c r="C25" s="897" t="s">
        <v>540</v>
      </c>
      <c r="D25" s="361"/>
      <c r="E25" s="897"/>
      <c r="F25" s="897"/>
      <c r="G25" s="897"/>
      <c r="H25" s="896">
        <f>'Haver Pivoted'!GS24</f>
        <v>2329.1999999999998</v>
      </c>
      <c r="I25" s="896">
        <f>'Haver Pivoted'!GT24</f>
        <v>2376.9</v>
      </c>
      <c r="J25" s="896">
        <f>'Haver Pivoted'!GU24</f>
        <v>2334.6</v>
      </c>
      <c r="K25" s="896">
        <f>'Haver Pivoted'!GV24</f>
        <v>2346.5</v>
      </c>
      <c r="L25" s="896">
        <f>'Haver Pivoted'!GW24</f>
        <v>2373</v>
      </c>
      <c r="M25" s="896">
        <f>'Haver Pivoted'!GX24</f>
        <v>2408.6999999999998</v>
      </c>
      <c r="N25" s="896">
        <f>'Haver Pivoted'!GY24</f>
        <v>2452.6</v>
      </c>
      <c r="O25" s="576">
        <f>'Haver Pivoted'!GZ24</f>
        <v>0</v>
      </c>
      <c r="P25" s="452"/>
      <c r="Q25" s="452"/>
      <c r="R25" s="452"/>
      <c r="S25" s="452"/>
      <c r="T25" s="452"/>
      <c r="U25" s="452"/>
      <c r="V25" s="452"/>
      <c r="W25" s="452"/>
      <c r="X25" s="452"/>
      <c r="Y25" s="452"/>
      <c r="Z25" s="452"/>
      <c r="AA25" s="452"/>
      <c r="AB25" s="452"/>
      <c r="AC25" s="83"/>
    </row>
    <row r="26" spans="2:30" ht="21" customHeight="1" x14ac:dyDescent="0.3">
      <c r="B26" s="56" t="s">
        <v>541</v>
      </c>
      <c r="C26" s="364"/>
      <c r="D26" s="49"/>
      <c r="E26" s="364"/>
      <c r="F26" s="364"/>
      <c r="G26" s="364"/>
      <c r="H26" s="62"/>
      <c r="I26" s="62"/>
      <c r="J26" s="62"/>
      <c r="K26" s="63"/>
      <c r="L26" s="63"/>
      <c r="M26" s="63">
        <v>9.5846503665249383</v>
      </c>
      <c r="N26" s="63">
        <v>9</v>
      </c>
      <c r="O26" s="948">
        <v>10</v>
      </c>
      <c r="P26" s="393">
        <v>10</v>
      </c>
      <c r="Q26" s="393">
        <v>9</v>
      </c>
      <c r="R26" s="393">
        <v>8</v>
      </c>
      <c r="S26" s="393">
        <v>7</v>
      </c>
      <c r="T26" s="393">
        <v>5.5</v>
      </c>
      <c r="U26" s="393">
        <v>5</v>
      </c>
      <c r="V26" s="393">
        <v>5</v>
      </c>
      <c r="W26" s="393">
        <v>5</v>
      </c>
      <c r="X26" s="393">
        <v>5</v>
      </c>
      <c r="Y26" s="393">
        <v>5</v>
      </c>
      <c r="Z26" s="393"/>
      <c r="AA26" s="393"/>
      <c r="AB26" s="393"/>
      <c r="AC26" s="394"/>
      <c r="AD26" s="38" t="s">
        <v>542</v>
      </c>
    </row>
    <row r="27" spans="2:30" ht="17.5" customHeight="1" x14ac:dyDescent="0.3">
      <c r="B27" s="87" t="s">
        <v>543</v>
      </c>
      <c r="C27" s="364"/>
      <c r="D27" s="49"/>
      <c r="E27" s="364"/>
      <c r="F27" s="364"/>
      <c r="G27" s="364"/>
      <c r="H27" s="57">
        <f>H25</f>
        <v>2329.1999999999998</v>
      </c>
      <c r="I27" s="57">
        <f t="shared" ref="I27:O27" si="8">I25</f>
        <v>2376.9</v>
      </c>
      <c r="J27" s="57">
        <f t="shared" si="8"/>
        <v>2334.6</v>
      </c>
      <c r="K27" s="57">
        <f t="shared" si="8"/>
        <v>2346.5</v>
      </c>
      <c r="L27" s="57">
        <f t="shared" si="8"/>
        <v>2373</v>
      </c>
      <c r="M27" s="57">
        <f t="shared" si="8"/>
        <v>2408.6999999999998</v>
      </c>
      <c r="N27" s="57">
        <f t="shared" si="8"/>
        <v>2452.6</v>
      </c>
      <c r="O27" s="48">
        <f t="shared" si="8"/>
        <v>0</v>
      </c>
      <c r="P27" s="398">
        <f t="shared" ref="P27:U27" si="9">O27*((100+P26)/100)^0.25</f>
        <v>0</v>
      </c>
      <c r="Q27" s="398">
        <f t="shared" si="9"/>
        <v>0</v>
      </c>
      <c r="R27" s="398">
        <f t="shared" si="9"/>
        <v>0</v>
      </c>
      <c r="S27" s="398">
        <f t="shared" si="9"/>
        <v>0</v>
      </c>
      <c r="T27" s="398">
        <f t="shared" si="9"/>
        <v>0</v>
      </c>
      <c r="U27" s="398">
        <f t="shared" si="9"/>
        <v>0</v>
      </c>
      <c r="V27" s="398">
        <f t="shared" ref="V27" si="10">U27*((100+V26)/100)^0.25</f>
        <v>0</v>
      </c>
      <c r="W27" s="398">
        <f t="shared" ref="W27" si="11">V27*((100+W26)/100)^0.25</f>
        <v>0</v>
      </c>
      <c r="X27" s="398">
        <f t="shared" ref="X27" si="12">W27*((100+X26)/100)^0.25</f>
        <v>0</v>
      </c>
      <c r="Y27" s="398">
        <f t="shared" ref="Y27" si="13">X27*((100+Y26)/100)^0.25</f>
        <v>0</v>
      </c>
      <c r="Z27" s="398">
        <f t="shared" ref="Z27" si="14">Y27*((100+Z26)/100)^0.25</f>
        <v>0</v>
      </c>
      <c r="AA27" s="398">
        <f t="shared" ref="AA27" si="15">Z27*((100+AA26)/100)^0.25</f>
        <v>0</v>
      </c>
      <c r="AB27" s="398">
        <f t="shared" ref="AB27" si="16">AA27*((100+AB26)/100)^0.25</f>
        <v>0</v>
      </c>
      <c r="AC27" s="399">
        <f t="shared" ref="AC27" si="17">AB27*((100+AC26)/100)^0.25</f>
        <v>0</v>
      </c>
    </row>
    <row r="28" spans="2:30" x14ac:dyDescent="0.3">
      <c r="B28" s="86" t="s">
        <v>544</v>
      </c>
      <c r="C28" s="550"/>
      <c r="D28" s="86"/>
      <c r="E28" s="550"/>
      <c r="F28" s="550"/>
      <c r="G28" s="550"/>
      <c r="H28" s="270">
        <f t="shared" ref="H28:O28" si="18">H25-H48</f>
        <v>2049.712</v>
      </c>
      <c r="I28" s="270">
        <f t="shared" si="18"/>
        <v>2091.6440000000002</v>
      </c>
      <c r="J28" s="270">
        <f t="shared" si="18"/>
        <v>1924.7149999999999</v>
      </c>
      <c r="K28" s="270">
        <f t="shared" si="18"/>
        <v>1965.95</v>
      </c>
      <c r="L28" s="270">
        <f t="shared" si="18"/>
        <v>2015.8420000000001</v>
      </c>
      <c r="M28" s="270">
        <f t="shared" si="18"/>
        <v>2023.5149999999999</v>
      </c>
      <c r="N28" s="270">
        <f t="shared" si="18"/>
        <v>2028.5809999999999</v>
      </c>
      <c r="O28" s="470">
        <f t="shared" si="18"/>
        <v>34.256</v>
      </c>
      <c r="P28" s="266" t="e">
        <f t="shared" ref="P28:AC28" si="19">P27-P48</f>
        <v>#DIV/0!</v>
      </c>
      <c r="Q28" s="266" t="e">
        <f t="shared" si="19"/>
        <v>#DIV/0!</v>
      </c>
      <c r="R28" s="266" t="e">
        <f t="shared" si="19"/>
        <v>#DIV/0!</v>
      </c>
      <c r="S28" s="266" t="e">
        <f t="shared" si="19"/>
        <v>#DIV/0!</v>
      </c>
      <c r="T28" s="266">
        <f t="shared" si="19"/>
        <v>-125.2844202054808</v>
      </c>
      <c r="U28" s="266">
        <f t="shared" si="19"/>
        <v>-129.64835787084289</v>
      </c>
      <c r="V28" s="266">
        <f t="shared" si="19"/>
        <v>-105.40009267481946</v>
      </c>
      <c r="W28" s="266">
        <f t="shared" si="19"/>
        <v>-95.41006547895509</v>
      </c>
      <c r="X28" s="266">
        <f t="shared" si="19"/>
        <v>-90.380152715256131</v>
      </c>
      <c r="Y28" s="266">
        <f t="shared" si="19"/>
        <v>-60.08545432100928</v>
      </c>
      <c r="Z28" s="266">
        <f t="shared" si="19"/>
        <v>-32.538647870992492</v>
      </c>
      <c r="AA28" s="266">
        <f t="shared" si="19"/>
        <v>-27.002673282975053</v>
      </c>
      <c r="AB28" s="266">
        <f t="shared" si="19"/>
        <v>-20.364625571436932</v>
      </c>
      <c r="AC28" s="267">
        <f t="shared" si="19"/>
        <v>-5.379491723437269</v>
      </c>
      <c r="AD28" s="34" t="s">
        <v>545</v>
      </c>
    </row>
    <row r="29" spans="2:30" x14ac:dyDescent="0.3">
      <c r="B29" s="364"/>
      <c r="C29" s="364"/>
      <c r="D29" s="364"/>
      <c r="E29" s="364"/>
      <c r="F29" s="364"/>
      <c r="G29" s="364"/>
      <c r="H29" s="694" t="e">
        <f t="shared" ref="H29:L29" si="20">(H28/G28)^4-1</f>
        <v>#DIV/0!</v>
      </c>
      <c r="I29" s="694">
        <f t="shared" si="20"/>
        <v>8.4375512359762039E-2</v>
      </c>
      <c r="J29" s="694">
        <f t="shared" si="20"/>
        <v>-0.28300744302674896</v>
      </c>
      <c r="K29" s="694">
        <f t="shared" si="20"/>
        <v>8.848926220761677E-2</v>
      </c>
      <c r="L29" s="694">
        <f t="shared" si="20"/>
        <v>0.10544231537179294</v>
      </c>
      <c r="M29" s="694">
        <f>(M28/L28)^4-1</f>
        <v>1.5312550207230657E-2</v>
      </c>
      <c r="N29" s="694">
        <f>(N28/M28)^4-1</f>
        <v>1.0051927182471054E-2</v>
      </c>
      <c r="O29" s="694">
        <f>(O28/N28)^4-1</f>
        <v>-0.99999991868377935</v>
      </c>
      <c r="P29" s="694" t="e">
        <f t="shared" ref="P29:R29" si="21">(P28/O28)^4-1</f>
        <v>#DIV/0!</v>
      </c>
      <c r="Q29" s="694" t="e">
        <f t="shared" si="21"/>
        <v>#DIV/0!</v>
      </c>
      <c r="R29" s="694" t="e">
        <f t="shared" si="21"/>
        <v>#DIV/0!</v>
      </c>
      <c r="S29" s="694" t="e">
        <f t="shared" ref="S29" si="22">(S28/R28)^4-1</f>
        <v>#DIV/0!</v>
      </c>
      <c r="T29" s="694" t="e">
        <f t="shared" ref="T29" si="23">(T28/S28)^4-1</f>
        <v>#DIV/0!</v>
      </c>
      <c r="U29" s="694">
        <f t="shared" ref="U29" si="24">(U28/T28)^4-1</f>
        <v>0.14677921124421811</v>
      </c>
      <c r="V29" s="694">
        <f t="shared" ref="V29" si="25">(V28/U28)^4-1</f>
        <v>-0.56318666346919577</v>
      </c>
      <c r="W29" s="694">
        <f t="shared" ref="W29" si="26">(W28/V28)^4-1</f>
        <v>-0.32855135050504347</v>
      </c>
      <c r="X29" s="694">
        <f t="shared" ref="X29" si="27">(X28/W28)^4-1</f>
        <v>-0.19477823053135468</v>
      </c>
      <c r="Y29" s="694">
        <f t="shared" ref="Y29" si="28">(Y28/X28)^4-1</f>
        <v>-0.80466272989902232</v>
      </c>
      <c r="Z29" s="694">
        <f t="shared" ref="Z29" si="29">(Z28/Y28)^4-1</f>
        <v>-0.91399561177501465</v>
      </c>
    </row>
    <row r="30" spans="2:30" x14ac:dyDescent="0.3">
      <c r="B30" s="364"/>
      <c r="C30" s="364"/>
      <c r="D30" s="364"/>
      <c r="E30" s="364"/>
      <c r="F30" s="364"/>
      <c r="G30" s="364"/>
      <c r="H30" s="57"/>
      <c r="I30" s="57"/>
      <c r="J30" s="57"/>
      <c r="K30" s="57"/>
      <c r="L30" s="57"/>
      <c r="M30" s="57"/>
      <c r="N30" s="57"/>
      <c r="O30" s="57"/>
      <c r="P30" s="57"/>
      <c r="Q30" s="57"/>
      <c r="R30" s="57"/>
      <c r="S30" s="57"/>
      <c r="T30" s="57"/>
      <c r="U30" s="57"/>
      <c r="V30" s="57"/>
      <c r="W30" s="57"/>
      <c r="X30" s="57"/>
      <c r="Y30" s="57"/>
      <c r="Z30" s="57"/>
    </row>
    <row r="31" spans="2:30" ht="39" customHeight="1" x14ac:dyDescent="0.3">
      <c r="B31" s="517" t="s">
        <v>546</v>
      </c>
      <c r="C31" s="969" t="s">
        <v>547</v>
      </c>
      <c r="D31" s="900">
        <v>44197</v>
      </c>
      <c r="E31" s="901">
        <v>44228</v>
      </c>
      <c r="F31" s="901">
        <v>44256</v>
      </c>
      <c r="G31" s="901">
        <v>44287</v>
      </c>
      <c r="H31" s="901">
        <v>44317</v>
      </c>
      <c r="I31" s="901">
        <v>44348</v>
      </c>
      <c r="J31" s="901">
        <v>44378</v>
      </c>
      <c r="K31" s="901">
        <v>44409</v>
      </c>
      <c r="L31" s="901">
        <v>44440</v>
      </c>
      <c r="M31" s="901">
        <v>44470</v>
      </c>
      <c r="N31" s="901">
        <v>44501</v>
      </c>
      <c r="O31" s="902">
        <v>44531</v>
      </c>
      <c r="P31" s="57"/>
      <c r="Q31" s="57"/>
      <c r="R31" s="57"/>
      <c r="S31" s="57"/>
      <c r="T31" s="57"/>
      <c r="U31" s="57"/>
      <c r="V31" s="57"/>
      <c r="W31" s="57"/>
      <c r="X31" s="57"/>
      <c r="Y31" s="57"/>
      <c r="Z31" s="57"/>
    </row>
    <row r="32" spans="2:30" ht="19.5" customHeight="1" x14ac:dyDescent="0.35">
      <c r="B32" s="255" t="s">
        <v>548</v>
      </c>
      <c r="C32" s="234" t="s">
        <v>549</v>
      </c>
      <c r="D32" s="903">
        <v>5008</v>
      </c>
      <c r="E32" s="864">
        <v>4955</v>
      </c>
      <c r="F32" s="864">
        <v>4967</v>
      </c>
      <c r="G32" s="864">
        <v>4977</v>
      </c>
      <c r="H32" s="864">
        <v>5018</v>
      </c>
      <c r="I32" s="234">
        <v>5074</v>
      </c>
      <c r="J32" s="864">
        <v>5085</v>
      </c>
      <c r="K32" s="864">
        <v>5060</v>
      </c>
      <c r="L32" s="904"/>
      <c r="M32" s="904"/>
      <c r="N32" s="904"/>
      <c r="O32" s="905"/>
      <c r="P32" s="518"/>
      <c r="Q32" s="518"/>
      <c r="R32" s="57"/>
      <c r="S32" s="57"/>
      <c r="T32" s="57"/>
      <c r="U32" s="57"/>
      <c r="V32" s="57"/>
      <c r="W32" s="57"/>
      <c r="X32" s="57"/>
      <c r="Y32" s="57"/>
      <c r="Z32" s="57"/>
    </row>
    <row r="33" spans="2:29" ht="18" customHeight="1" x14ac:dyDescent="0.35">
      <c r="B33" s="49" t="s">
        <v>550</v>
      </c>
      <c r="C33" s="34" t="s">
        <v>551</v>
      </c>
      <c r="D33" s="447">
        <v>13683</v>
      </c>
      <c r="E33" s="221">
        <v>13644</v>
      </c>
      <c r="F33" s="221">
        <v>13687</v>
      </c>
      <c r="G33" s="221">
        <v>13717</v>
      </c>
      <c r="H33" s="221">
        <v>13743</v>
      </c>
      <c r="I33" s="221">
        <v>13848</v>
      </c>
      <c r="J33" s="863">
        <v>14083</v>
      </c>
      <c r="K33" s="221">
        <v>14097</v>
      </c>
      <c r="L33"/>
      <c r="M33"/>
      <c r="N33"/>
      <c r="O33" s="970"/>
      <c r="P33"/>
      <c r="Q33"/>
      <c r="R33" s="57"/>
      <c r="S33" s="57"/>
      <c r="T33" s="57"/>
      <c r="U33" s="57"/>
      <c r="V33" s="57"/>
      <c r="W33" s="57"/>
      <c r="X33" s="57"/>
      <c r="Y33" s="57"/>
      <c r="Z33" s="57"/>
    </row>
    <row r="34" spans="2:29" ht="19.5" customHeight="1" x14ac:dyDescent="0.35">
      <c r="B34" s="86" t="s">
        <v>552</v>
      </c>
      <c r="C34" s="42" t="s">
        <v>553</v>
      </c>
      <c r="D34" s="519">
        <v>328517</v>
      </c>
      <c r="E34" s="284">
        <v>320118</v>
      </c>
      <c r="F34" s="284">
        <v>319991</v>
      </c>
      <c r="G34" s="284">
        <v>321220</v>
      </c>
      <c r="H34" s="284">
        <v>319056</v>
      </c>
      <c r="I34" s="270">
        <v>315198</v>
      </c>
      <c r="J34" s="865">
        <v>317242</v>
      </c>
      <c r="K34" s="284">
        <v>319870</v>
      </c>
      <c r="L34" s="906"/>
      <c r="M34" s="906"/>
      <c r="N34" s="906"/>
      <c r="O34" s="477"/>
      <c r="P34"/>
      <c r="Q34"/>
      <c r="R34" s="57"/>
      <c r="S34" s="57"/>
      <c r="T34" s="57"/>
      <c r="U34" s="57"/>
      <c r="V34" s="57"/>
      <c r="W34" s="57"/>
      <c r="X34" s="57"/>
      <c r="Y34" s="57"/>
      <c r="Z34" s="57"/>
    </row>
    <row r="35" spans="2:29" ht="14.5" x14ac:dyDescent="0.35">
      <c r="B35" s="68"/>
      <c r="C35" s="364"/>
      <c r="D35" s="364"/>
      <c r="E35" s="364"/>
      <c r="F35" s="364"/>
      <c r="G35" s="364"/>
      <c r="H35" s="57"/>
      <c r="I35" s="57"/>
      <c r="J35" s="57"/>
      <c r="K35"/>
      <c r="L35"/>
      <c r="M35"/>
      <c r="N35"/>
      <c r="O35"/>
      <c r="P35"/>
      <c r="Q35"/>
      <c r="R35" s="57"/>
      <c r="S35" s="57"/>
      <c r="T35" s="57"/>
      <c r="U35" s="57"/>
      <c r="V35" s="57"/>
      <c r="W35" s="57"/>
      <c r="X35" s="57"/>
      <c r="Y35" s="57"/>
      <c r="Z35" s="57"/>
    </row>
    <row r="36" spans="2:29" ht="12.65" customHeight="1" x14ac:dyDescent="0.3"/>
    <row r="37" spans="2:29" x14ac:dyDescent="0.3">
      <c r="B37" s="1042" t="s">
        <v>554</v>
      </c>
      <c r="C37" s="1042"/>
      <c r="D37" s="1042"/>
      <c r="E37" s="1042"/>
      <c r="F37" s="1042"/>
      <c r="G37" s="1042"/>
      <c r="H37" s="1042"/>
      <c r="I37" s="1042"/>
      <c r="J37" s="1042"/>
      <c r="K37" s="1042"/>
      <c r="L37" s="1042"/>
      <c r="M37" s="1042"/>
      <c r="N37" s="1042"/>
      <c r="O37" s="1042"/>
      <c r="P37" s="1042"/>
      <c r="Q37" s="1042"/>
      <c r="R37" s="1042"/>
      <c r="S37" s="1042"/>
      <c r="T37" s="1042"/>
      <c r="U37" s="1042"/>
      <c r="V37" s="1042"/>
      <c r="W37" s="1042"/>
      <c r="X37" s="1042"/>
      <c r="Y37" s="1042"/>
      <c r="Z37" s="1042"/>
      <c r="AA37" s="1042"/>
      <c r="AB37" s="1042"/>
      <c r="AC37" s="1042"/>
    </row>
    <row r="38" spans="2:29" ht="9" customHeight="1" x14ac:dyDescent="0.3">
      <c r="B38" s="1042"/>
      <c r="C38" s="1042"/>
      <c r="D38" s="1042"/>
      <c r="E38" s="1042"/>
      <c r="F38" s="1042"/>
      <c r="G38" s="1042"/>
      <c r="H38" s="1042"/>
      <c r="I38" s="1042"/>
      <c r="J38" s="1042"/>
      <c r="K38" s="1042"/>
      <c r="L38" s="1042"/>
      <c r="M38" s="1042"/>
      <c r="N38" s="1042"/>
      <c r="O38" s="1042"/>
      <c r="P38" s="1042"/>
      <c r="Q38" s="1042"/>
      <c r="R38" s="1042"/>
      <c r="S38" s="1042"/>
      <c r="T38" s="1042"/>
      <c r="U38" s="1042"/>
      <c r="V38" s="1042"/>
      <c r="W38" s="1042"/>
      <c r="X38" s="1042"/>
      <c r="Y38" s="1042"/>
      <c r="Z38" s="1042"/>
      <c r="AA38" s="1042"/>
      <c r="AB38" s="1042"/>
      <c r="AC38" s="1042"/>
    </row>
    <row r="39" spans="2:29" ht="14.15" customHeight="1" x14ac:dyDescent="0.3">
      <c r="B39" s="1106" t="s">
        <v>555</v>
      </c>
      <c r="C39" s="1106"/>
      <c r="D39" s="1106"/>
      <c r="E39" s="1106"/>
      <c r="F39" s="1106"/>
      <c r="G39" s="1106"/>
      <c r="H39" s="1106"/>
      <c r="I39" s="1106"/>
      <c r="J39" s="1106"/>
      <c r="K39" s="1106"/>
      <c r="L39" s="1106"/>
      <c r="M39" s="1106"/>
      <c r="N39" s="1106"/>
      <c r="O39" s="1106"/>
      <c r="P39" s="1106"/>
      <c r="Q39" s="1106"/>
      <c r="R39" s="1106"/>
      <c r="S39" s="1106"/>
      <c r="T39" s="1106"/>
      <c r="U39" s="1106"/>
      <c r="V39" s="1106"/>
      <c r="W39" s="1106"/>
      <c r="X39" s="1106"/>
      <c r="Y39" s="1106"/>
      <c r="Z39" s="1106"/>
      <c r="AA39" s="1106"/>
      <c r="AB39" s="1106"/>
      <c r="AC39" s="1106"/>
    </row>
    <row r="40" spans="2:29" x14ac:dyDescent="0.3">
      <c r="B40" s="1106"/>
      <c r="C40" s="1106"/>
      <c r="D40" s="1106"/>
      <c r="E40" s="1106"/>
      <c r="F40" s="1106"/>
      <c r="G40" s="1106"/>
      <c r="H40" s="1106"/>
      <c r="I40" s="1106"/>
      <c r="J40" s="1106"/>
      <c r="K40" s="1106"/>
      <c r="L40" s="1106"/>
      <c r="M40" s="1106"/>
      <c r="N40" s="1106"/>
      <c r="O40" s="1106"/>
      <c r="P40" s="1106"/>
      <c r="Q40" s="1106"/>
      <c r="R40" s="1106"/>
      <c r="S40" s="1106"/>
      <c r="T40" s="1106"/>
      <c r="U40" s="1106"/>
      <c r="V40" s="1106"/>
      <c r="W40" s="1106"/>
      <c r="X40" s="1106"/>
      <c r="Y40" s="1106"/>
      <c r="Z40" s="1106"/>
      <c r="AA40" s="1106"/>
      <c r="AB40" s="1106"/>
      <c r="AC40" s="1106"/>
    </row>
    <row r="41" spans="2:29" ht="8.5" customHeight="1" x14ac:dyDescent="0.3">
      <c r="B41" s="1106"/>
      <c r="C41" s="1106"/>
      <c r="D41" s="1106"/>
      <c r="E41" s="1106"/>
      <c r="F41" s="1106"/>
      <c r="G41" s="1106"/>
      <c r="H41" s="1106"/>
      <c r="I41" s="1106"/>
      <c r="J41" s="1106"/>
      <c r="K41" s="1106"/>
      <c r="L41" s="1106"/>
      <c r="M41" s="1106"/>
      <c r="N41" s="1106"/>
      <c r="O41" s="1106"/>
      <c r="P41" s="1106"/>
      <c r="Q41" s="1106"/>
      <c r="R41" s="1106"/>
      <c r="S41" s="1106"/>
      <c r="T41" s="1106"/>
      <c r="U41" s="1106"/>
      <c r="V41" s="1106"/>
      <c r="W41" s="1106"/>
      <c r="X41" s="1106"/>
      <c r="Y41" s="1106"/>
      <c r="Z41" s="1106"/>
      <c r="AA41" s="1106"/>
      <c r="AB41" s="1106"/>
      <c r="AC41" s="1106"/>
    </row>
    <row r="42" spans="2:29" ht="12.65" customHeight="1" x14ac:dyDescent="0.3"/>
    <row r="43" spans="2:29" ht="30.65" customHeight="1" x14ac:dyDescent="0.3">
      <c r="B43" s="1047" t="s">
        <v>408</v>
      </c>
      <c r="C43" s="1107"/>
      <c r="D43" s="1054" t="s">
        <v>409</v>
      </c>
      <c r="E43" s="1055"/>
      <c r="F43" s="1055"/>
      <c r="G43" s="1055"/>
      <c r="H43" s="1055"/>
      <c r="I43" s="1055"/>
      <c r="J43" s="1055"/>
      <c r="K43" s="1055"/>
      <c r="L43" s="1055"/>
      <c r="M43" s="1055"/>
      <c r="N43" s="1055"/>
      <c r="O43" s="1056"/>
      <c r="P43" s="1083" t="s">
        <v>410</v>
      </c>
      <c r="Q43" s="1084"/>
      <c r="R43" s="1084"/>
      <c r="S43" s="1084"/>
      <c r="T43" s="1084"/>
      <c r="U43" s="1084"/>
      <c r="V43" s="1084"/>
      <c r="W43" s="1084"/>
      <c r="X43" s="1084"/>
      <c r="Y43" s="1084"/>
      <c r="Z43" s="1084"/>
      <c r="AA43" s="1084"/>
      <c r="AB43" s="1084"/>
      <c r="AC43" s="1085"/>
    </row>
    <row r="44" spans="2:29" x14ac:dyDescent="0.3">
      <c r="B44" s="1049"/>
      <c r="C44" s="1108"/>
      <c r="D44" s="549">
        <v>2018</v>
      </c>
      <c r="E44" s="1044">
        <v>2019</v>
      </c>
      <c r="F44" s="1045"/>
      <c r="G44" s="1045"/>
      <c r="H44" s="1046"/>
      <c r="I44" s="1044">
        <v>2020</v>
      </c>
      <c r="J44" s="1045"/>
      <c r="K44" s="1045"/>
      <c r="L44" s="1046"/>
      <c r="M44" s="1044">
        <v>2021</v>
      </c>
      <c r="N44" s="1045"/>
      <c r="O44" s="1046"/>
      <c r="P44" s="582">
        <v>2021</v>
      </c>
      <c r="Q44" s="1051">
        <v>2022</v>
      </c>
      <c r="R44" s="1052"/>
      <c r="S44" s="1052"/>
      <c r="T44" s="1053"/>
      <c r="U44" s="1051">
        <v>2023</v>
      </c>
      <c r="V44" s="1052"/>
      <c r="W44" s="1052"/>
      <c r="X44" s="1052"/>
      <c r="Y44" s="1051">
        <v>2024</v>
      </c>
      <c r="Z44" s="1052"/>
      <c r="AA44" s="1052"/>
      <c r="AB44" s="1053"/>
      <c r="AC44" s="334">
        <v>2025</v>
      </c>
    </row>
    <row r="45" spans="2:29" x14ac:dyDescent="0.3">
      <c r="B45" s="1087"/>
      <c r="C45" s="1109"/>
      <c r="D45" s="167" t="s">
        <v>411</v>
      </c>
      <c r="E45" s="167" t="s">
        <v>412</v>
      </c>
      <c r="F45" s="148" t="s">
        <v>413</v>
      </c>
      <c r="G45" s="148" t="s">
        <v>298</v>
      </c>
      <c r="H45" s="155" t="s">
        <v>411</v>
      </c>
      <c r="I45" s="149" t="s">
        <v>412</v>
      </c>
      <c r="J45" s="149" t="s">
        <v>413</v>
      </c>
      <c r="K45" s="149" t="s">
        <v>298</v>
      </c>
      <c r="L45" s="149" t="s">
        <v>411</v>
      </c>
      <c r="M45" s="162" t="s">
        <v>412</v>
      </c>
      <c r="N45" s="149" t="s">
        <v>413</v>
      </c>
      <c r="O45" s="155" t="s">
        <v>298</v>
      </c>
      <c r="P45" s="438" t="s">
        <v>411</v>
      </c>
      <c r="Q45" s="436" t="s">
        <v>412</v>
      </c>
      <c r="R45" s="437" t="s">
        <v>413</v>
      </c>
      <c r="S45" s="437" t="s">
        <v>298</v>
      </c>
      <c r="T45" s="437" t="s">
        <v>411</v>
      </c>
      <c r="U45" s="436" t="s">
        <v>412</v>
      </c>
      <c r="V45" s="437" t="s">
        <v>413</v>
      </c>
      <c r="W45" s="437" t="s">
        <v>298</v>
      </c>
      <c r="X45" s="437" t="s">
        <v>411</v>
      </c>
      <c r="Y45" s="436" t="s">
        <v>412</v>
      </c>
      <c r="Z45" s="398" t="s">
        <v>413</v>
      </c>
      <c r="AA45" s="437" t="s">
        <v>298</v>
      </c>
      <c r="AB45" s="438" t="s">
        <v>411</v>
      </c>
      <c r="AC45" s="71" t="s">
        <v>412</v>
      </c>
    </row>
    <row r="46" spans="2:29" x14ac:dyDescent="0.3">
      <c r="B46" s="65" t="s">
        <v>184</v>
      </c>
      <c r="C46" s="897"/>
      <c r="D46" s="361"/>
      <c r="E46" s="897"/>
      <c r="F46" s="897"/>
      <c r="G46" s="897"/>
      <c r="H46" s="464">
        <f>Grants!H93</f>
        <v>70.894000000000005</v>
      </c>
      <c r="I46" s="464">
        <f>Grants!I93</f>
        <v>72.774000000000001</v>
      </c>
      <c r="J46" s="464">
        <f>Grants!J93</f>
        <v>75.275000000000006</v>
      </c>
      <c r="K46" s="464">
        <f>Grants!K93</f>
        <v>78.766999999999996</v>
      </c>
      <c r="L46" s="464">
        <f>Grants!L93</f>
        <v>76.995000000000005</v>
      </c>
      <c r="M46" s="464">
        <f>Grants!M93</f>
        <v>75.03</v>
      </c>
      <c r="N46" s="464">
        <f>Grants!N93</f>
        <v>77.703999999999994</v>
      </c>
      <c r="O46" s="898">
        <f>Grants!O93</f>
        <v>0</v>
      </c>
      <c r="P46" s="452">
        <f>Grants!P93</f>
        <v>75.34842857142857</v>
      </c>
      <c r="Q46" s="452">
        <f>Grants!Q93</f>
        <v>75.34842857142857</v>
      </c>
      <c r="R46" s="452">
        <f>Grants!R93</f>
        <v>75.34842857142857</v>
      </c>
      <c r="S46" s="452">
        <f>Grants!S93</f>
        <v>75.34842857142857</v>
      </c>
      <c r="T46" s="452">
        <f>Grants!T93</f>
        <v>75.34842857142857</v>
      </c>
      <c r="U46" s="452">
        <f>Grants!U93</f>
        <v>75.34842857142857</v>
      </c>
      <c r="V46" s="452">
        <f>Grants!V93</f>
        <v>75.34842857142857</v>
      </c>
      <c r="W46" s="452">
        <f>Grants!W93</f>
        <v>75.34842857142857</v>
      </c>
      <c r="X46" s="452">
        <f>Grants!X93</f>
        <v>75.34842857142857</v>
      </c>
      <c r="Y46" s="452">
        <f>Grants!Y93</f>
        <v>75.34842857142857</v>
      </c>
      <c r="Z46" s="452">
        <f>Grants!Z93</f>
        <v>75.34842857142857</v>
      </c>
      <c r="AA46" s="452">
        <f>Grants!AA93</f>
        <v>75.34842857142857</v>
      </c>
      <c r="AB46" s="452">
        <f>Grants!AB93</f>
        <v>75.34842857142857</v>
      </c>
      <c r="AC46" s="83">
        <f>Grants!AC93</f>
        <v>75.34842857142857</v>
      </c>
    </row>
    <row r="47" spans="2:29" x14ac:dyDescent="0.3">
      <c r="B47" s="56" t="s">
        <v>244</v>
      </c>
      <c r="C47" s="55"/>
      <c r="D47" s="158"/>
      <c r="E47" s="55"/>
      <c r="F47" s="55"/>
      <c r="G47" s="55"/>
      <c r="H47" s="62">
        <f>Grants!H74</f>
        <v>208.59399999999999</v>
      </c>
      <c r="I47" s="62">
        <f>Grants!I74</f>
        <v>212.48200000000003</v>
      </c>
      <c r="J47" s="62">
        <f>Grants!J74</f>
        <v>334.61</v>
      </c>
      <c r="K47" s="62">
        <f>Grants!K74</f>
        <v>301.78300000000002</v>
      </c>
      <c r="L47" s="62">
        <f>Grants!L74</f>
        <v>280.16300000000001</v>
      </c>
      <c r="M47" s="62">
        <f>Grants!M74</f>
        <v>310.15499999999997</v>
      </c>
      <c r="N47" s="62">
        <f>Grants!N74</f>
        <v>346.31500000000005</v>
      </c>
      <c r="O47" s="971">
        <f>Grants!O74</f>
        <v>-34.256</v>
      </c>
      <c r="P47" s="69" t="e">
        <f>Grants!P74</f>
        <v>#DIV/0!</v>
      </c>
      <c r="Q47" s="69" t="e">
        <f>Grants!Q74</f>
        <v>#DIV/0!</v>
      </c>
      <c r="R47" s="69" t="e">
        <f>Grants!R74</f>
        <v>#DIV/0!</v>
      </c>
      <c r="S47" s="69" t="e">
        <f>Grants!S74</f>
        <v>#DIV/0!</v>
      </c>
      <c r="T47" s="69">
        <f>Grants!T74</f>
        <v>49.935991634052229</v>
      </c>
      <c r="U47" s="69">
        <f>Grants!U74</f>
        <v>54.299929299414316</v>
      </c>
      <c r="V47" s="69">
        <f>Grants!V74</f>
        <v>30.051664103390891</v>
      </c>
      <c r="W47" s="69">
        <f>Grants!W74</f>
        <v>20.06163690752652</v>
      </c>
      <c r="X47" s="69">
        <f>Grants!X74</f>
        <v>15.03172414382756</v>
      </c>
      <c r="Y47" s="69">
        <f>Grants!Y74</f>
        <v>-15.26297425041929</v>
      </c>
      <c r="Z47" s="69">
        <f>Grants!Z74</f>
        <v>-42.809780700436079</v>
      </c>
      <c r="AA47" s="69">
        <f>Grants!AA74</f>
        <v>-48.345755288453518</v>
      </c>
      <c r="AB47" s="69">
        <f>Grants!AB74</f>
        <v>-54.983802999991639</v>
      </c>
      <c r="AC47" s="67">
        <f>Grants!AC74</f>
        <v>-69.968936847991301</v>
      </c>
    </row>
    <row r="48" spans="2:29" x14ac:dyDescent="0.3">
      <c r="B48" s="72" t="s">
        <v>556</v>
      </c>
      <c r="C48" s="550"/>
      <c r="D48" s="86"/>
      <c r="E48" s="550"/>
      <c r="F48" s="550"/>
      <c r="G48" s="550"/>
      <c r="H48" s="577">
        <f>H46+H47</f>
        <v>279.488</v>
      </c>
      <c r="I48" s="577">
        <f t="shared" ref="I48:AC48" si="30">I46+I47</f>
        <v>285.25600000000003</v>
      </c>
      <c r="J48" s="577">
        <f t="shared" si="30"/>
        <v>409.88499999999999</v>
      </c>
      <c r="K48" s="577">
        <f t="shared" si="30"/>
        <v>380.55</v>
      </c>
      <c r="L48" s="577">
        <f t="shared" si="30"/>
        <v>357.15800000000002</v>
      </c>
      <c r="M48" s="577">
        <f t="shared" si="30"/>
        <v>385.18499999999995</v>
      </c>
      <c r="N48" s="577">
        <f t="shared" si="30"/>
        <v>424.01900000000006</v>
      </c>
      <c r="O48" s="899">
        <f t="shared" si="30"/>
        <v>-34.256</v>
      </c>
      <c r="P48" s="84" t="e">
        <f t="shared" si="30"/>
        <v>#DIV/0!</v>
      </c>
      <c r="Q48" s="84" t="e">
        <f t="shared" si="30"/>
        <v>#DIV/0!</v>
      </c>
      <c r="R48" s="84" t="e">
        <f t="shared" si="30"/>
        <v>#DIV/0!</v>
      </c>
      <c r="S48" s="84" t="e">
        <f t="shared" si="30"/>
        <v>#DIV/0!</v>
      </c>
      <c r="T48" s="84">
        <f t="shared" si="30"/>
        <v>125.2844202054808</v>
      </c>
      <c r="U48" s="84">
        <f t="shared" si="30"/>
        <v>129.64835787084289</v>
      </c>
      <c r="V48" s="84">
        <f t="shared" si="30"/>
        <v>105.40009267481946</v>
      </c>
      <c r="W48" s="84">
        <f t="shared" si="30"/>
        <v>95.41006547895509</v>
      </c>
      <c r="X48" s="84">
        <f t="shared" si="30"/>
        <v>90.380152715256131</v>
      </c>
      <c r="Y48" s="84">
        <f t="shared" si="30"/>
        <v>60.08545432100928</v>
      </c>
      <c r="Z48" s="84">
        <f t="shared" si="30"/>
        <v>32.538647870992492</v>
      </c>
      <c r="AA48" s="84">
        <f t="shared" si="30"/>
        <v>27.002673282975053</v>
      </c>
      <c r="AB48" s="84">
        <f t="shared" si="30"/>
        <v>20.364625571436932</v>
      </c>
      <c r="AC48" s="85">
        <f t="shared" si="30"/>
        <v>5.379491723437269</v>
      </c>
    </row>
    <row r="49" spans="39:58" x14ac:dyDescent="0.3">
      <c r="AM49" s="1112" t="s">
        <v>557</v>
      </c>
      <c r="AN49" s="1113"/>
      <c r="AO49" s="1054" t="s">
        <v>409</v>
      </c>
      <c r="AP49" s="1055"/>
      <c r="AQ49" s="1055"/>
      <c r="AR49" s="1055"/>
      <c r="AS49" s="1055"/>
      <c r="AT49" s="1056"/>
      <c r="AU49" s="1103" t="s">
        <v>410</v>
      </c>
      <c r="AV49" s="1103"/>
      <c r="AW49" s="1103"/>
      <c r="AX49" s="1103"/>
      <c r="AY49" s="1103"/>
      <c r="AZ49" s="1103"/>
      <c r="BA49" s="1103"/>
      <c r="BB49" s="1103"/>
    </row>
    <row r="50" spans="39:58" x14ac:dyDescent="0.3">
      <c r="AM50" s="1114"/>
      <c r="AN50" s="1115"/>
      <c r="AO50" s="972">
        <v>2019</v>
      </c>
      <c r="AP50" s="1044">
        <v>2020</v>
      </c>
      <c r="AQ50" s="1045"/>
      <c r="AR50" s="1045"/>
      <c r="AS50" s="1046"/>
      <c r="AT50" s="972">
        <v>2021</v>
      </c>
      <c r="AU50" s="1051">
        <v>2021</v>
      </c>
      <c r="AV50" s="1052"/>
      <c r="AW50" s="1053"/>
      <c r="AX50" s="1051">
        <v>2022</v>
      </c>
      <c r="AY50" s="1052"/>
      <c r="AZ50" s="1052"/>
      <c r="BA50" s="1053"/>
      <c r="BB50" s="334">
        <v>2023</v>
      </c>
    </row>
    <row r="51" spans="39:58" x14ac:dyDescent="0.3">
      <c r="AM51" s="1114"/>
      <c r="AN51" s="1115"/>
      <c r="AO51" s="168" t="s">
        <v>411</v>
      </c>
      <c r="AP51" s="162" t="s">
        <v>412</v>
      </c>
      <c r="AQ51" s="149" t="s">
        <v>413</v>
      </c>
      <c r="AR51" s="149" t="s">
        <v>298</v>
      </c>
      <c r="AS51" s="155" t="s">
        <v>411</v>
      </c>
      <c r="AT51" s="168" t="s">
        <v>412</v>
      </c>
      <c r="AU51" s="436" t="s">
        <v>413</v>
      </c>
      <c r="AV51" s="437" t="s">
        <v>298</v>
      </c>
      <c r="AW51" s="438" t="s">
        <v>411</v>
      </c>
      <c r="AX51" s="436" t="s">
        <v>412</v>
      </c>
      <c r="AY51" s="437" t="s">
        <v>413</v>
      </c>
      <c r="AZ51" s="437" t="s">
        <v>298</v>
      </c>
      <c r="BA51" s="438" t="s">
        <v>411</v>
      </c>
      <c r="BB51" s="71" t="s">
        <v>412</v>
      </c>
    </row>
    <row r="52" spans="39:58" ht="28" x14ac:dyDescent="0.3">
      <c r="AM52" s="65" t="s">
        <v>558</v>
      </c>
      <c r="AN52" s="516"/>
      <c r="AO52" s="70">
        <v>4.8</v>
      </c>
      <c r="AP52" s="464">
        <v>3.9</v>
      </c>
      <c r="AQ52" s="464">
        <v>3.2</v>
      </c>
      <c r="AR52" s="464">
        <v>3.8</v>
      </c>
      <c r="AS52" s="464">
        <v>3.7</v>
      </c>
      <c r="AT52" s="464">
        <v>3.7</v>
      </c>
      <c r="AU52" s="82">
        <v>3.7</v>
      </c>
      <c r="AV52" s="452">
        <v>3.7</v>
      </c>
      <c r="AW52" s="452">
        <v>3.8</v>
      </c>
      <c r="AX52" s="452">
        <v>3.8</v>
      </c>
      <c r="AY52" s="452">
        <v>3.9</v>
      </c>
      <c r="AZ52" s="452">
        <v>3.9</v>
      </c>
      <c r="BA52" s="452">
        <v>4</v>
      </c>
      <c r="BB52" s="83">
        <v>4</v>
      </c>
    </row>
    <row r="53" spans="39:58" ht="28" x14ac:dyDescent="0.3">
      <c r="AM53" s="89" t="s">
        <v>559</v>
      </c>
      <c r="AN53" s="364"/>
      <c r="AO53" s="64">
        <v>3.3969999999999998</v>
      </c>
      <c r="AP53" s="62">
        <v>4.1660000000000004</v>
      </c>
      <c r="AQ53" s="62">
        <v>-7.6660000000000004</v>
      </c>
      <c r="AR53" s="63">
        <v>-0.84299999999999997</v>
      </c>
      <c r="AS53" s="63">
        <v>2.097</v>
      </c>
      <c r="AT53" s="63">
        <v>9.5879999999999992</v>
      </c>
      <c r="AU53" s="392">
        <v>14.488</v>
      </c>
      <c r="AV53" s="393">
        <v>9.7850000000000001</v>
      </c>
      <c r="AW53" s="393">
        <v>5.202</v>
      </c>
      <c r="AX53" s="393">
        <v>5.4939999999999998</v>
      </c>
      <c r="AY53" s="393">
        <v>5.7560000000000002</v>
      </c>
      <c r="AZ53" s="393">
        <v>4.133</v>
      </c>
      <c r="BA53" s="393">
        <v>3.5270000000000001</v>
      </c>
      <c r="BB53" s="394">
        <v>3.488</v>
      </c>
    </row>
    <row r="54" spans="39:58" x14ac:dyDescent="0.3">
      <c r="AM54" s="34" t="s">
        <v>560</v>
      </c>
      <c r="AO54" s="63">
        <f>AO53</f>
        <v>3.3969999999999998</v>
      </c>
      <c r="AP54" s="63">
        <f t="shared" ref="AP54:AT54" si="31">AP53</f>
        <v>4.1660000000000004</v>
      </c>
      <c r="AQ54" s="63">
        <f t="shared" si="31"/>
        <v>-7.6660000000000004</v>
      </c>
      <c r="AR54" s="63">
        <f t="shared" si="31"/>
        <v>-0.84299999999999997</v>
      </c>
      <c r="AS54" s="63">
        <f t="shared" si="31"/>
        <v>2.097</v>
      </c>
      <c r="AT54" s="63">
        <f t="shared" si="31"/>
        <v>9.5879999999999992</v>
      </c>
      <c r="AU54" s="693">
        <f>N26</f>
        <v>9</v>
      </c>
      <c r="AV54" s="693">
        <f t="shared" ref="AV54:BB54" si="32">O26</f>
        <v>10</v>
      </c>
      <c r="AW54" s="693">
        <f t="shared" si="32"/>
        <v>10</v>
      </c>
      <c r="AX54" s="693">
        <f t="shared" si="32"/>
        <v>9</v>
      </c>
      <c r="AY54" s="693">
        <f t="shared" si="32"/>
        <v>8</v>
      </c>
      <c r="AZ54" s="693">
        <f t="shared" si="32"/>
        <v>7</v>
      </c>
      <c r="BA54" s="693">
        <f t="shared" si="32"/>
        <v>5.5</v>
      </c>
      <c r="BB54" s="693">
        <f t="shared" si="32"/>
        <v>5</v>
      </c>
    </row>
    <row r="55" spans="39:58" x14ac:dyDescent="0.3">
      <c r="AM55" s="1104" t="s">
        <v>561</v>
      </c>
      <c r="AN55" s="1105"/>
      <c r="AO55" s="64"/>
      <c r="AP55" s="62"/>
      <c r="AQ55" s="62"/>
      <c r="AR55" s="63"/>
      <c r="AS55" s="63"/>
      <c r="AT55" s="63"/>
      <c r="AU55" s="392"/>
      <c r="AV55" s="393"/>
      <c r="AW55" s="393"/>
      <c r="AX55" s="393"/>
      <c r="AY55" s="393"/>
      <c r="AZ55" s="393"/>
      <c r="BA55" s="393"/>
      <c r="BB55" s="394"/>
    </row>
    <row r="56" spans="39:58" ht="28" x14ac:dyDescent="0.3">
      <c r="AM56" s="56" t="s">
        <v>562</v>
      </c>
      <c r="AN56" s="39"/>
      <c r="AO56" s="287">
        <v>2368</v>
      </c>
      <c r="AP56" s="286">
        <v>2391</v>
      </c>
      <c r="AQ56" s="286">
        <v>2410</v>
      </c>
      <c r="AR56" s="286">
        <v>2432</v>
      </c>
      <c r="AS56" s="286">
        <v>2455</v>
      </c>
      <c r="AT56" s="286">
        <v>2477</v>
      </c>
      <c r="AU56" s="397">
        <v>2500</v>
      </c>
      <c r="AV56" s="398">
        <v>2523</v>
      </c>
      <c r="AW56" s="398">
        <v>2546</v>
      </c>
      <c r="AX56" s="398">
        <v>2571</v>
      </c>
      <c r="AY56" s="398">
        <v>2595</v>
      </c>
      <c r="AZ56" s="398">
        <v>2621</v>
      </c>
      <c r="BA56" s="398">
        <v>2646</v>
      </c>
      <c r="BB56" s="399">
        <v>2672</v>
      </c>
    </row>
    <row r="57" spans="39:58" ht="28" x14ac:dyDescent="0.3">
      <c r="AM57" s="56" t="s">
        <v>563</v>
      </c>
      <c r="AN57" s="39"/>
      <c r="AO57" s="146">
        <v>2357</v>
      </c>
      <c r="AP57" s="43">
        <v>2382</v>
      </c>
      <c r="AQ57" s="43">
        <v>2335</v>
      </c>
      <c r="AR57" s="43">
        <v>2330</v>
      </c>
      <c r="AS57" s="43">
        <v>2318</v>
      </c>
      <c r="AT57" s="43">
        <v>2339</v>
      </c>
      <c r="AU57" s="436">
        <v>2361</v>
      </c>
      <c r="AV57" s="437">
        <v>2379</v>
      </c>
      <c r="AW57" s="437">
        <v>2397</v>
      </c>
      <c r="AX57" s="437">
        <v>2417</v>
      </c>
      <c r="AY57" s="437">
        <v>2439</v>
      </c>
      <c r="AZ57" s="437">
        <v>2462</v>
      </c>
      <c r="BA57" s="437">
        <v>2486</v>
      </c>
      <c r="BB57" s="438">
        <v>2513</v>
      </c>
    </row>
    <row r="58" spans="39:58" ht="28" x14ac:dyDescent="0.3">
      <c r="AM58" s="56" t="s">
        <v>564</v>
      </c>
      <c r="AN58" s="39"/>
      <c r="AO58" s="520">
        <v>2357.4</v>
      </c>
      <c r="AP58" s="299">
        <v>2381.6</v>
      </c>
      <c r="AQ58" s="299">
        <v>2334.5</v>
      </c>
      <c r="AR58" s="299">
        <v>2329.6</v>
      </c>
      <c r="AS58" s="299">
        <v>2341.6999999999998</v>
      </c>
      <c r="AT58" s="299">
        <v>2395.9</v>
      </c>
      <c r="AU58" s="358">
        <v>2478.4</v>
      </c>
      <c r="AV58" s="359">
        <v>2536.9</v>
      </c>
      <c r="AW58" s="359">
        <v>2569.3000000000002</v>
      </c>
      <c r="AX58" s="359">
        <v>2603.9</v>
      </c>
      <c r="AY58" s="359">
        <v>2640.6</v>
      </c>
      <c r="AZ58" s="359">
        <v>2667.4</v>
      </c>
      <c r="BA58" s="359">
        <v>2690.6</v>
      </c>
      <c r="BB58" s="360">
        <v>2713.8</v>
      </c>
      <c r="BC58" s="521"/>
      <c r="BD58" s="521"/>
      <c r="BE58" s="521"/>
      <c r="BF58" s="521"/>
    </row>
    <row r="59" spans="39:58" x14ac:dyDescent="0.3">
      <c r="AM59" s="1110" t="s">
        <v>565</v>
      </c>
      <c r="AN59" s="1111"/>
      <c r="AO59" s="146"/>
      <c r="AP59" s="43"/>
      <c r="AQ59" s="43"/>
      <c r="AR59" s="43"/>
      <c r="AS59" s="43"/>
      <c r="AT59" s="43"/>
      <c r="AU59" s="436"/>
      <c r="AV59" s="437"/>
      <c r="AW59" s="437"/>
      <c r="AX59" s="437"/>
      <c r="AY59" s="437"/>
      <c r="AZ59" s="437"/>
      <c r="BA59" s="437"/>
      <c r="BB59" s="438"/>
    </row>
    <row r="60" spans="39:58" ht="28" x14ac:dyDescent="0.3">
      <c r="AM60" s="56" t="s">
        <v>562</v>
      </c>
      <c r="AN60" s="39"/>
      <c r="AO60" s="287">
        <f t="shared" ref="AO60:BB60" si="33">AO56-H48</f>
        <v>2088.5120000000002</v>
      </c>
      <c r="AP60" s="286">
        <f t="shared" si="33"/>
        <v>2105.7440000000001</v>
      </c>
      <c r="AQ60" s="286">
        <f t="shared" si="33"/>
        <v>2000.115</v>
      </c>
      <c r="AR60" s="286">
        <f t="shared" si="33"/>
        <v>2051.4499999999998</v>
      </c>
      <c r="AS60" s="286">
        <f t="shared" si="33"/>
        <v>2097.8420000000001</v>
      </c>
      <c r="AT60" s="286">
        <f t="shared" si="33"/>
        <v>2091.8150000000001</v>
      </c>
      <c r="AU60" s="397">
        <f t="shared" si="33"/>
        <v>2075.9809999999998</v>
      </c>
      <c r="AV60" s="398">
        <f t="shared" si="33"/>
        <v>2557.2559999999999</v>
      </c>
      <c r="AW60" s="398" t="e">
        <f t="shared" si="33"/>
        <v>#DIV/0!</v>
      </c>
      <c r="AX60" s="398" t="e">
        <f t="shared" si="33"/>
        <v>#DIV/0!</v>
      </c>
      <c r="AY60" s="398" t="e">
        <f t="shared" si="33"/>
        <v>#DIV/0!</v>
      </c>
      <c r="AZ60" s="398" t="e">
        <f t="shared" si="33"/>
        <v>#DIV/0!</v>
      </c>
      <c r="BA60" s="398">
        <f t="shared" si="33"/>
        <v>2520.7155797945193</v>
      </c>
      <c r="BB60" s="399">
        <f t="shared" si="33"/>
        <v>2542.351642129157</v>
      </c>
    </row>
    <row r="61" spans="39:58" ht="28" x14ac:dyDescent="0.3">
      <c r="AM61" s="56" t="s">
        <v>563</v>
      </c>
      <c r="AN61" s="39"/>
      <c r="AO61" s="287">
        <f t="shared" ref="AO61:BB61" si="34">AO57-H48</f>
        <v>2077.5120000000002</v>
      </c>
      <c r="AP61" s="286">
        <f t="shared" si="34"/>
        <v>2096.7440000000001</v>
      </c>
      <c r="AQ61" s="286">
        <f t="shared" si="34"/>
        <v>1925.115</v>
      </c>
      <c r="AR61" s="286">
        <f t="shared" si="34"/>
        <v>1949.45</v>
      </c>
      <c r="AS61" s="286">
        <f t="shared" si="34"/>
        <v>1960.8420000000001</v>
      </c>
      <c r="AT61" s="286">
        <f t="shared" si="34"/>
        <v>1953.8150000000001</v>
      </c>
      <c r="AU61" s="397">
        <f t="shared" si="34"/>
        <v>1936.981</v>
      </c>
      <c r="AV61" s="398">
        <f t="shared" si="34"/>
        <v>2413.2559999999999</v>
      </c>
      <c r="AW61" s="398" t="e">
        <f t="shared" si="34"/>
        <v>#DIV/0!</v>
      </c>
      <c r="AX61" s="398" t="e">
        <f t="shared" si="34"/>
        <v>#DIV/0!</v>
      </c>
      <c r="AY61" s="398" t="e">
        <f t="shared" si="34"/>
        <v>#DIV/0!</v>
      </c>
      <c r="AZ61" s="398" t="e">
        <f t="shared" si="34"/>
        <v>#DIV/0!</v>
      </c>
      <c r="BA61" s="398">
        <f t="shared" si="34"/>
        <v>2360.7155797945193</v>
      </c>
      <c r="BB61" s="399">
        <f t="shared" si="34"/>
        <v>2383.351642129157</v>
      </c>
    </row>
    <row r="62" spans="39:58" ht="28" x14ac:dyDescent="0.3">
      <c r="AM62" s="150" t="s">
        <v>564</v>
      </c>
      <c r="AN62" s="522"/>
      <c r="AO62" s="465">
        <f t="shared" ref="AO62:AU62" si="35">AO58-H48</f>
        <v>2077.9120000000003</v>
      </c>
      <c r="AP62" s="466">
        <f t="shared" si="35"/>
        <v>2096.3440000000001</v>
      </c>
      <c r="AQ62" s="466">
        <f t="shared" si="35"/>
        <v>1924.615</v>
      </c>
      <c r="AR62" s="466">
        <f t="shared" si="35"/>
        <v>1949.05</v>
      </c>
      <c r="AS62" s="466">
        <f t="shared" si="35"/>
        <v>1984.5419999999999</v>
      </c>
      <c r="AT62" s="466">
        <f t="shared" si="35"/>
        <v>2010.7150000000001</v>
      </c>
      <c r="AU62" s="467">
        <f t="shared" si="35"/>
        <v>2054.3809999999999</v>
      </c>
      <c r="AV62" s="468">
        <f t="shared" ref="AV62" si="36">AV58-O48</f>
        <v>2571.1559999999999</v>
      </c>
      <c r="AW62" s="468" t="e">
        <f t="shared" ref="AW62" si="37">AW58-P48</f>
        <v>#DIV/0!</v>
      </c>
      <c r="AX62" s="468" t="e">
        <f t="shared" ref="AX62" si="38">AX58-Q48</f>
        <v>#DIV/0!</v>
      </c>
      <c r="AY62" s="468" t="e">
        <f t="shared" ref="AY62" si="39">AY58-R48</f>
        <v>#DIV/0!</v>
      </c>
      <c r="AZ62" s="468" t="e">
        <f>AZ58-S48</f>
        <v>#DIV/0!</v>
      </c>
      <c r="BA62" s="468">
        <f>BA58-T48</f>
        <v>2565.3155797945192</v>
      </c>
      <c r="BB62" s="469">
        <f t="shared" ref="BB62" si="40">BB58-U48</f>
        <v>2584.1516421291572</v>
      </c>
    </row>
  </sheetData>
  <mergeCells count="41">
    <mergeCell ref="AP50:AS50"/>
    <mergeCell ref="B22:C24"/>
    <mergeCell ref="D22:O22"/>
    <mergeCell ref="AM59:AN59"/>
    <mergeCell ref="AM49:AN51"/>
    <mergeCell ref="Q23:T23"/>
    <mergeCell ref="I23:L23"/>
    <mergeCell ref="B17:AC17"/>
    <mergeCell ref="B18:AC20"/>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P22:AC22"/>
    <mergeCell ref="M23:O23"/>
    <mergeCell ref="AO49:AT49"/>
    <mergeCell ref="AU49:BB49"/>
    <mergeCell ref="D43:O43"/>
    <mergeCell ref="P43:AC43"/>
    <mergeCell ref="M44:O44"/>
    <mergeCell ref="B2:AC4"/>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zoomScale="62" zoomScaleNormal="80" workbookViewId="0">
      <selection activeCell="D8" sqref="D8:AC10"/>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042" t="s">
        <v>77</v>
      </c>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42"/>
      <c r="AA1" s="1042"/>
      <c r="AB1" s="1042"/>
      <c r="AC1" s="1042"/>
    </row>
    <row r="2" spans="2:29" s="130" customFormat="1" ht="14.5" customHeight="1" x14ac:dyDescent="0.35">
      <c r="B2" s="1043" t="s">
        <v>566</v>
      </c>
      <c r="C2" s="1043"/>
      <c r="D2" s="1043"/>
      <c r="E2" s="1043"/>
      <c r="F2" s="1043"/>
      <c r="G2" s="1043"/>
      <c r="H2" s="1043"/>
      <c r="I2" s="1043"/>
      <c r="J2" s="1043"/>
      <c r="K2" s="1043"/>
      <c r="L2" s="1043"/>
      <c r="M2" s="1043"/>
      <c r="N2" s="1043"/>
      <c r="O2" s="1043"/>
      <c r="P2" s="1043"/>
      <c r="Q2" s="1043"/>
      <c r="R2" s="1043"/>
      <c r="S2" s="1043"/>
      <c r="T2" s="1043"/>
      <c r="U2" s="1043"/>
      <c r="V2" s="1043"/>
      <c r="W2" s="1043"/>
      <c r="X2" s="1043"/>
      <c r="Y2" s="1043"/>
      <c r="Z2" s="1043"/>
      <c r="AA2" s="1043"/>
      <c r="AB2" s="1043"/>
      <c r="AC2" s="1043"/>
    </row>
    <row r="3" spans="2:29" s="130" customFormat="1" ht="14.5" customHeight="1" x14ac:dyDescent="0.35">
      <c r="B3" s="1043"/>
      <c r="C3" s="1043"/>
      <c r="D3" s="1043"/>
      <c r="E3" s="1043"/>
      <c r="F3" s="1043"/>
      <c r="G3" s="1043"/>
      <c r="H3" s="1043"/>
      <c r="I3" s="1043"/>
      <c r="J3" s="1043"/>
      <c r="K3" s="1043"/>
      <c r="L3" s="1043"/>
      <c r="M3" s="1043"/>
      <c r="N3" s="1043"/>
      <c r="O3" s="1043"/>
      <c r="P3" s="1043"/>
      <c r="Q3" s="1043"/>
      <c r="R3" s="1043"/>
      <c r="S3" s="1043"/>
      <c r="T3" s="1043"/>
      <c r="U3" s="1043"/>
      <c r="V3" s="1043"/>
      <c r="W3" s="1043"/>
      <c r="X3" s="1043"/>
      <c r="Y3" s="1043"/>
      <c r="Z3" s="1043"/>
      <c r="AA3" s="1043"/>
      <c r="AB3" s="1043"/>
      <c r="AC3" s="1043"/>
    </row>
    <row r="4" spans="2:29" s="130" customFormat="1" ht="14.5" customHeight="1" x14ac:dyDescent="0.35">
      <c r="B4" s="1043"/>
      <c r="C4" s="1043"/>
      <c r="D4" s="1043"/>
      <c r="E4" s="1043"/>
      <c r="F4" s="1043"/>
      <c r="G4" s="1043"/>
      <c r="H4" s="1043"/>
      <c r="I4" s="1043"/>
      <c r="J4" s="1043"/>
      <c r="K4" s="1043"/>
      <c r="L4" s="1043"/>
      <c r="M4" s="1043"/>
      <c r="N4" s="1043"/>
      <c r="O4" s="1043"/>
      <c r="P4" s="1043"/>
      <c r="Q4" s="1043"/>
      <c r="R4" s="1043"/>
      <c r="S4" s="1043"/>
      <c r="T4" s="1043"/>
      <c r="U4" s="1043"/>
      <c r="V4" s="1043"/>
      <c r="W4" s="1043"/>
      <c r="X4" s="1043"/>
      <c r="Y4" s="1043"/>
      <c r="Z4" s="1043"/>
      <c r="AA4" s="1043"/>
      <c r="AB4" s="1043"/>
      <c r="AC4" s="1043"/>
    </row>
    <row r="5" spans="2:29" s="130" customFormat="1" ht="14.5" customHeight="1" x14ac:dyDescent="0.35">
      <c r="B5" s="1043"/>
      <c r="C5" s="1043"/>
      <c r="D5" s="1043"/>
      <c r="E5" s="1043"/>
      <c r="F5" s="1043"/>
      <c r="G5" s="1043"/>
      <c r="H5" s="1043"/>
      <c r="I5" s="1043"/>
      <c r="J5" s="1043"/>
      <c r="K5" s="1043"/>
      <c r="L5" s="1043"/>
      <c r="M5" s="1043"/>
      <c r="N5" s="1043"/>
      <c r="O5" s="1043"/>
      <c r="P5" s="1043"/>
      <c r="Q5" s="1043"/>
      <c r="R5" s="1043"/>
      <c r="S5" s="1043"/>
      <c r="T5" s="1043"/>
      <c r="U5" s="1043"/>
      <c r="V5" s="1043"/>
      <c r="W5" s="1043"/>
      <c r="X5" s="1043"/>
      <c r="Y5" s="1043"/>
      <c r="Z5" s="1043"/>
      <c r="AA5" s="1043"/>
      <c r="AB5" s="1043"/>
      <c r="AC5" s="1043"/>
    </row>
    <row r="6" spans="2:29" s="130" customFormat="1" ht="14.5" customHeight="1" x14ac:dyDescent="0.35">
      <c r="B6" s="1043"/>
      <c r="C6" s="1043"/>
      <c r="D6" s="1043"/>
      <c r="E6" s="1043"/>
      <c r="F6" s="1043"/>
      <c r="G6" s="1043"/>
      <c r="H6" s="1043"/>
      <c r="I6" s="1043"/>
      <c r="J6" s="1043"/>
      <c r="K6" s="1043"/>
      <c r="L6" s="1043"/>
      <c r="M6" s="1043"/>
      <c r="N6" s="1043"/>
      <c r="O6" s="1043"/>
      <c r="P6" s="1043"/>
      <c r="Q6" s="1043"/>
      <c r="R6" s="1043"/>
      <c r="S6" s="1043"/>
      <c r="T6" s="1043"/>
      <c r="U6" s="1043"/>
      <c r="V6" s="1043"/>
      <c r="W6" s="1043"/>
      <c r="X6" s="1043"/>
      <c r="Y6" s="1043"/>
      <c r="Z6" s="1043"/>
      <c r="AA6" s="1043"/>
      <c r="AB6" s="1043"/>
      <c r="AC6" s="1043"/>
    </row>
    <row r="7" spans="2:29" s="130" customFormat="1" ht="33.65" customHeight="1" x14ac:dyDescent="0.35">
      <c r="B7" s="96"/>
      <c r="C7" s="96"/>
      <c r="D7" s="96"/>
      <c r="E7" s="96"/>
      <c r="F7" s="96"/>
      <c r="G7" s="96"/>
      <c r="H7" s="96"/>
      <c r="I7" s="96"/>
      <c r="J7" s="96"/>
      <c r="K7" s="96"/>
      <c r="L7" s="96"/>
      <c r="M7" s="96"/>
      <c r="N7" s="96"/>
      <c r="O7" s="96"/>
      <c r="P7" s="96"/>
      <c r="Q7" s="96"/>
      <c r="R7" s="96"/>
      <c r="S7" s="96"/>
      <c r="T7" s="96"/>
      <c r="U7" s="96"/>
      <c r="V7" s="96"/>
      <c r="W7" s="96"/>
      <c r="X7" s="96"/>
      <c r="Y7" s="96"/>
    </row>
    <row r="8" spans="2:29" ht="14.5" customHeight="1" x14ac:dyDescent="0.35">
      <c r="B8" s="1047" t="s">
        <v>567</v>
      </c>
      <c r="C8" s="1048"/>
      <c r="D8" s="1054" t="s">
        <v>409</v>
      </c>
      <c r="E8" s="1055"/>
      <c r="F8" s="1055"/>
      <c r="G8" s="1055"/>
      <c r="H8" s="1055"/>
      <c r="I8" s="1055"/>
      <c r="J8" s="1055"/>
      <c r="K8" s="1055"/>
      <c r="L8" s="1055"/>
      <c r="M8" s="1055"/>
      <c r="N8" s="1055"/>
      <c r="O8" s="1056"/>
      <c r="P8" s="1083" t="s">
        <v>410</v>
      </c>
      <c r="Q8" s="1084"/>
      <c r="R8" s="1084"/>
      <c r="S8" s="1084"/>
      <c r="T8" s="1084"/>
      <c r="U8" s="1084"/>
      <c r="V8" s="1084"/>
      <c r="W8" s="1084"/>
      <c r="X8" s="1084"/>
      <c r="Y8" s="1084"/>
      <c r="Z8" s="1084"/>
      <c r="AA8" s="1084"/>
      <c r="AB8" s="1084"/>
      <c r="AC8" s="1085"/>
    </row>
    <row r="9" spans="2:29" x14ac:dyDescent="0.35">
      <c r="B9" s="1049"/>
      <c r="C9" s="1050"/>
      <c r="D9" s="549">
        <v>2018</v>
      </c>
      <c r="E9" s="1044">
        <v>2019</v>
      </c>
      <c r="F9" s="1045"/>
      <c r="G9" s="1045"/>
      <c r="H9" s="1046"/>
      <c r="I9" s="1044">
        <v>2020</v>
      </c>
      <c r="J9" s="1045"/>
      <c r="K9" s="1045"/>
      <c r="L9" s="1046"/>
      <c r="M9" s="1044">
        <v>2021</v>
      </c>
      <c r="N9" s="1045"/>
      <c r="O9" s="1046"/>
      <c r="P9" s="582">
        <v>2021</v>
      </c>
      <c r="Q9" s="1051">
        <v>2022</v>
      </c>
      <c r="R9" s="1052"/>
      <c r="S9" s="1052"/>
      <c r="T9" s="1053"/>
      <c r="U9" s="1051">
        <v>2023</v>
      </c>
      <c r="V9" s="1052"/>
      <c r="W9" s="1052"/>
      <c r="X9" s="1052"/>
      <c r="Y9" s="1051">
        <v>2024</v>
      </c>
      <c r="Z9" s="1052"/>
      <c r="AA9" s="1052"/>
      <c r="AB9" s="1053"/>
      <c r="AC9" s="334">
        <v>2025</v>
      </c>
    </row>
    <row r="10" spans="2:29" x14ac:dyDescent="0.35">
      <c r="B10" s="1087"/>
      <c r="C10" s="1088"/>
      <c r="D10" s="167" t="s">
        <v>411</v>
      </c>
      <c r="E10" s="167" t="s">
        <v>412</v>
      </c>
      <c r="F10" s="148" t="s">
        <v>413</v>
      </c>
      <c r="G10" s="148" t="s">
        <v>298</v>
      </c>
      <c r="H10" s="155" t="s">
        <v>411</v>
      </c>
      <c r="I10" s="149" t="s">
        <v>412</v>
      </c>
      <c r="J10" s="149" t="s">
        <v>413</v>
      </c>
      <c r="K10" s="149" t="s">
        <v>298</v>
      </c>
      <c r="L10" s="149" t="s">
        <v>411</v>
      </c>
      <c r="M10" s="162" t="s">
        <v>412</v>
      </c>
      <c r="N10" s="149" t="s">
        <v>413</v>
      </c>
      <c r="O10" s="155" t="s">
        <v>298</v>
      </c>
      <c r="P10" s="438" t="s">
        <v>411</v>
      </c>
      <c r="Q10" s="436" t="s">
        <v>412</v>
      </c>
      <c r="R10" s="437" t="s">
        <v>413</v>
      </c>
      <c r="S10" s="437" t="s">
        <v>298</v>
      </c>
      <c r="T10" s="437" t="s">
        <v>411</v>
      </c>
      <c r="U10" s="436" t="s">
        <v>412</v>
      </c>
      <c r="V10" s="437" t="s">
        <v>413</v>
      </c>
      <c r="W10" s="437" t="s">
        <v>298</v>
      </c>
      <c r="X10" s="437" t="s">
        <v>411</v>
      </c>
      <c r="Y10" s="436" t="s">
        <v>412</v>
      </c>
      <c r="Z10" s="398" t="s">
        <v>413</v>
      </c>
      <c r="AA10" s="437" t="s">
        <v>298</v>
      </c>
      <c r="AB10" s="438" t="s">
        <v>411</v>
      </c>
      <c r="AC10" s="71" t="s">
        <v>412</v>
      </c>
    </row>
    <row r="11" spans="2:29" x14ac:dyDescent="0.35">
      <c r="B11" s="1104" t="s">
        <v>568</v>
      </c>
      <c r="C11" s="1105"/>
      <c r="D11" s="587"/>
      <c r="E11" s="907"/>
      <c r="F11" s="908">
        <v>60.5</v>
      </c>
      <c r="G11" s="908">
        <v>81.400000000000006</v>
      </c>
      <c r="H11" s="642">
        <f>'Haver Pivoted'!GS42</f>
        <v>82.2</v>
      </c>
      <c r="I11" s="642">
        <f>'Haver Pivoted'!GT42</f>
        <v>80.3</v>
      </c>
      <c r="J11" s="642">
        <f>'Haver Pivoted'!GU42</f>
        <v>1123.5999999999999</v>
      </c>
      <c r="K11" s="642">
        <f>'Haver Pivoted'!GV42</f>
        <v>1220.5</v>
      </c>
      <c r="L11" s="642">
        <f>'Haver Pivoted'!GW42</f>
        <v>618.6</v>
      </c>
      <c r="M11" s="642">
        <f>'Haver Pivoted'!GX42</f>
        <v>403.8</v>
      </c>
      <c r="N11" s="642">
        <f>'Haver Pivoted'!GY42</f>
        <v>697</v>
      </c>
      <c r="O11" s="909">
        <f>'Haver Pivoted'!GZ42</f>
        <v>0</v>
      </c>
      <c r="P11" s="641" t="e">
        <f t="shared" ref="P11:AC11" si="0">P12+P13</f>
        <v>#DIV/0!</v>
      </c>
      <c r="Q11" s="641" t="e">
        <f t="shared" si="0"/>
        <v>#DIV/0!</v>
      </c>
      <c r="R11" s="641" t="e">
        <f t="shared" si="0"/>
        <v>#DIV/0!</v>
      </c>
      <c r="S11" s="641" t="e">
        <f t="shared" si="0"/>
        <v>#DIV/0!</v>
      </c>
      <c r="T11" s="641">
        <f t="shared" si="0"/>
        <v>88.462000000000003</v>
      </c>
      <c r="U11" s="641">
        <f t="shared" si="0"/>
        <v>88.462000000000003</v>
      </c>
      <c r="V11" s="641">
        <f t="shared" si="0"/>
        <v>88.462000000000003</v>
      </c>
      <c r="W11" s="641">
        <f t="shared" si="0"/>
        <v>88.462000000000003</v>
      </c>
      <c r="X11" s="641">
        <f t="shared" si="0"/>
        <v>75.425000000000011</v>
      </c>
      <c r="Y11" s="641">
        <f t="shared" si="0"/>
        <v>75.425000000000011</v>
      </c>
      <c r="Z11" s="641">
        <f t="shared" si="0"/>
        <v>75.425000000000011</v>
      </c>
      <c r="AA11" s="641">
        <f t="shared" si="0"/>
        <v>75.425000000000011</v>
      </c>
      <c r="AB11" s="641">
        <f t="shared" si="0"/>
        <v>76.100000000000009</v>
      </c>
      <c r="AC11" s="645">
        <f t="shared" si="0"/>
        <v>76.100000000000009</v>
      </c>
    </row>
    <row r="12" spans="2:29" ht="16.5" customHeight="1" x14ac:dyDescent="0.35">
      <c r="B12" s="95" t="s">
        <v>569</v>
      </c>
      <c r="C12" s="96"/>
      <c r="D12" s="861"/>
      <c r="E12" s="96"/>
      <c r="F12" s="265">
        <f>F11</f>
        <v>60.5</v>
      </c>
      <c r="G12" s="265">
        <f>G11</f>
        <v>81.400000000000006</v>
      </c>
      <c r="H12" s="575">
        <f t="shared" ref="H12:M12" si="1">H11-H13</f>
        <v>82.2</v>
      </c>
      <c r="I12" s="575">
        <f t="shared" si="1"/>
        <v>80.3</v>
      </c>
      <c r="J12" s="575">
        <f t="shared" si="1"/>
        <v>134.09999999999991</v>
      </c>
      <c r="K12" s="575">
        <f t="shared" si="1"/>
        <v>93.900000000000091</v>
      </c>
      <c r="L12" s="575">
        <f t="shared" si="1"/>
        <v>80.199999999999932</v>
      </c>
      <c r="M12" s="575">
        <f t="shared" si="1"/>
        <v>73.900000000000034</v>
      </c>
      <c r="N12" s="575">
        <f>N11-N13</f>
        <v>76.299999999999955</v>
      </c>
      <c r="O12" s="957">
        <f>O11-O13</f>
        <v>-185.43798000000004</v>
      </c>
      <c r="P12" s="395">
        <f t="shared" ref="P12:AC12" si="2">AVERAGE($F$11:$I$11)</f>
        <v>76.100000000000009</v>
      </c>
      <c r="Q12" s="395">
        <f t="shared" si="2"/>
        <v>76.100000000000009</v>
      </c>
      <c r="R12" s="395">
        <f t="shared" si="2"/>
        <v>76.100000000000009</v>
      </c>
      <c r="S12" s="395">
        <f t="shared" si="2"/>
        <v>76.100000000000009</v>
      </c>
      <c r="T12" s="395">
        <f t="shared" si="2"/>
        <v>76.100000000000009</v>
      </c>
      <c r="U12" s="395">
        <f t="shared" si="2"/>
        <v>76.100000000000009</v>
      </c>
      <c r="V12" s="395">
        <f t="shared" si="2"/>
        <v>76.100000000000009</v>
      </c>
      <c r="W12" s="395">
        <f t="shared" si="2"/>
        <v>76.100000000000009</v>
      </c>
      <c r="X12" s="395">
        <f t="shared" si="2"/>
        <v>76.100000000000009</v>
      </c>
      <c r="Y12" s="395">
        <f t="shared" si="2"/>
        <v>76.100000000000009</v>
      </c>
      <c r="Z12" s="395">
        <f t="shared" si="2"/>
        <v>76.100000000000009</v>
      </c>
      <c r="AA12" s="395">
        <f t="shared" si="2"/>
        <v>76.100000000000009</v>
      </c>
      <c r="AB12" s="395">
        <f t="shared" si="2"/>
        <v>76.100000000000009</v>
      </c>
      <c r="AC12" s="77">
        <f t="shared" si="2"/>
        <v>76.100000000000009</v>
      </c>
    </row>
    <row r="13" spans="2:29" x14ac:dyDescent="0.35">
      <c r="B13" s="92" t="s">
        <v>570</v>
      </c>
      <c r="C13" s="96"/>
      <c r="D13" s="861"/>
      <c r="E13" s="96"/>
      <c r="F13" s="588"/>
      <c r="G13" s="588"/>
      <c r="H13" s="575">
        <f>SUM(H16:H25)</f>
        <v>0</v>
      </c>
      <c r="I13" s="575">
        <f>SUM(I16:I25)</f>
        <v>0</v>
      </c>
      <c r="J13" s="575">
        <f t="shared" ref="J13:AC13" si="3">SUM(J16:J25)+J14</f>
        <v>989.5</v>
      </c>
      <c r="K13" s="575">
        <f t="shared" si="3"/>
        <v>1126.5999999999999</v>
      </c>
      <c r="L13" s="575">
        <f t="shared" si="3"/>
        <v>538.40000000000009</v>
      </c>
      <c r="M13" s="575">
        <f t="shared" si="3"/>
        <v>329.9</v>
      </c>
      <c r="N13" s="76">
        <f t="shared" si="3"/>
        <v>620.70000000000005</v>
      </c>
      <c r="O13" s="116">
        <f t="shared" si="3"/>
        <v>185.43798000000004</v>
      </c>
      <c r="P13" s="584" t="e">
        <f t="shared" si="3"/>
        <v>#DIV/0!</v>
      </c>
      <c r="Q13" s="584" t="e">
        <f t="shared" si="3"/>
        <v>#DIV/0!</v>
      </c>
      <c r="R13" s="584" t="e">
        <f t="shared" si="3"/>
        <v>#DIV/0!</v>
      </c>
      <c r="S13" s="584" t="e">
        <f t="shared" si="3"/>
        <v>#DIV/0!</v>
      </c>
      <c r="T13" s="584">
        <f t="shared" si="3"/>
        <v>12.362</v>
      </c>
      <c r="U13" s="584">
        <f t="shared" si="3"/>
        <v>12.362</v>
      </c>
      <c r="V13" s="584">
        <f t="shared" si="3"/>
        <v>12.362</v>
      </c>
      <c r="W13" s="584">
        <f t="shared" si="3"/>
        <v>12.362</v>
      </c>
      <c r="X13" s="584">
        <f t="shared" si="3"/>
        <v>-0.67500000000000004</v>
      </c>
      <c r="Y13" s="584">
        <f t="shared" si="3"/>
        <v>-0.67500000000000004</v>
      </c>
      <c r="Z13" s="584">
        <f t="shared" si="3"/>
        <v>-0.67500000000000004</v>
      </c>
      <c r="AA13" s="584">
        <f t="shared" si="3"/>
        <v>-0.67500000000000004</v>
      </c>
      <c r="AB13" s="584">
        <f t="shared" si="3"/>
        <v>0</v>
      </c>
      <c r="AC13" s="973">
        <f t="shared" si="3"/>
        <v>0</v>
      </c>
    </row>
    <row r="14" spans="2:29" x14ac:dyDescent="0.35">
      <c r="B14" s="81" t="s">
        <v>74</v>
      </c>
      <c r="C14" s="97" t="s">
        <v>462</v>
      </c>
      <c r="D14" s="589"/>
      <c r="E14" s="97"/>
      <c r="F14" s="575"/>
      <c r="G14" s="575"/>
      <c r="H14" s="265">
        <f>'Haver Pivoted'!GS49</f>
        <v>0</v>
      </c>
      <c r="I14" s="265">
        <f>'Haver Pivoted'!GT49</f>
        <v>0</v>
      </c>
      <c r="J14" s="265">
        <f>'Haver Pivoted'!GU49</f>
        <v>576.9</v>
      </c>
      <c r="K14" s="265">
        <f>'Haver Pivoted'!GV49</f>
        <v>819.5</v>
      </c>
      <c r="L14" s="265">
        <f>'Haver Pivoted'!GW49</f>
        <v>246.3</v>
      </c>
      <c r="M14" s="265">
        <f>'Haver Pivoted'!GX49</f>
        <v>184.6</v>
      </c>
      <c r="N14" s="265">
        <f>'Haver Pivoted'!GY49</f>
        <v>427.2</v>
      </c>
      <c r="O14" s="958">
        <f>'Haver Pivoted'!GZ49</f>
        <v>0</v>
      </c>
      <c r="P14" s="395" t="e">
        <f>PPP!P54</f>
        <v>#DIV/0!</v>
      </c>
      <c r="Q14" s="584"/>
      <c r="R14" s="584"/>
      <c r="S14" s="584"/>
      <c r="T14" s="584"/>
      <c r="U14" s="584"/>
      <c r="V14" s="584"/>
      <c r="W14" s="584"/>
      <c r="X14" s="584"/>
      <c r="Y14" s="584"/>
      <c r="Z14" s="182"/>
      <c r="AA14" s="182"/>
      <c r="AB14" s="182"/>
      <c r="AC14" s="177"/>
    </row>
    <row r="15" spans="2:29" x14ac:dyDescent="0.35">
      <c r="B15" s="92" t="s">
        <v>571</v>
      </c>
      <c r="C15" s="96"/>
      <c r="D15" s="861"/>
      <c r="E15" s="96"/>
      <c r="F15" s="588"/>
      <c r="G15" s="588"/>
      <c r="H15" s="575">
        <f t="shared" ref="H15:AC15" si="4">SUM(H16:H25)</f>
        <v>0</v>
      </c>
      <c r="I15" s="575">
        <f t="shared" si="4"/>
        <v>0</v>
      </c>
      <c r="J15" s="575">
        <f t="shared" si="4"/>
        <v>412.6</v>
      </c>
      <c r="K15" s="575">
        <f t="shared" si="4"/>
        <v>307.10000000000002</v>
      </c>
      <c r="L15" s="575">
        <f t="shared" si="4"/>
        <v>292.10000000000002</v>
      </c>
      <c r="M15" s="575">
        <f t="shared" si="4"/>
        <v>145.30000000000001</v>
      </c>
      <c r="N15" s="575">
        <f t="shared" si="4"/>
        <v>193.50000000000003</v>
      </c>
      <c r="O15" s="957">
        <f t="shared" si="4"/>
        <v>185.43798000000004</v>
      </c>
      <c r="P15" s="585" t="e">
        <f t="shared" si="4"/>
        <v>#DIV/0!</v>
      </c>
      <c r="Q15" s="585" t="e">
        <f t="shared" si="4"/>
        <v>#DIV/0!</v>
      </c>
      <c r="R15" s="585" t="e">
        <f t="shared" si="4"/>
        <v>#DIV/0!</v>
      </c>
      <c r="S15" s="585" t="e">
        <f t="shared" si="4"/>
        <v>#DIV/0!</v>
      </c>
      <c r="T15" s="585">
        <f t="shared" si="4"/>
        <v>12.362</v>
      </c>
      <c r="U15" s="585">
        <f t="shared" si="4"/>
        <v>12.362</v>
      </c>
      <c r="V15" s="585">
        <f t="shared" si="4"/>
        <v>12.362</v>
      </c>
      <c r="W15" s="585">
        <f t="shared" si="4"/>
        <v>12.362</v>
      </c>
      <c r="X15" s="585">
        <f t="shared" si="4"/>
        <v>-0.67500000000000004</v>
      </c>
      <c r="Y15" s="585">
        <f t="shared" si="4"/>
        <v>-0.67500000000000004</v>
      </c>
      <c r="Z15" s="585">
        <f t="shared" si="4"/>
        <v>-0.67500000000000004</v>
      </c>
      <c r="AA15" s="585">
        <f t="shared" si="4"/>
        <v>-0.67500000000000004</v>
      </c>
      <c r="AB15" s="585">
        <f t="shared" si="4"/>
        <v>0</v>
      </c>
      <c r="AC15" s="974">
        <f t="shared" si="4"/>
        <v>0</v>
      </c>
    </row>
    <row r="16" spans="2:29" x14ac:dyDescent="0.35">
      <c r="B16" s="144" t="s">
        <v>195</v>
      </c>
      <c r="C16" s="261" t="s">
        <v>572</v>
      </c>
      <c r="D16" s="590"/>
      <c r="E16" s="261"/>
      <c r="F16" s="575"/>
      <c r="G16" s="575"/>
      <c r="H16" s="265">
        <f>'Haver Pivoted'!GS53</f>
        <v>0</v>
      </c>
      <c r="I16" s="265">
        <f>'Haver Pivoted'!GT53</f>
        <v>0</v>
      </c>
      <c r="J16" s="265">
        <f>'Haver Pivoted'!GU53</f>
        <v>16.899999999999999</v>
      </c>
      <c r="K16" s="265">
        <f>'Haver Pivoted'!GV53</f>
        <v>18.399999999999999</v>
      </c>
      <c r="L16" s="265">
        <f>'Haver Pivoted'!GW53</f>
        <v>46.2</v>
      </c>
      <c r="M16" s="265">
        <f>'Haver Pivoted'!GX53</f>
        <v>0.9</v>
      </c>
      <c r="N16" s="265">
        <f>'Haver Pivoted'!GY53</f>
        <v>14.3</v>
      </c>
      <c r="O16" s="958">
        <f>'Haver Pivoted'!GZ53</f>
        <v>0</v>
      </c>
      <c r="P16" s="395"/>
      <c r="Q16" s="395"/>
      <c r="R16" s="395"/>
      <c r="S16" s="395"/>
      <c r="T16" s="395"/>
      <c r="U16" s="395"/>
      <c r="V16" s="251"/>
      <c r="W16" s="251"/>
      <c r="X16" s="251"/>
      <c r="Y16" s="251"/>
      <c r="Z16" s="182"/>
      <c r="AA16" s="182"/>
      <c r="AB16" s="182"/>
      <c r="AC16" s="177"/>
    </row>
    <row r="17" spans="2:29" x14ac:dyDescent="0.35">
      <c r="B17" s="144" t="s">
        <v>193</v>
      </c>
      <c r="C17" s="261" t="s">
        <v>573</v>
      </c>
      <c r="D17" s="590"/>
      <c r="E17" s="261"/>
      <c r="F17" s="575"/>
      <c r="G17" s="575"/>
      <c r="H17" s="265">
        <f>'Haver Pivoted'!GS51</f>
        <v>0</v>
      </c>
      <c r="I17" s="265">
        <f>'Haver Pivoted'!GT51</f>
        <v>0</v>
      </c>
      <c r="J17" s="265">
        <f>'Haver Pivoted'!GU51</f>
        <v>73.3</v>
      </c>
      <c r="K17" s="265">
        <f>'Haver Pivoted'!GV51</f>
        <v>73.3</v>
      </c>
      <c r="L17" s="265">
        <f>'Haver Pivoted'!GW51</f>
        <v>73.3</v>
      </c>
      <c r="M17" s="265">
        <f>'Haver Pivoted'!GX51</f>
        <v>62.9</v>
      </c>
      <c r="N17" s="265">
        <f>'Haver Pivoted'!GY51</f>
        <v>62.9</v>
      </c>
      <c r="O17" s="958">
        <f>'Haver Pivoted'!GZ51</f>
        <v>0</v>
      </c>
      <c r="P17" s="395">
        <f>P34</f>
        <v>7.1439999999999992</v>
      </c>
      <c r="Q17" s="395">
        <f t="shared" ref="Q17:AC17" si="5">Q34</f>
        <v>7.1439999999999992</v>
      </c>
      <c r="R17" s="395">
        <f t="shared" si="5"/>
        <v>7.1439999999999992</v>
      </c>
      <c r="S17" s="395">
        <f t="shared" si="5"/>
        <v>7.1439999999999992</v>
      </c>
      <c r="T17" s="395">
        <f t="shared" si="5"/>
        <v>0</v>
      </c>
      <c r="U17" s="395">
        <f t="shared" si="5"/>
        <v>0</v>
      </c>
      <c r="V17" s="395">
        <f t="shared" si="5"/>
        <v>0</v>
      </c>
      <c r="W17" s="395">
        <f t="shared" si="5"/>
        <v>0</v>
      </c>
      <c r="X17" s="395">
        <f t="shared" si="5"/>
        <v>0</v>
      </c>
      <c r="Y17" s="395">
        <f t="shared" si="5"/>
        <v>0</v>
      </c>
      <c r="Z17" s="395">
        <f t="shared" si="5"/>
        <v>0</v>
      </c>
      <c r="AA17" s="395">
        <f t="shared" si="5"/>
        <v>0</v>
      </c>
      <c r="AB17" s="395">
        <f t="shared" si="5"/>
        <v>0</v>
      </c>
      <c r="AC17" s="77">
        <f t="shared" si="5"/>
        <v>0</v>
      </c>
    </row>
    <row r="18" spans="2:29" x14ac:dyDescent="0.35">
      <c r="B18" s="144" t="s">
        <v>192</v>
      </c>
      <c r="C18" s="97" t="s">
        <v>574</v>
      </c>
      <c r="D18" s="589"/>
      <c r="E18" s="97"/>
      <c r="F18" s="575"/>
      <c r="G18" s="575"/>
      <c r="H18" s="265">
        <f>'Haver Pivoted'!GS50</f>
        <v>0</v>
      </c>
      <c r="I18" s="265">
        <f>'Haver Pivoted'!GT50</f>
        <v>0</v>
      </c>
      <c r="J18" s="265">
        <f>'Haver Pivoted'!GU50</f>
        <v>63.8</v>
      </c>
      <c r="K18" s="265">
        <f>'Haver Pivoted'!GV50</f>
        <v>15</v>
      </c>
      <c r="L18" s="265">
        <f>'Haver Pivoted'!GW50</f>
        <v>0.1</v>
      </c>
      <c r="M18" s="265">
        <f>'Haver Pivoted'!GX50</f>
        <v>38</v>
      </c>
      <c r="N18" s="265">
        <f>'Haver Pivoted'!GY50</f>
        <v>47.3</v>
      </c>
      <c r="O18" s="958">
        <f>'Haver Pivoted'!GZ50</f>
        <v>0</v>
      </c>
      <c r="P18" s="395">
        <f t="shared" ref="P18:AC18" si="6">P28</f>
        <v>0</v>
      </c>
      <c r="Q18" s="395">
        <f t="shared" si="6"/>
        <v>0</v>
      </c>
      <c r="R18" s="395">
        <f t="shared" si="6"/>
        <v>0</v>
      </c>
      <c r="S18" s="395">
        <f t="shared" si="6"/>
        <v>0</v>
      </c>
      <c r="T18" s="395">
        <f t="shared" si="6"/>
        <v>0</v>
      </c>
      <c r="U18" s="395">
        <f t="shared" si="6"/>
        <v>0</v>
      </c>
      <c r="V18" s="395">
        <f t="shared" si="6"/>
        <v>0</v>
      </c>
      <c r="W18" s="395">
        <f t="shared" si="6"/>
        <v>0</v>
      </c>
      <c r="X18" s="395">
        <f t="shared" si="6"/>
        <v>0</v>
      </c>
      <c r="Y18" s="395">
        <f t="shared" si="6"/>
        <v>0</v>
      </c>
      <c r="Z18" s="395">
        <f t="shared" si="6"/>
        <v>0</v>
      </c>
      <c r="AA18" s="395">
        <f t="shared" si="6"/>
        <v>0</v>
      </c>
      <c r="AB18" s="395">
        <f t="shared" si="6"/>
        <v>0</v>
      </c>
      <c r="AC18" s="77">
        <f t="shared" si="6"/>
        <v>0</v>
      </c>
    </row>
    <row r="19" spans="2:29" x14ac:dyDescent="0.35">
      <c r="B19" s="144" t="s">
        <v>575</v>
      </c>
      <c r="C19" s="97" t="s">
        <v>442</v>
      </c>
      <c r="D19" s="589"/>
      <c r="E19" s="97"/>
      <c r="F19" s="575"/>
      <c r="G19" s="575"/>
      <c r="H19" s="265">
        <f>'Haver Pivoted'!GS54</f>
        <v>0</v>
      </c>
      <c r="I19" s="265">
        <f>'Haver Pivoted'!GT54</f>
        <v>0</v>
      </c>
      <c r="J19" s="265">
        <f>'Haver Pivoted'!GU54</f>
        <v>96.6</v>
      </c>
      <c r="K19" s="265">
        <f>'Haver Pivoted'!GV54</f>
        <v>35.1</v>
      </c>
      <c r="L19" s="265">
        <f>'Haver Pivoted'!GW54</f>
        <v>20.7</v>
      </c>
      <c r="M19" s="265">
        <f>'Haver Pivoted'!GX54</f>
        <v>25.7</v>
      </c>
      <c r="N19" s="265">
        <f>'Haver Pivoted'!GY54</f>
        <v>16</v>
      </c>
      <c r="O19" s="958">
        <f>'Haver Pivoted'!GZ54</f>
        <v>0</v>
      </c>
      <c r="P19" s="395" t="e">
        <f>'Provider Relief'!P13</f>
        <v>#DIV/0!</v>
      </c>
      <c r="Q19" s="395" t="e">
        <f>'Provider Relief'!Q13</f>
        <v>#DIV/0!</v>
      </c>
      <c r="R19" s="395" t="e">
        <f>'Provider Relief'!R13</f>
        <v>#DIV/0!</v>
      </c>
      <c r="S19" s="395" t="e">
        <f>'Provider Relief'!S13</f>
        <v>#DIV/0!</v>
      </c>
      <c r="T19" s="395">
        <f>'Provider Relief'!T13</f>
        <v>0</v>
      </c>
      <c r="U19" s="395"/>
      <c r="V19" s="395"/>
      <c r="W19" s="395"/>
      <c r="X19" s="395"/>
      <c r="Y19" s="395"/>
      <c r="Z19" s="182"/>
      <c r="AA19" s="182"/>
      <c r="AB19" s="182"/>
      <c r="AC19" s="177"/>
    </row>
    <row r="20" spans="2:29" x14ac:dyDescent="0.35">
      <c r="B20" s="144" t="s">
        <v>194</v>
      </c>
      <c r="C20" s="97" t="s">
        <v>576</v>
      </c>
      <c r="D20" s="589"/>
      <c r="E20" s="97"/>
      <c r="F20" s="575"/>
      <c r="G20" s="575"/>
      <c r="H20" s="265">
        <f>'Haver Pivoted'!GS52</f>
        <v>0</v>
      </c>
      <c r="I20" s="265">
        <f>'Haver Pivoted'!GT52</f>
        <v>0</v>
      </c>
      <c r="J20" s="265">
        <f>'Haver Pivoted'!GU52</f>
        <v>22</v>
      </c>
      <c r="K20" s="265">
        <f>'Haver Pivoted'!GV52</f>
        <v>25.3</v>
      </c>
      <c r="L20" s="265">
        <f>'Haver Pivoted'!GW52</f>
        <v>11.8</v>
      </c>
      <c r="M20" s="265">
        <f>'Haver Pivoted'!GX52</f>
        <v>9.8000000000000007</v>
      </c>
      <c r="N20" s="265">
        <f>'Haver Pivoted'!GY52</f>
        <v>12.3</v>
      </c>
      <c r="O20" s="958">
        <f>'Haver Pivoted'!GZ52</f>
        <v>0</v>
      </c>
      <c r="P20" s="395">
        <f t="shared" ref="P20:AC20" si="7">P35</f>
        <v>5.6120000000000001</v>
      </c>
      <c r="Q20" s="395">
        <f t="shared" si="7"/>
        <v>5.6120000000000001</v>
      </c>
      <c r="R20" s="395">
        <f t="shared" si="7"/>
        <v>5.6120000000000001</v>
      </c>
      <c r="S20" s="395">
        <f t="shared" si="7"/>
        <v>5.6120000000000001</v>
      </c>
      <c r="T20" s="395">
        <f t="shared" si="7"/>
        <v>0.48599999999999993</v>
      </c>
      <c r="U20" s="395">
        <f t="shared" si="7"/>
        <v>0.48599999999999993</v>
      </c>
      <c r="V20" s="395">
        <f t="shared" si="7"/>
        <v>0.48599999999999993</v>
      </c>
      <c r="W20" s="395">
        <f t="shared" si="7"/>
        <v>0.48599999999999993</v>
      </c>
      <c r="X20" s="395">
        <f t="shared" si="7"/>
        <v>0</v>
      </c>
      <c r="Y20" s="395">
        <f t="shared" si="7"/>
        <v>0</v>
      </c>
      <c r="Z20" s="395">
        <f t="shared" si="7"/>
        <v>0</v>
      </c>
      <c r="AA20" s="395">
        <f t="shared" si="7"/>
        <v>0</v>
      </c>
      <c r="AB20" s="395">
        <f t="shared" si="7"/>
        <v>0</v>
      </c>
      <c r="AC20" s="77">
        <f t="shared" si="7"/>
        <v>0</v>
      </c>
    </row>
    <row r="21" spans="2:29" x14ac:dyDescent="0.35">
      <c r="B21" s="144" t="s">
        <v>198</v>
      </c>
      <c r="C21" s="97" t="s">
        <v>577</v>
      </c>
      <c r="D21" s="589"/>
      <c r="E21" s="97"/>
      <c r="F21" s="575"/>
      <c r="G21" s="575"/>
      <c r="H21" s="265">
        <f>'Haver Pivoted'!GS55</f>
        <v>0</v>
      </c>
      <c r="I21" s="265">
        <f>'Haver Pivoted'!GT55</f>
        <v>0</v>
      </c>
      <c r="J21" s="265">
        <f>'Haver Pivoted'!GU55</f>
        <v>140</v>
      </c>
      <c r="K21" s="265">
        <f>'Haver Pivoted'!GV55</f>
        <v>140</v>
      </c>
      <c r="L21" s="265">
        <f>'Haver Pivoted'!GW55</f>
        <v>140</v>
      </c>
      <c r="M21" s="265">
        <f>'Haver Pivoted'!GX55</f>
        <v>8</v>
      </c>
      <c r="N21" s="265">
        <f>'Haver Pivoted'!GY55</f>
        <v>8</v>
      </c>
      <c r="O21" s="958">
        <f>'Haver Pivoted'!GZ55</f>
        <v>0</v>
      </c>
      <c r="P21" s="395">
        <f t="shared" ref="P21:AC21" si="8">P36</f>
        <v>1.7329999999999999</v>
      </c>
      <c r="Q21" s="395">
        <f t="shared" si="8"/>
        <v>1.7329999999999999</v>
      </c>
      <c r="R21" s="395">
        <f t="shared" si="8"/>
        <v>1.7329999999999999</v>
      </c>
      <c r="S21" s="395">
        <f t="shared" si="8"/>
        <v>1.7329999999999999</v>
      </c>
      <c r="T21" s="395">
        <f t="shared" si="8"/>
        <v>0</v>
      </c>
      <c r="U21" s="395">
        <f t="shared" si="8"/>
        <v>0</v>
      </c>
      <c r="V21" s="395">
        <f t="shared" si="8"/>
        <v>0</v>
      </c>
      <c r="W21" s="395">
        <f t="shared" si="8"/>
        <v>0</v>
      </c>
      <c r="X21" s="395">
        <f t="shared" si="8"/>
        <v>0</v>
      </c>
      <c r="Y21" s="395">
        <f t="shared" si="8"/>
        <v>0</v>
      </c>
      <c r="Z21" s="395">
        <f t="shared" si="8"/>
        <v>0</v>
      </c>
      <c r="AA21" s="395">
        <f t="shared" si="8"/>
        <v>0</v>
      </c>
      <c r="AB21" s="395">
        <f t="shared" si="8"/>
        <v>0</v>
      </c>
      <c r="AC21" s="77">
        <f t="shared" si="8"/>
        <v>0</v>
      </c>
    </row>
    <row r="22" spans="2:29" x14ac:dyDescent="0.35">
      <c r="B22" s="915" t="s">
        <v>578</v>
      </c>
      <c r="C22" s="97"/>
      <c r="D22" s="747"/>
      <c r="E22" s="97"/>
      <c r="F22" s="575"/>
      <c r="G22" s="575"/>
      <c r="H22" s="265"/>
      <c r="I22" s="265"/>
      <c r="J22" s="265"/>
      <c r="K22" s="265"/>
      <c r="L22" s="265"/>
      <c r="M22" s="265"/>
      <c r="N22" s="914">
        <v>11.3</v>
      </c>
      <c r="O22" s="975"/>
      <c r="P22" s="395">
        <f t="shared" ref="P22:AC22" si="9">P37+P30</f>
        <v>1.0687500000000001</v>
      </c>
      <c r="Q22" s="395">
        <f t="shared" si="9"/>
        <v>1.0687500000000001</v>
      </c>
      <c r="R22" s="395">
        <f t="shared" si="9"/>
        <v>1.0687500000000001</v>
      </c>
      <c r="S22" s="395">
        <f t="shared" si="9"/>
        <v>1.0687500000000001</v>
      </c>
      <c r="T22" s="395">
        <f t="shared" si="9"/>
        <v>0.78750000000000009</v>
      </c>
      <c r="U22" s="395">
        <f t="shared" si="9"/>
        <v>0.78750000000000009</v>
      </c>
      <c r="V22" s="395">
        <f t="shared" si="9"/>
        <v>0.78750000000000009</v>
      </c>
      <c r="W22" s="395">
        <f t="shared" si="9"/>
        <v>0.78750000000000009</v>
      </c>
      <c r="X22" s="395">
        <f t="shared" si="9"/>
        <v>0</v>
      </c>
      <c r="Y22" s="395">
        <f t="shared" si="9"/>
        <v>0</v>
      </c>
      <c r="Z22" s="395">
        <f t="shared" si="9"/>
        <v>0</v>
      </c>
      <c r="AA22" s="395">
        <f t="shared" si="9"/>
        <v>0</v>
      </c>
      <c r="AB22" s="395">
        <f t="shared" si="9"/>
        <v>0</v>
      </c>
      <c r="AC22" s="77">
        <f t="shared" si="9"/>
        <v>0</v>
      </c>
    </row>
    <row r="23" spans="2:29" x14ac:dyDescent="0.35">
      <c r="B23" s="915" t="s">
        <v>579</v>
      </c>
      <c r="C23" s="97"/>
      <c r="D23" s="589"/>
      <c r="E23" s="97"/>
      <c r="F23" s="575"/>
      <c r="G23" s="575"/>
      <c r="H23" s="265"/>
      <c r="I23" s="265"/>
      <c r="J23" s="265"/>
      <c r="K23" s="265"/>
      <c r="L23" s="265"/>
      <c r="M23" s="265"/>
      <c r="N23" s="914">
        <v>21.4</v>
      </c>
      <c r="O23" s="975">
        <f>O38+O31</f>
        <v>160.92150000000004</v>
      </c>
      <c r="P23" s="395">
        <f t="shared" ref="P23:AC23" si="10">P38+P31</f>
        <v>1.7812500000000002</v>
      </c>
      <c r="Q23" s="395">
        <f t="shared" si="10"/>
        <v>1.7812500000000002</v>
      </c>
      <c r="R23" s="395">
        <f t="shared" si="10"/>
        <v>1.7812500000000002</v>
      </c>
      <c r="S23" s="395">
        <f t="shared" si="10"/>
        <v>1.7812500000000002</v>
      </c>
      <c r="T23" s="395">
        <f t="shared" si="10"/>
        <v>1.3125000000000002</v>
      </c>
      <c r="U23" s="395">
        <f t="shared" si="10"/>
        <v>1.3125000000000002</v>
      </c>
      <c r="V23" s="395">
        <f t="shared" si="10"/>
        <v>1.3125000000000002</v>
      </c>
      <c r="W23" s="395">
        <f t="shared" si="10"/>
        <v>1.3125000000000002</v>
      </c>
      <c r="X23" s="395">
        <f t="shared" si="10"/>
        <v>0</v>
      </c>
      <c r="Y23" s="395">
        <f t="shared" si="10"/>
        <v>0</v>
      </c>
      <c r="Z23" s="395">
        <f t="shared" si="10"/>
        <v>0</v>
      </c>
      <c r="AA23" s="395">
        <f t="shared" si="10"/>
        <v>0</v>
      </c>
      <c r="AB23" s="395">
        <f t="shared" si="10"/>
        <v>0</v>
      </c>
      <c r="AC23" s="77">
        <f t="shared" si="10"/>
        <v>0</v>
      </c>
    </row>
    <row r="24" spans="2:29" x14ac:dyDescent="0.35">
      <c r="B24" s="144" t="s">
        <v>580</v>
      </c>
      <c r="C24" s="97"/>
      <c r="D24" s="589"/>
      <c r="E24" s="97"/>
      <c r="F24" s="575"/>
      <c r="G24" s="575"/>
      <c r="H24" s="265"/>
      <c r="I24" s="265"/>
      <c r="J24" s="265"/>
      <c r="K24" s="265"/>
      <c r="L24" s="265"/>
      <c r="M24" s="265"/>
      <c r="N24" s="265"/>
      <c r="O24" s="634">
        <f>O39+O40</f>
        <v>12.51648</v>
      </c>
      <c r="P24" s="395">
        <f t="shared" ref="P24:AC24" si="11">P39+P40</f>
        <v>92.908999999999992</v>
      </c>
      <c r="Q24" s="395">
        <f t="shared" si="11"/>
        <v>92.908999999999992</v>
      </c>
      <c r="R24" s="395">
        <f t="shared" si="11"/>
        <v>92.908999999999992</v>
      </c>
      <c r="S24" s="395">
        <f t="shared" si="11"/>
        <v>92.908999999999992</v>
      </c>
      <c r="T24" s="395">
        <f t="shared" si="11"/>
        <v>9.7759999999999998</v>
      </c>
      <c r="U24" s="395">
        <f t="shared" si="11"/>
        <v>9.7759999999999998</v>
      </c>
      <c r="V24" s="395">
        <f t="shared" si="11"/>
        <v>9.7759999999999998</v>
      </c>
      <c r="W24" s="395">
        <f t="shared" si="11"/>
        <v>9.7759999999999998</v>
      </c>
      <c r="X24" s="395">
        <f t="shared" si="11"/>
        <v>-0.67500000000000004</v>
      </c>
      <c r="Y24" s="395">
        <f t="shared" si="11"/>
        <v>-0.67500000000000004</v>
      </c>
      <c r="Z24" s="395">
        <f t="shared" si="11"/>
        <v>-0.67500000000000004</v>
      </c>
      <c r="AA24" s="395">
        <f t="shared" si="11"/>
        <v>-0.67500000000000004</v>
      </c>
      <c r="AB24" s="395">
        <f t="shared" si="11"/>
        <v>0</v>
      </c>
      <c r="AC24" s="77">
        <f t="shared" si="11"/>
        <v>0</v>
      </c>
    </row>
    <row r="25" spans="2:29" x14ac:dyDescent="0.35">
      <c r="B25" s="144" t="s">
        <v>581</v>
      </c>
      <c r="C25" s="97"/>
      <c r="D25" s="589"/>
      <c r="E25" s="97"/>
      <c r="F25" s="76"/>
      <c r="G25" s="76"/>
      <c r="H25" s="88"/>
      <c r="I25" s="88"/>
      <c r="J25" s="88"/>
      <c r="K25" s="88"/>
      <c r="L25" s="88"/>
      <c r="M25" s="88"/>
      <c r="N25" s="108"/>
      <c r="O25" s="634">
        <f>O32</f>
        <v>12</v>
      </c>
      <c r="P25" s="643">
        <f t="shared" ref="P25:AC25" si="12">P32</f>
        <v>0</v>
      </c>
      <c r="Q25" s="643">
        <f t="shared" si="12"/>
        <v>0</v>
      </c>
      <c r="R25" s="643">
        <f t="shared" si="12"/>
        <v>0</v>
      </c>
      <c r="S25" s="643">
        <f t="shared" si="12"/>
        <v>0</v>
      </c>
      <c r="T25" s="643">
        <f t="shared" si="12"/>
        <v>0</v>
      </c>
      <c r="U25" s="643">
        <f t="shared" si="12"/>
        <v>0</v>
      </c>
      <c r="V25" s="643">
        <f t="shared" si="12"/>
        <v>0</v>
      </c>
      <c r="W25" s="643">
        <f t="shared" si="12"/>
        <v>0</v>
      </c>
      <c r="X25" s="643">
        <f t="shared" si="12"/>
        <v>0</v>
      </c>
      <c r="Y25" s="643">
        <f t="shared" si="12"/>
        <v>0</v>
      </c>
      <c r="Z25" s="643">
        <f t="shared" si="12"/>
        <v>0</v>
      </c>
      <c r="AA25" s="643">
        <f t="shared" si="12"/>
        <v>0</v>
      </c>
      <c r="AB25" s="643">
        <f t="shared" si="12"/>
        <v>0</v>
      </c>
      <c r="AC25" s="704">
        <f t="shared" si="12"/>
        <v>0</v>
      </c>
    </row>
    <row r="26" spans="2:29" ht="15" customHeight="1" x14ac:dyDescent="0.35">
      <c r="B26" s="1118" t="s">
        <v>582</v>
      </c>
      <c r="C26" s="1119"/>
      <c r="D26" s="910"/>
      <c r="E26" s="911"/>
      <c r="F26" s="911"/>
      <c r="G26" s="911"/>
      <c r="H26" s="76"/>
      <c r="I26" s="76"/>
      <c r="J26" s="76"/>
      <c r="K26" s="76"/>
      <c r="L26" s="76"/>
      <c r="M26" s="76"/>
      <c r="N26" s="108"/>
      <c r="O26" s="634"/>
      <c r="P26" s="395"/>
      <c r="Q26" s="395"/>
      <c r="R26" s="395"/>
      <c r="S26" s="395"/>
      <c r="T26" s="395"/>
      <c r="U26" s="395"/>
      <c r="V26" s="182"/>
      <c r="W26" s="182"/>
      <c r="X26" s="182"/>
      <c r="Y26" s="182"/>
      <c r="Z26" s="182"/>
      <c r="AA26" s="182"/>
      <c r="AB26" s="182"/>
      <c r="AC26" s="177"/>
    </row>
    <row r="27" spans="2:29" x14ac:dyDescent="0.35">
      <c r="B27" s="92" t="s">
        <v>583</v>
      </c>
      <c r="C27" s="39"/>
      <c r="D27" s="56"/>
      <c r="E27" s="39"/>
      <c r="F27" s="88"/>
      <c r="G27" s="88"/>
      <c r="H27" s="108"/>
      <c r="I27" s="108"/>
      <c r="J27" s="108"/>
      <c r="K27" s="108"/>
      <c r="L27" s="108"/>
      <c r="M27" s="108"/>
      <c r="N27" s="108">
        <f>SUM(N28:N32)</f>
        <v>23</v>
      </c>
      <c r="O27" s="634">
        <f>SUM(O28:O32)</f>
        <v>162</v>
      </c>
      <c r="P27" s="395"/>
      <c r="Q27" s="395"/>
      <c r="R27" s="395"/>
      <c r="S27" s="395"/>
      <c r="T27" s="395"/>
      <c r="U27" s="395"/>
      <c r="V27" s="182"/>
      <c r="W27" s="182"/>
      <c r="X27" s="182"/>
      <c r="Y27" s="182"/>
      <c r="Z27" s="182"/>
      <c r="AA27" s="182"/>
      <c r="AB27" s="182"/>
      <c r="AC27" s="177"/>
    </row>
    <row r="28" spans="2:29" x14ac:dyDescent="0.35">
      <c r="B28" s="81" t="s">
        <v>584</v>
      </c>
      <c r="C28" s="39"/>
      <c r="D28" s="56"/>
      <c r="E28" s="39"/>
      <c r="F28" s="88"/>
      <c r="G28" s="88"/>
      <c r="H28" s="108"/>
      <c r="I28" s="108"/>
      <c r="J28" s="108"/>
      <c r="K28" s="108"/>
      <c r="L28" s="912"/>
      <c r="M28" s="108"/>
      <c r="N28" s="108">
        <f>(4*'Response and Relief Act Score'!$F$15-$M$18)/2</f>
        <v>11</v>
      </c>
      <c r="O28" s="634">
        <f>(4*'Response and Relief Act Score'!$F$15-$M$18)/2</f>
        <v>11</v>
      </c>
      <c r="P28" s="395"/>
      <c r="Q28" s="395"/>
      <c r="R28" s="395"/>
      <c r="S28" s="395"/>
      <c r="T28" s="395"/>
      <c r="U28" s="395"/>
      <c r="V28" s="182"/>
      <c r="W28" s="182"/>
      <c r="X28" s="182"/>
      <c r="Y28" s="182"/>
      <c r="Z28" s="182"/>
      <c r="AA28" s="182"/>
      <c r="AB28" s="182"/>
      <c r="AC28" s="177"/>
    </row>
    <row r="29" spans="2:29" x14ac:dyDescent="0.35">
      <c r="B29" s="81" t="s">
        <v>581</v>
      </c>
      <c r="C29" s="39"/>
      <c r="D29" s="56"/>
      <c r="E29" s="39"/>
      <c r="F29" s="88"/>
      <c r="G29" s="88"/>
      <c r="H29" s="108"/>
      <c r="I29" s="108"/>
      <c r="J29" s="108"/>
      <c r="K29" s="108"/>
      <c r="L29" s="912"/>
      <c r="M29" s="108"/>
      <c r="N29" s="108"/>
      <c r="O29" s="634"/>
      <c r="P29" s="395"/>
      <c r="Q29" s="395"/>
      <c r="R29" s="395"/>
      <c r="S29" s="395"/>
      <c r="T29" s="395"/>
      <c r="U29" s="395"/>
      <c r="V29" s="182"/>
      <c r="W29" s="182"/>
      <c r="X29" s="182"/>
      <c r="Y29" s="182"/>
      <c r="Z29" s="182"/>
      <c r="AA29" s="182"/>
      <c r="AB29" s="182"/>
      <c r="AC29" s="177"/>
    </row>
    <row r="30" spans="2:29" x14ac:dyDescent="0.35">
      <c r="B30" s="213" t="s">
        <v>578</v>
      </c>
      <c r="C30" s="39"/>
      <c r="D30" s="56"/>
      <c r="E30" s="39"/>
      <c r="F30" s="88"/>
      <c r="G30" s="88"/>
      <c r="H30" s="108"/>
      <c r="I30" s="108"/>
      <c r="J30" s="108"/>
      <c r="K30" s="108"/>
      <c r="L30" s="108"/>
      <c r="M30" s="108"/>
      <c r="N30" s="108"/>
      <c r="O30" s="634">
        <v>79</v>
      </c>
      <c r="P30" s="395"/>
      <c r="Q30" s="78"/>
      <c r="R30" s="78"/>
      <c r="S30" s="78"/>
      <c r="T30" s="78"/>
      <c r="U30" s="78"/>
      <c r="V30" s="182"/>
      <c r="W30" s="182"/>
      <c r="X30" s="182"/>
      <c r="Y30" s="182"/>
      <c r="Z30" s="182"/>
      <c r="AA30" s="182"/>
      <c r="AB30" s="182"/>
      <c r="AC30" s="177"/>
    </row>
    <row r="31" spans="2:29" x14ac:dyDescent="0.35">
      <c r="B31" s="217" t="s">
        <v>585</v>
      </c>
      <c r="C31" s="39"/>
      <c r="D31" s="56"/>
      <c r="E31" s="39"/>
      <c r="F31" s="88"/>
      <c r="G31" s="88"/>
      <c r="H31" s="108"/>
      <c r="I31" s="108"/>
      <c r="J31" s="108"/>
      <c r="K31" s="108"/>
      <c r="L31" s="108"/>
      <c r="M31" s="108"/>
      <c r="N31" s="108"/>
      <c r="O31" s="634">
        <f>'Response and Relief Act Score'!F13*4</f>
        <v>60</v>
      </c>
      <c r="P31" s="395"/>
      <c r="Q31" s="78"/>
      <c r="R31" s="78"/>
      <c r="S31" s="78"/>
      <c r="T31" s="78"/>
      <c r="U31" s="78"/>
      <c r="V31" s="182"/>
      <c r="W31" s="182"/>
      <c r="X31" s="182"/>
      <c r="Y31" s="182"/>
      <c r="Z31" s="182"/>
      <c r="AA31" s="182"/>
      <c r="AB31" s="182"/>
      <c r="AC31" s="177"/>
    </row>
    <row r="32" spans="2:29" ht="28" x14ac:dyDescent="0.35">
      <c r="B32" s="217" t="s">
        <v>586</v>
      </c>
      <c r="C32" s="39"/>
      <c r="D32" s="56"/>
      <c r="E32" s="39"/>
      <c r="F32" s="88"/>
      <c r="G32" s="88"/>
      <c r="H32" s="108"/>
      <c r="I32" s="108"/>
      <c r="J32" s="108"/>
      <c r="K32" s="108"/>
      <c r="L32" s="912"/>
      <c r="M32" s="108"/>
      <c r="N32" s="108">
        <f>'Response and Relief Act Score'!F14*4/2</f>
        <v>12</v>
      </c>
      <c r="O32" s="634">
        <f>'Response and Relief Act Score'!F14*4/2</f>
        <v>12</v>
      </c>
      <c r="P32" s="395"/>
      <c r="Q32" s="395"/>
      <c r="R32" s="395"/>
      <c r="S32" s="395"/>
      <c r="T32" s="395"/>
      <c r="U32" s="395"/>
      <c r="V32" s="182"/>
      <c r="W32" s="182"/>
      <c r="X32" s="182"/>
      <c r="Y32" s="182"/>
      <c r="Z32" s="182"/>
      <c r="AA32" s="182"/>
      <c r="AB32" s="182"/>
      <c r="AC32" s="177"/>
    </row>
    <row r="33" spans="1:78" x14ac:dyDescent="0.35">
      <c r="B33" s="1116" t="s">
        <v>587</v>
      </c>
      <c r="C33" s="1117"/>
      <c r="D33" s="56"/>
      <c r="E33" s="39"/>
      <c r="F33" s="88"/>
      <c r="G33" s="88"/>
      <c r="H33" s="108"/>
      <c r="I33" s="108"/>
      <c r="J33" s="108"/>
      <c r="K33" s="108"/>
      <c r="L33" s="912"/>
      <c r="M33" s="108"/>
      <c r="N33" s="108"/>
      <c r="O33" s="634"/>
      <c r="P33" s="641"/>
      <c r="Q33" s="641"/>
      <c r="R33" s="641"/>
      <c r="S33" s="641"/>
      <c r="T33" s="641"/>
      <c r="U33" s="641"/>
      <c r="V33" s="644"/>
      <c r="W33" s="644"/>
      <c r="X33" s="644"/>
      <c r="Y33" s="644"/>
      <c r="Z33" s="644"/>
      <c r="AA33" s="644"/>
      <c r="AB33" s="644"/>
      <c r="AC33" s="369"/>
    </row>
    <row r="34" spans="1:78" ht="13.5" customHeight="1" x14ac:dyDescent="0.35">
      <c r="B34" s="217" t="s">
        <v>193</v>
      </c>
      <c r="C34" s="39"/>
      <c r="D34" s="56"/>
      <c r="E34" s="39"/>
      <c r="F34" s="88"/>
      <c r="G34" s="88"/>
      <c r="H34" s="108"/>
      <c r="I34" s="108"/>
      <c r="J34" s="108"/>
      <c r="K34" s="108"/>
      <c r="L34" s="912"/>
      <c r="M34" s="108">
        <f>'ARP Quarterly'!C18</f>
        <v>0</v>
      </c>
      <c r="N34" s="108">
        <f>'ARP Quarterly'!D18</f>
        <v>2.2132800000000001</v>
      </c>
      <c r="O34" s="634">
        <f>'ARP Quarterly'!E18</f>
        <v>10.082720000000002</v>
      </c>
      <c r="P34" s="395">
        <f>'ARP Quarterly'!F18</f>
        <v>7.1439999999999992</v>
      </c>
      <c r="Q34" s="395">
        <f>'ARP Quarterly'!G18</f>
        <v>7.1439999999999992</v>
      </c>
      <c r="R34" s="395">
        <f>'ARP Quarterly'!H18</f>
        <v>7.1439999999999992</v>
      </c>
      <c r="S34" s="395">
        <f>'ARP Quarterly'!I18</f>
        <v>7.1439999999999992</v>
      </c>
      <c r="T34" s="395">
        <f>'ARP Quarterly'!J18</f>
        <v>0</v>
      </c>
      <c r="U34" s="395">
        <f>'ARP Quarterly'!K18</f>
        <v>0</v>
      </c>
      <c r="V34" s="395">
        <f>'ARP Quarterly'!L18</f>
        <v>0</v>
      </c>
      <c r="W34" s="395">
        <f>'ARP Quarterly'!M18</f>
        <v>0</v>
      </c>
      <c r="X34" s="395">
        <f>'ARP Quarterly'!N18</f>
        <v>0</v>
      </c>
      <c r="Y34" s="395">
        <f>'ARP Quarterly'!O18</f>
        <v>0</v>
      </c>
      <c r="Z34" s="395">
        <f>'ARP Quarterly'!P18</f>
        <v>0</v>
      </c>
      <c r="AA34" s="395">
        <f>'ARP Quarterly'!Q18</f>
        <v>0</v>
      </c>
      <c r="AB34" s="395">
        <f>'ARP Quarterly'!R18</f>
        <v>0</v>
      </c>
      <c r="AC34" s="77">
        <f>'ARP Quarterly'!S18</f>
        <v>0</v>
      </c>
    </row>
    <row r="35" spans="1:78" x14ac:dyDescent="0.35">
      <c r="B35" s="217" t="s">
        <v>588</v>
      </c>
      <c r="C35" s="39"/>
      <c r="D35" s="56"/>
      <c r="E35" s="39"/>
      <c r="F35" s="88"/>
      <c r="G35" s="88"/>
      <c r="H35" s="108"/>
      <c r="I35" s="108"/>
      <c r="J35" s="108"/>
      <c r="K35" s="108"/>
      <c r="L35" s="912"/>
      <c r="M35" s="108">
        <f>'ARP Quarterly'!C19</f>
        <v>0</v>
      </c>
      <c r="N35" s="108">
        <f>'ARP Quarterly'!D19</f>
        <v>15.128640000000001</v>
      </c>
      <c r="O35" s="634">
        <f>'ARP Quarterly'!E19</f>
        <v>68.919360000000012</v>
      </c>
      <c r="P35" s="395">
        <f>'ARP Quarterly'!F19</f>
        <v>5.6120000000000001</v>
      </c>
      <c r="Q35" s="395">
        <f>'ARP Quarterly'!G19</f>
        <v>5.6120000000000001</v>
      </c>
      <c r="R35" s="395">
        <f>'ARP Quarterly'!H19</f>
        <v>5.6120000000000001</v>
      </c>
      <c r="S35" s="395">
        <f>'ARP Quarterly'!I19</f>
        <v>5.6120000000000001</v>
      </c>
      <c r="T35" s="395">
        <f>'ARP Quarterly'!J19</f>
        <v>0.48599999999999993</v>
      </c>
      <c r="U35" s="395">
        <f>'ARP Quarterly'!K19</f>
        <v>0.48599999999999993</v>
      </c>
      <c r="V35" s="395">
        <f>'ARP Quarterly'!L19</f>
        <v>0.48599999999999993</v>
      </c>
      <c r="W35" s="395">
        <f>'ARP Quarterly'!M19</f>
        <v>0.48599999999999993</v>
      </c>
      <c r="X35" s="395">
        <f>'ARP Quarterly'!N19</f>
        <v>0</v>
      </c>
      <c r="Y35" s="395">
        <f>'ARP Quarterly'!O19</f>
        <v>0</v>
      </c>
      <c r="Z35" s="395">
        <f>'ARP Quarterly'!P19</f>
        <v>0</v>
      </c>
      <c r="AA35" s="395">
        <f>'ARP Quarterly'!Q19</f>
        <v>0</v>
      </c>
      <c r="AB35" s="395">
        <f>'ARP Quarterly'!R19</f>
        <v>0</v>
      </c>
      <c r="AC35" s="77">
        <f>'ARP Quarterly'!S19</f>
        <v>0</v>
      </c>
    </row>
    <row r="36" spans="1:78" x14ac:dyDescent="0.35">
      <c r="B36" s="217" t="s">
        <v>198</v>
      </c>
      <c r="C36" s="39"/>
      <c r="D36" s="56"/>
      <c r="E36" s="39"/>
      <c r="F36" s="88"/>
      <c r="G36" s="88"/>
      <c r="H36" s="108"/>
      <c r="I36" s="108"/>
      <c r="J36" s="108"/>
      <c r="K36" s="108"/>
      <c r="L36" s="912"/>
      <c r="M36" s="108">
        <f>'ARP Quarterly'!C20</f>
        <v>0</v>
      </c>
      <c r="N36" s="108">
        <f>'ARP Quarterly'!D20</f>
        <v>3.2479199999999997</v>
      </c>
      <c r="O36" s="634">
        <f>'ARP Quarterly'!E20</f>
        <v>14.796080000000002</v>
      </c>
      <c r="P36" s="395">
        <f>'ARP Quarterly'!F20</f>
        <v>1.7329999999999999</v>
      </c>
      <c r="Q36" s="395">
        <f>'ARP Quarterly'!G20</f>
        <v>1.7329999999999999</v>
      </c>
      <c r="R36" s="395">
        <f>'ARP Quarterly'!H20</f>
        <v>1.7329999999999999</v>
      </c>
      <c r="S36" s="395">
        <f>'ARP Quarterly'!I20</f>
        <v>1.7329999999999999</v>
      </c>
      <c r="T36" s="395">
        <f>'ARP Quarterly'!J20</f>
        <v>0</v>
      </c>
      <c r="U36" s="395">
        <f>'ARP Quarterly'!K20</f>
        <v>0</v>
      </c>
      <c r="V36" s="395">
        <f>'ARP Quarterly'!L20</f>
        <v>0</v>
      </c>
      <c r="W36" s="395">
        <f>'ARP Quarterly'!M20</f>
        <v>0</v>
      </c>
      <c r="X36" s="395">
        <f>'ARP Quarterly'!N20</f>
        <v>0</v>
      </c>
      <c r="Y36" s="395">
        <f>'ARP Quarterly'!O20</f>
        <v>0</v>
      </c>
      <c r="Z36" s="395">
        <f>'ARP Quarterly'!P20</f>
        <v>0</v>
      </c>
      <c r="AA36" s="395">
        <f>'ARP Quarterly'!Q20</f>
        <v>0</v>
      </c>
      <c r="AB36" s="395">
        <f>'ARP Quarterly'!R20</f>
        <v>0</v>
      </c>
      <c r="AC36" s="77">
        <f>'ARP Quarterly'!S20</f>
        <v>0</v>
      </c>
    </row>
    <row r="37" spans="1:78" x14ac:dyDescent="0.35">
      <c r="B37" s="217" t="s">
        <v>578</v>
      </c>
      <c r="C37" s="39"/>
      <c r="D37" s="56"/>
      <c r="E37" s="39"/>
      <c r="F37" s="88"/>
      <c r="G37" s="88"/>
      <c r="H37" s="108"/>
      <c r="I37" s="108"/>
      <c r="J37" s="108"/>
      <c r="K37" s="108"/>
      <c r="L37" s="912"/>
      <c r="M37" s="108">
        <f>'ARP Quarterly'!C21</f>
        <v>0</v>
      </c>
      <c r="N37" s="108">
        <f>'ARP Quarterly'!D21</f>
        <v>13.2921</v>
      </c>
      <c r="O37" s="634">
        <f>'ARP Quarterly'!E21</f>
        <v>60.552900000000008</v>
      </c>
      <c r="P37" s="395">
        <f>'ARP Quarterly'!F21</f>
        <v>1.0687500000000001</v>
      </c>
      <c r="Q37" s="395">
        <f>'ARP Quarterly'!G21</f>
        <v>1.0687500000000001</v>
      </c>
      <c r="R37" s="395">
        <f>'ARP Quarterly'!H21</f>
        <v>1.0687500000000001</v>
      </c>
      <c r="S37" s="395">
        <f>'ARP Quarterly'!I21</f>
        <v>1.0687500000000001</v>
      </c>
      <c r="T37" s="395">
        <f>'ARP Quarterly'!J21</f>
        <v>0.78750000000000009</v>
      </c>
      <c r="U37" s="395">
        <f>'ARP Quarterly'!K21</f>
        <v>0.78750000000000009</v>
      </c>
      <c r="V37" s="395">
        <f>'ARP Quarterly'!L21</f>
        <v>0.78750000000000009</v>
      </c>
      <c r="W37" s="395">
        <f>'ARP Quarterly'!M21</f>
        <v>0.78750000000000009</v>
      </c>
      <c r="X37" s="395">
        <f>'ARP Quarterly'!N21</f>
        <v>0</v>
      </c>
      <c r="Y37" s="395">
        <f>'ARP Quarterly'!O21</f>
        <v>0</v>
      </c>
      <c r="Z37" s="395">
        <f>'ARP Quarterly'!P21</f>
        <v>0</v>
      </c>
      <c r="AA37" s="395">
        <f>'ARP Quarterly'!Q21</f>
        <v>0</v>
      </c>
      <c r="AB37" s="395">
        <f>'ARP Quarterly'!R21</f>
        <v>0</v>
      </c>
      <c r="AC37" s="77">
        <f>'ARP Quarterly'!S21</f>
        <v>0</v>
      </c>
    </row>
    <row r="38" spans="1:78" ht="30" customHeight="1" x14ac:dyDescent="0.35">
      <c r="B38" s="217" t="s">
        <v>589</v>
      </c>
      <c r="C38" s="39"/>
      <c r="D38" s="56"/>
      <c r="E38" s="39"/>
      <c r="F38" s="88"/>
      <c r="G38" s="88"/>
      <c r="H38" s="108"/>
      <c r="I38" s="108"/>
      <c r="J38" s="108"/>
      <c r="K38" s="108"/>
      <c r="L38" s="912"/>
      <c r="M38" s="108">
        <f>'ARP Quarterly'!C22</f>
        <v>0</v>
      </c>
      <c r="N38" s="108">
        <f>'ARP Quarterly'!D22</f>
        <v>22.153499999999998</v>
      </c>
      <c r="O38" s="634">
        <f>'ARP Quarterly'!E22</f>
        <v>100.92150000000002</v>
      </c>
      <c r="P38" s="395">
        <f>'ARP Quarterly'!F22</f>
        <v>1.7812500000000002</v>
      </c>
      <c r="Q38" s="395">
        <f>'ARP Quarterly'!G22</f>
        <v>1.7812500000000002</v>
      </c>
      <c r="R38" s="395">
        <f>'ARP Quarterly'!H22</f>
        <v>1.7812500000000002</v>
      </c>
      <c r="S38" s="395">
        <f>'ARP Quarterly'!I22</f>
        <v>1.7812500000000002</v>
      </c>
      <c r="T38" s="395">
        <f>'ARP Quarterly'!J22</f>
        <v>1.3125000000000002</v>
      </c>
      <c r="U38" s="395">
        <f>'ARP Quarterly'!K22</f>
        <v>1.3125000000000002</v>
      </c>
      <c r="V38" s="395">
        <f>'ARP Quarterly'!L22</f>
        <v>1.3125000000000002</v>
      </c>
      <c r="W38" s="395">
        <f>'ARP Quarterly'!M22</f>
        <v>1.3125000000000002</v>
      </c>
      <c r="X38" s="395">
        <f>'ARP Quarterly'!N22</f>
        <v>0</v>
      </c>
      <c r="Y38" s="395">
        <f>'ARP Quarterly'!O22</f>
        <v>0</v>
      </c>
      <c r="Z38" s="395">
        <f>'ARP Quarterly'!P22</f>
        <v>0</v>
      </c>
      <c r="AA38" s="395">
        <f>'ARP Quarterly'!Q22</f>
        <v>0</v>
      </c>
      <c r="AB38" s="395">
        <f>'ARP Quarterly'!R22</f>
        <v>0</v>
      </c>
      <c r="AC38" s="77">
        <f>'ARP Quarterly'!S22</f>
        <v>0</v>
      </c>
    </row>
    <row r="39" spans="1:78" x14ac:dyDescent="0.35">
      <c r="B39" s="217" t="s">
        <v>590</v>
      </c>
      <c r="C39" s="39"/>
      <c r="D39" s="56"/>
      <c r="E39" s="39"/>
      <c r="F39" s="88"/>
      <c r="G39" s="88"/>
      <c r="H39" s="108"/>
      <c r="I39" s="108"/>
      <c r="J39" s="108"/>
      <c r="K39" s="108"/>
      <c r="L39" s="912"/>
      <c r="M39" s="108">
        <f>'ARP Quarterly'!C23</f>
        <v>0</v>
      </c>
      <c r="N39" s="108">
        <f>'ARP Quarterly'!D23</f>
        <v>2.9519999999999995</v>
      </c>
      <c r="O39" s="634">
        <f>'ARP Quarterly'!E23</f>
        <v>13.448</v>
      </c>
      <c r="P39" s="395">
        <f>'ARP Quarterly'!F23</f>
        <v>11.3</v>
      </c>
      <c r="Q39" s="395">
        <f>'ARP Quarterly'!G23</f>
        <v>11.3</v>
      </c>
      <c r="R39" s="395">
        <f>'ARP Quarterly'!H23</f>
        <v>11.3</v>
      </c>
      <c r="S39" s="395">
        <f>'ARP Quarterly'!I23</f>
        <v>11.3</v>
      </c>
      <c r="T39" s="395">
        <f>'ARP Quarterly'!J23</f>
        <v>8.4</v>
      </c>
      <c r="U39" s="395">
        <f>'ARP Quarterly'!K23</f>
        <v>8.4</v>
      </c>
      <c r="V39" s="395">
        <f>'ARP Quarterly'!L23</f>
        <v>8.4</v>
      </c>
      <c r="W39" s="395">
        <f>'ARP Quarterly'!M23</f>
        <v>8.4</v>
      </c>
      <c r="X39" s="395">
        <f>'ARP Quarterly'!N23</f>
        <v>0.2</v>
      </c>
      <c r="Y39" s="395">
        <f>'ARP Quarterly'!O23</f>
        <v>0.2</v>
      </c>
      <c r="Z39" s="395">
        <f>'ARP Quarterly'!P23</f>
        <v>0.2</v>
      </c>
      <c r="AA39" s="395">
        <f>'ARP Quarterly'!Q23</f>
        <v>0.2</v>
      </c>
      <c r="AB39" s="395">
        <f>'ARP Quarterly'!R23</f>
        <v>0</v>
      </c>
      <c r="AC39" s="77">
        <f>'ARP Quarterly'!S23</f>
        <v>0</v>
      </c>
    </row>
    <row r="40" spans="1:78" x14ac:dyDescent="0.35">
      <c r="B40" s="217" t="s">
        <v>591</v>
      </c>
      <c r="C40" s="39"/>
      <c r="D40" s="56"/>
      <c r="E40" s="39"/>
      <c r="F40" s="88"/>
      <c r="G40" s="88"/>
      <c r="H40" s="108"/>
      <c r="I40" s="108"/>
      <c r="J40" s="108"/>
      <c r="K40" s="108"/>
      <c r="L40" s="912"/>
      <c r="M40" s="108">
        <f>'ARP Quarterly'!C24</f>
        <v>0</v>
      </c>
      <c r="N40" s="108">
        <f>'ARP Quarterly'!D24</f>
        <v>-0.20447999999999997</v>
      </c>
      <c r="O40" s="634">
        <f>'ARP Quarterly'!E24</f>
        <v>-0.93152000000000001</v>
      </c>
      <c r="P40" s="395">
        <f>'ARP Quarterly'!F24</f>
        <v>81.608999999999995</v>
      </c>
      <c r="Q40" s="395">
        <f>'ARP Quarterly'!G24</f>
        <v>81.608999999999995</v>
      </c>
      <c r="R40" s="395">
        <f>'ARP Quarterly'!H24</f>
        <v>81.608999999999995</v>
      </c>
      <c r="S40" s="395">
        <f>'ARP Quarterly'!I24</f>
        <v>81.608999999999995</v>
      </c>
      <c r="T40" s="395">
        <f>'ARP Quarterly'!J24</f>
        <v>1.3759999999999999</v>
      </c>
      <c r="U40" s="395">
        <f>'ARP Quarterly'!K24</f>
        <v>1.3759999999999999</v>
      </c>
      <c r="V40" s="395">
        <f>'ARP Quarterly'!L24</f>
        <v>1.3759999999999999</v>
      </c>
      <c r="W40" s="395">
        <f>'ARP Quarterly'!M24</f>
        <v>1.3759999999999999</v>
      </c>
      <c r="X40" s="395">
        <f>'ARP Quarterly'!N24</f>
        <v>-0.87500000000000011</v>
      </c>
      <c r="Y40" s="395">
        <f>'ARP Quarterly'!O24</f>
        <v>-0.87500000000000011</v>
      </c>
      <c r="Z40" s="395">
        <f>'ARP Quarterly'!P24</f>
        <v>-0.87500000000000011</v>
      </c>
      <c r="AA40" s="395">
        <f>'ARP Quarterly'!Q24</f>
        <v>-0.87500000000000011</v>
      </c>
      <c r="AB40" s="395">
        <f>'ARP Quarterly'!R24</f>
        <v>0</v>
      </c>
      <c r="AC40" s="77">
        <f>'ARP Quarterly'!S24</f>
        <v>0</v>
      </c>
    </row>
    <row r="41" spans="1:78" x14ac:dyDescent="0.35">
      <c r="B41" s="217" t="s">
        <v>445</v>
      </c>
      <c r="C41" s="39"/>
      <c r="D41" s="56"/>
      <c r="E41" s="39"/>
      <c r="F41" s="88"/>
      <c r="G41" s="88"/>
      <c r="H41" s="108"/>
      <c r="I41" s="108"/>
      <c r="J41" s="108"/>
      <c r="K41" s="108"/>
      <c r="L41" s="912"/>
      <c r="M41" s="108">
        <f>'ARP Quarterly'!C25</f>
        <v>0</v>
      </c>
      <c r="N41" s="108">
        <f>'ARP Quarterly'!D25</f>
        <v>58.782959999999996</v>
      </c>
      <c r="O41" s="634">
        <f>'ARP Quarterly'!E25</f>
        <v>267.78904000000006</v>
      </c>
      <c r="P41" s="395">
        <f>'ARP Quarterly'!F25</f>
        <v>110.24799999999999</v>
      </c>
      <c r="Q41" s="395">
        <f>'ARP Quarterly'!G25</f>
        <v>110.24799999999999</v>
      </c>
      <c r="R41" s="395">
        <f>'ARP Quarterly'!H25</f>
        <v>110.24799999999999</v>
      </c>
      <c r="S41" s="395">
        <f>'ARP Quarterly'!I25</f>
        <v>110.24799999999999</v>
      </c>
      <c r="T41" s="395">
        <f>'ARP Quarterly'!J25</f>
        <v>12.362</v>
      </c>
      <c r="U41" s="395">
        <f>'ARP Quarterly'!K25</f>
        <v>12.362</v>
      </c>
      <c r="V41" s="395">
        <f>'ARP Quarterly'!L25</f>
        <v>12.362</v>
      </c>
      <c r="W41" s="395">
        <f>'ARP Quarterly'!M25</f>
        <v>12.362</v>
      </c>
      <c r="X41" s="395">
        <f>'ARP Quarterly'!N25</f>
        <v>-0.67500000000000004</v>
      </c>
      <c r="Y41" s="395">
        <f>'ARP Quarterly'!O25</f>
        <v>-0.67500000000000004</v>
      </c>
      <c r="Z41" s="395">
        <f>'ARP Quarterly'!P25</f>
        <v>-0.67500000000000004</v>
      </c>
      <c r="AA41" s="395">
        <f>'ARP Quarterly'!Q25</f>
        <v>-0.67500000000000004</v>
      </c>
      <c r="AB41" s="395">
        <f>'ARP Quarterly'!R25</f>
        <v>0</v>
      </c>
      <c r="AC41" s="77">
        <f>'ARP Quarterly'!S25</f>
        <v>0</v>
      </c>
    </row>
    <row r="42" spans="1:78" x14ac:dyDescent="0.35">
      <c r="B42" s="1116" t="s">
        <v>592</v>
      </c>
      <c r="C42" s="1117"/>
      <c r="D42" s="861"/>
      <c r="E42" s="96"/>
      <c r="F42" s="88"/>
      <c r="G42" s="88"/>
      <c r="H42" s="108"/>
      <c r="I42" s="108"/>
      <c r="J42" s="108"/>
      <c r="K42" s="108"/>
      <c r="L42" s="912"/>
      <c r="M42" s="108"/>
      <c r="N42" s="108"/>
      <c r="O42" s="634"/>
      <c r="P42" s="641"/>
      <c r="Q42" s="641"/>
      <c r="R42" s="641"/>
      <c r="S42" s="641"/>
      <c r="T42" s="641"/>
      <c r="U42" s="641"/>
      <c r="V42" s="644"/>
      <c r="W42" s="644"/>
      <c r="X42" s="644"/>
      <c r="Y42" s="644"/>
      <c r="Z42" s="644"/>
      <c r="AA42" s="644"/>
      <c r="AB42" s="644"/>
      <c r="AC42" s="369"/>
    </row>
    <row r="43" spans="1:78" s="300" customFormat="1" ht="21" customHeight="1" x14ac:dyDescent="0.35">
      <c r="B43" s="301" t="s">
        <v>593</v>
      </c>
      <c r="C43" s="439"/>
      <c r="D43" s="301"/>
      <c r="E43" s="439"/>
      <c r="F43" s="179"/>
      <c r="G43" s="179"/>
      <c r="H43" s="743"/>
      <c r="I43" s="743"/>
      <c r="J43" s="743"/>
      <c r="K43" s="743"/>
      <c r="L43" s="744"/>
      <c r="M43" s="743">
        <f>'ARP Quarterly'!C6</f>
        <v>0</v>
      </c>
      <c r="N43" s="743">
        <f>'ARP Quarterly'!D6</f>
        <v>58.782959999999989</v>
      </c>
      <c r="O43" s="976">
        <f>'ARP Quarterly'!E6</f>
        <v>267.78904</v>
      </c>
      <c r="P43" s="586">
        <f>'ARP Quarterly'!F6</f>
        <v>110.24799999999999</v>
      </c>
      <c r="Q43" s="586">
        <f>'ARP Quarterly'!G6</f>
        <v>110.24799999999999</v>
      </c>
      <c r="R43" s="586">
        <f>'ARP Quarterly'!H6</f>
        <v>110.24799999999999</v>
      </c>
      <c r="S43" s="586">
        <f>'ARP Quarterly'!I6</f>
        <v>110.24799999999999</v>
      </c>
      <c r="T43" s="586">
        <f>'ARP Quarterly'!J6</f>
        <v>12.726000000000001</v>
      </c>
      <c r="U43" s="586">
        <f>'ARP Quarterly'!K6</f>
        <v>12.726000000000001</v>
      </c>
      <c r="V43" s="586">
        <f>'ARP Quarterly'!L6</f>
        <v>12.726000000000001</v>
      </c>
      <c r="W43" s="586">
        <f>'ARP Quarterly'!M6</f>
        <v>12.726000000000001</v>
      </c>
      <c r="X43" s="586">
        <f>'ARP Quarterly'!N6</f>
        <v>1.365</v>
      </c>
      <c r="Y43" s="586">
        <f>'ARP Quarterly'!O6</f>
        <v>1.365</v>
      </c>
      <c r="Z43" s="586">
        <f>'ARP Quarterly'!P6</f>
        <v>1.365</v>
      </c>
      <c r="AA43" s="586">
        <f>'ARP Quarterly'!Q6</f>
        <v>1.365</v>
      </c>
      <c r="AB43" s="586">
        <f>'ARP Quarterly'!R6</f>
        <v>-0.90100000000000025</v>
      </c>
      <c r="AC43" s="977">
        <f>'ARP Quarterly'!S6</f>
        <v>-0.90100000000000025</v>
      </c>
    </row>
    <row r="44" spans="1:78" s="302" customFormat="1" ht="19.5" customHeight="1" x14ac:dyDescent="0.35">
      <c r="A44" s="300"/>
      <c r="B44" s="142" t="s">
        <v>251</v>
      </c>
      <c r="C44" s="143"/>
      <c r="D44" s="142"/>
      <c r="E44" s="143"/>
      <c r="F44" s="668">
        <f t="shared" ref="F44:AC44" si="13">F11-F43</f>
        <v>60.5</v>
      </c>
      <c r="G44" s="668">
        <f t="shared" si="13"/>
        <v>81.400000000000006</v>
      </c>
      <c r="H44" s="668">
        <f t="shared" si="13"/>
        <v>82.2</v>
      </c>
      <c r="I44" s="668">
        <f t="shared" si="13"/>
        <v>80.3</v>
      </c>
      <c r="J44" s="668">
        <f t="shared" si="13"/>
        <v>1123.5999999999999</v>
      </c>
      <c r="K44" s="668">
        <f t="shared" si="13"/>
        <v>1220.5</v>
      </c>
      <c r="L44" s="668">
        <f t="shared" si="13"/>
        <v>618.6</v>
      </c>
      <c r="M44" s="668">
        <f t="shared" si="13"/>
        <v>403.8</v>
      </c>
      <c r="N44" s="668">
        <f t="shared" si="13"/>
        <v>638.21704</v>
      </c>
      <c r="O44" s="913">
        <f t="shared" si="13"/>
        <v>-267.78904</v>
      </c>
      <c r="P44" s="745" t="e">
        <f t="shared" si="13"/>
        <v>#DIV/0!</v>
      </c>
      <c r="Q44" s="745" t="e">
        <f t="shared" si="13"/>
        <v>#DIV/0!</v>
      </c>
      <c r="R44" s="745" t="e">
        <f t="shared" si="13"/>
        <v>#DIV/0!</v>
      </c>
      <c r="S44" s="745" t="e">
        <f t="shared" si="13"/>
        <v>#DIV/0!</v>
      </c>
      <c r="T44" s="745">
        <f t="shared" si="13"/>
        <v>75.736000000000004</v>
      </c>
      <c r="U44" s="745">
        <f t="shared" si="13"/>
        <v>75.736000000000004</v>
      </c>
      <c r="V44" s="745">
        <f t="shared" si="13"/>
        <v>75.736000000000004</v>
      </c>
      <c r="W44" s="745">
        <f t="shared" si="13"/>
        <v>75.736000000000004</v>
      </c>
      <c r="X44" s="745">
        <f t="shared" si="13"/>
        <v>74.060000000000016</v>
      </c>
      <c r="Y44" s="745">
        <f t="shared" si="13"/>
        <v>74.060000000000016</v>
      </c>
      <c r="Z44" s="745">
        <f t="shared" si="13"/>
        <v>74.060000000000016</v>
      </c>
      <c r="AA44" s="745">
        <f t="shared" si="13"/>
        <v>74.060000000000016</v>
      </c>
      <c r="AB44" s="745">
        <f t="shared" si="13"/>
        <v>77.001000000000005</v>
      </c>
      <c r="AC44" s="746">
        <f t="shared" si="13"/>
        <v>77.001000000000005</v>
      </c>
      <c r="AD44" s="300"/>
      <c r="AE44" s="300"/>
      <c r="AF44" s="300"/>
      <c r="AG44" s="300"/>
      <c r="AH44" s="300"/>
      <c r="AI44" s="300"/>
      <c r="AJ44" s="300"/>
      <c r="AK44" s="300"/>
      <c r="AL44" s="300"/>
      <c r="AM44" s="300"/>
      <c r="AN44" s="300"/>
      <c r="AO44" s="300"/>
      <c r="AP44" s="300"/>
      <c r="AQ44" s="300"/>
      <c r="AR44" s="300"/>
      <c r="AS44" s="300"/>
      <c r="AT44" s="300"/>
      <c r="AU44" s="300"/>
      <c r="AV44" s="300"/>
      <c r="AW44" s="300"/>
      <c r="AX44" s="300"/>
      <c r="AY44" s="300"/>
      <c r="AZ44" s="300"/>
      <c r="BA44" s="300"/>
      <c r="BB44" s="300"/>
      <c r="BC44" s="300"/>
      <c r="BD44" s="300"/>
      <c r="BE44" s="300"/>
      <c r="BF44" s="300"/>
      <c r="BG44" s="300"/>
      <c r="BH44" s="300"/>
      <c r="BI44" s="300"/>
      <c r="BJ44" s="300"/>
      <c r="BK44" s="300"/>
      <c r="BL44" s="300"/>
      <c r="BM44" s="300"/>
      <c r="BN44" s="300"/>
      <c r="BO44" s="300"/>
      <c r="BP44" s="300"/>
      <c r="BQ44" s="300"/>
      <c r="BR44" s="300"/>
      <c r="BS44" s="300"/>
      <c r="BT44" s="300"/>
      <c r="BU44" s="300"/>
      <c r="BV44" s="300"/>
      <c r="BW44" s="300"/>
      <c r="BX44" s="300"/>
      <c r="BY44" s="300"/>
      <c r="BZ44" s="300"/>
    </row>
    <row r="45" spans="1:78" x14ac:dyDescent="0.35">
      <c r="B45" s="52"/>
      <c r="C45" s="34"/>
      <c r="D45" s="34"/>
      <c r="E45" s="34"/>
      <c r="F45" s="34"/>
      <c r="G45" s="34"/>
      <c r="H45" s="34"/>
      <c r="I45" s="34"/>
      <c r="J45" s="34"/>
      <c r="K45" s="34"/>
      <c r="L45" s="34"/>
      <c r="M45" s="34"/>
      <c r="N45" s="34"/>
      <c r="O45" s="34"/>
      <c r="P45" s="34"/>
      <c r="Q45" s="34"/>
      <c r="R45" s="34"/>
      <c r="S45" s="34"/>
      <c r="T45" s="34"/>
      <c r="U45" s="34"/>
      <c r="V45" s="34"/>
      <c r="W45" s="34"/>
      <c r="X45" s="34"/>
      <c r="Y45" s="34"/>
    </row>
    <row r="47" spans="1:78" x14ac:dyDescent="0.35">
      <c r="B47" s="742"/>
    </row>
    <row r="48" spans="1:78" x14ac:dyDescent="0.35">
      <c r="B48" s="742"/>
    </row>
    <row r="49" spans="2:2" x14ac:dyDescent="0.35">
      <c r="B49" s="742"/>
    </row>
    <row r="50" spans="2:2" x14ac:dyDescent="0.35">
      <c r="B50" s="742"/>
    </row>
    <row r="51" spans="2:2" x14ac:dyDescent="0.35">
      <c r="B51" s="742"/>
    </row>
    <row r="52" spans="2:2" x14ac:dyDescent="0.35">
      <c r="B52" s="742"/>
    </row>
    <row r="53" spans="2:2" x14ac:dyDescent="0.35">
      <c r="B53" s="742"/>
    </row>
    <row r="54" spans="2:2" x14ac:dyDescent="0.35">
      <c r="B54" s="742"/>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59" zoomScaleNormal="80" workbookViewId="0">
      <selection activeCell="D6" sqref="D6:AC8"/>
    </sheetView>
  </sheetViews>
  <sheetFormatPr defaultColWidth="8.54296875" defaultRowHeight="14" x14ac:dyDescent="0.3"/>
  <cols>
    <col min="1" max="1" width="8.54296875" style="34"/>
    <col min="2" max="2" width="31.81640625" style="34" customWidth="1"/>
    <col min="3" max="7" width="7.54296875" style="34" customWidth="1"/>
    <col min="8" max="8" width="8.54296875" style="34"/>
    <col min="9" max="9" width="8.54296875" style="34" customWidth="1"/>
    <col min="10" max="24" width="9.1796875" style="34" bestFit="1" customWidth="1"/>
    <col min="25" max="16384" width="8.54296875" style="34"/>
  </cols>
  <sheetData>
    <row r="1" spans="2:29" x14ac:dyDescent="0.3">
      <c r="B1" s="1042" t="s">
        <v>79</v>
      </c>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42"/>
      <c r="AA1" s="1042"/>
      <c r="AB1" s="1042"/>
      <c r="AC1" s="1042"/>
    </row>
    <row r="2" spans="2:29" ht="14.15" customHeight="1" x14ac:dyDescent="0.3">
      <c r="B2" s="1043" t="s">
        <v>594</v>
      </c>
      <c r="C2" s="1043"/>
      <c r="D2" s="1043"/>
      <c r="E2" s="1043"/>
      <c r="F2" s="1043"/>
      <c r="G2" s="1043"/>
      <c r="H2" s="1043"/>
      <c r="I2" s="1043"/>
      <c r="J2" s="1043"/>
      <c r="K2" s="1043"/>
      <c r="L2" s="1043"/>
      <c r="M2" s="1043"/>
      <c r="N2" s="1043"/>
      <c r="O2" s="1043"/>
      <c r="P2" s="1043"/>
      <c r="Q2" s="1043"/>
      <c r="R2" s="1043"/>
      <c r="S2" s="1043"/>
      <c r="T2" s="1043"/>
      <c r="U2" s="1043"/>
      <c r="V2" s="1043"/>
      <c r="W2" s="1043"/>
      <c r="X2" s="1043"/>
      <c r="Y2" s="1043"/>
      <c r="Z2" s="1043"/>
      <c r="AA2" s="1043"/>
      <c r="AB2" s="1043"/>
      <c r="AC2" s="1043"/>
    </row>
    <row r="3" spans="2:29" ht="59.5" customHeight="1" x14ac:dyDescent="0.3">
      <c r="B3" s="1043"/>
      <c r="C3" s="1043"/>
      <c r="D3" s="1043"/>
      <c r="E3" s="1043"/>
      <c r="F3" s="1043"/>
      <c r="G3" s="1043"/>
      <c r="H3" s="1043"/>
      <c r="I3" s="1043"/>
      <c r="J3" s="1043"/>
      <c r="K3" s="1043"/>
      <c r="L3" s="1043"/>
      <c r="M3" s="1043"/>
      <c r="N3" s="1043"/>
      <c r="O3" s="1043"/>
      <c r="P3" s="1043"/>
      <c r="Q3" s="1043"/>
      <c r="R3" s="1043"/>
      <c r="S3" s="1043"/>
      <c r="T3" s="1043"/>
      <c r="U3" s="1043"/>
      <c r="V3" s="1043"/>
      <c r="W3" s="1043"/>
      <c r="X3" s="1043"/>
      <c r="Y3" s="1043"/>
      <c r="Z3" s="1043"/>
      <c r="AA3" s="1043"/>
      <c r="AB3" s="1043"/>
      <c r="AC3" s="1043"/>
    </row>
    <row r="4" spans="2:29" ht="60.65" customHeight="1" x14ac:dyDescent="0.3">
      <c r="B4" s="1043"/>
      <c r="C4" s="1043"/>
      <c r="D4" s="1043"/>
      <c r="E4" s="1043"/>
      <c r="F4" s="1043"/>
      <c r="G4" s="1043"/>
      <c r="H4" s="1043"/>
      <c r="I4" s="1043"/>
      <c r="J4" s="1043"/>
      <c r="K4" s="1043"/>
      <c r="L4" s="1043"/>
      <c r="M4" s="1043"/>
      <c r="N4" s="1043"/>
      <c r="O4" s="1043"/>
      <c r="P4" s="1043"/>
      <c r="Q4" s="1043"/>
      <c r="R4" s="1043"/>
      <c r="S4" s="1043"/>
      <c r="T4" s="1043"/>
      <c r="U4" s="1043"/>
      <c r="V4" s="1043"/>
      <c r="W4" s="1043"/>
      <c r="X4" s="1043"/>
      <c r="Y4" s="1043"/>
      <c r="Z4" s="1043"/>
      <c r="AA4" s="1043"/>
      <c r="AB4" s="1043"/>
      <c r="AC4" s="1043"/>
    </row>
    <row r="5" spans="2:29" x14ac:dyDescent="0.3">
      <c r="B5" s="134" t="s">
        <v>473</v>
      </c>
    </row>
    <row r="6" spans="2:29" ht="14.5" customHeight="1" x14ac:dyDescent="0.3">
      <c r="B6" s="1047" t="s">
        <v>567</v>
      </c>
      <c r="C6" s="1048"/>
      <c r="D6" s="1054" t="s">
        <v>409</v>
      </c>
      <c r="E6" s="1055"/>
      <c r="F6" s="1055"/>
      <c r="G6" s="1055"/>
      <c r="H6" s="1055"/>
      <c r="I6" s="1055"/>
      <c r="J6" s="1055"/>
      <c r="K6" s="1055"/>
      <c r="L6" s="1055"/>
      <c r="M6" s="1055"/>
      <c r="N6" s="1055"/>
      <c r="O6" s="1056"/>
      <c r="P6" s="1083" t="s">
        <v>410</v>
      </c>
      <c r="Q6" s="1084"/>
      <c r="R6" s="1084"/>
      <c r="S6" s="1084"/>
      <c r="T6" s="1084"/>
      <c r="U6" s="1084"/>
      <c r="V6" s="1084"/>
      <c r="W6" s="1084"/>
      <c r="X6" s="1084"/>
      <c r="Y6" s="1084"/>
      <c r="Z6" s="1084"/>
      <c r="AA6" s="1084"/>
      <c r="AB6" s="1084"/>
      <c r="AC6" s="1085"/>
    </row>
    <row r="7" spans="2:29" x14ac:dyDescent="0.3">
      <c r="B7" s="1049"/>
      <c r="C7" s="1108"/>
      <c r="D7" s="549">
        <v>2018</v>
      </c>
      <c r="E7" s="1044">
        <v>2019</v>
      </c>
      <c r="F7" s="1045"/>
      <c r="G7" s="1045"/>
      <c r="H7" s="1046"/>
      <c r="I7" s="1044">
        <v>2020</v>
      </c>
      <c r="J7" s="1045"/>
      <c r="K7" s="1045"/>
      <c r="L7" s="1046"/>
      <c r="M7" s="1044">
        <v>2021</v>
      </c>
      <c r="N7" s="1045"/>
      <c r="O7" s="1046"/>
      <c r="P7" s="582">
        <v>2021</v>
      </c>
      <c r="Q7" s="1051">
        <v>2022</v>
      </c>
      <c r="R7" s="1052"/>
      <c r="S7" s="1052"/>
      <c r="T7" s="1053"/>
      <c r="U7" s="1051">
        <v>2023</v>
      </c>
      <c r="V7" s="1052"/>
      <c r="W7" s="1052"/>
      <c r="X7" s="1052"/>
      <c r="Y7" s="1051">
        <v>2024</v>
      </c>
      <c r="Z7" s="1052"/>
      <c r="AA7" s="1052"/>
      <c r="AB7" s="1053"/>
      <c r="AC7" s="334">
        <v>2025</v>
      </c>
    </row>
    <row r="8" spans="2:29" x14ac:dyDescent="0.3">
      <c r="B8" s="1049"/>
      <c r="C8" s="1108"/>
      <c r="D8" s="167" t="s">
        <v>411</v>
      </c>
      <c r="E8" s="167" t="s">
        <v>412</v>
      </c>
      <c r="F8" s="148" t="s">
        <v>413</v>
      </c>
      <c r="G8" s="148" t="s">
        <v>298</v>
      </c>
      <c r="H8" s="155" t="s">
        <v>411</v>
      </c>
      <c r="I8" s="149" t="s">
        <v>412</v>
      </c>
      <c r="J8" s="149" t="s">
        <v>413</v>
      </c>
      <c r="K8" s="149" t="s">
        <v>298</v>
      </c>
      <c r="L8" s="149" t="s">
        <v>411</v>
      </c>
      <c r="M8" s="162" t="s">
        <v>412</v>
      </c>
      <c r="N8" s="149" t="s">
        <v>413</v>
      </c>
      <c r="O8" s="155" t="s">
        <v>298</v>
      </c>
      <c r="P8" s="438" t="s">
        <v>411</v>
      </c>
      <c r="Q8" s="436" t="s">
        <v>412</v>
      </c>
      <c r="R8" s="437" t="s">
        <v>413</v>
      </c>
      <c r="S8" s="437" t="s">
        <v>298</v>
      </c>
      <c r="T8" s="437" t="s">
        <v>411</v>
      </c>
      <c r="U8" s="436" t="s">
        <v>412</v>
      </c>
      <c r="V8" s="437" t="s">
        <v>413</v>
      </c>
      <c r="W8" s="437" t="s">
        <v>298</v>
      </c>
      <c r="X8" s="437" t="s">
        <v>411</v>
      </c>
      <c r="Y8" s="436" t="s">
        <v>412</v>
      </c>
      <c r="Z8" s="398" t="s">
        <v>413</v>
      </c>
      <c r="AA8" s="437" t="s">
        <v>298</v>
      </c>
      <c r="AB8" s="438" t="s">
        <v>411</v>
      </c>
      <c r="AC8" s="71" t="s">
        <v>412</v>
      </c>
    </row>
    <row r="9" spans="2:29" x14ac:dyDescent="0.3">
      <c r="B9" s="139" t="s">
        <v>151</v>
      </c>
      <c r="C9" s="234" t="s">
        <v>595</v>
      </c>
      <c r="D9" s="471">
        <f>'Haver Pivoted'!GO13</f>
        <v>589.5</v>
      </c>
      <c r="E9" s="253">
        <f>'Haver Pivoted'!GP13</f>
        <v>598.79999999999995</v>
      </c>
      <c r="F9" s="253">
        <f>'Haver Pivoted'!GQ13</f>
        <v>614.5</v>
      </c>
      <c r="G9" s="253">
        <f>'Haver Pivoted'!GR13</f>
        <v>622.4</v>
      </c>
      <c r="H9" s="253">
        <f>'Haver Pivoted'!GS13</f>
        <v>620.5</v>
      </c>
      <c r="I9" s="253">
        <f>'Haver Pivoted'!GT13</f>
        <v>606.20000000000005</v>
      </c>
      <c r="J9" s="253">
        <f>'Haver Pivoted'!GU13</f>
        <v>654.20000000000005</v>
      </c>
      <c r="K9" s="253">
        <f>'Haver Pivoted'!GV13</f>
        <v>690.4</v>
      </c>
      <c r="L9" s="253">
        <f>'Haver Pivoted'!GW13</f>
        <v>678.3</v>
      </c>
      <c r="M9" s="253">
        <f>'Haver Pivoted'!GX13</f>
        <v>695.9</v>
      </c>
      <c r="N9" s="253">
        <f>'Haver Pivoted'!GY13</f>
        <v>730.5</v>
      </c>
      <c r="O9" s="922">
        <f>'Haver Pivoted'!GZ13</f>
        <v>0</v>
      </c>
      <c r="P9" s="978"/>
      <c r="Q9" s="978"/>
      <c r="R9" s="978"/>
      <c r="S9" s="703"/>
      <c r="T9" s="703"/>
      <c r="U9" s="703"/>
      <c r="V9" s="703"/>
      <c r="W9" s="703"/>
      <c r="X9" s="703"/>
      <c r="Y9" s="703"/>
      <c r="Z9" s="703"/>
      <c r="AA9" s="703"/>
      <c r="AB9" s="703"/>
      <c r="AC9" s="574"/>
    </row>
    <row r="10" spans="2:29" x14ac:dyDescent="0.3">
      <c r="B10" s="41" t="s">
        <v>596</v>
      </c>
      <c r="C10" s="34" t="s">
        <v>479</v>
      </c>
      <c r="D10" s="156">
        <f>'Haver Pivoted'!GO40</f>
        <v>390.86599999999999</v>
      </c>
      <c r="E10" s="157">
        <f>'Haver Pivoted'!GP40</f>
        <v>408.75599999999997</v>
      </c>
      <c r="F10" s="157">
        <f>'Haver Pivoted'!GQ40</f>
        <v>413.34399999999999</v>
      </c>
      <c r="G10" s="157">
        <f>'Haver Pivoted'!GR40</f>
        <v>418.529</v>
      </c>
      <c r="H10" s="157">
        <f>'Haver Pivoted'!GS40</f>
        <v>413.80599999999998</v>
      </c>
      <c r="I10" s="157">
        <f>'Haver Pivoted'!GT40</f>
        <v>428.11799999999999</v>
      </c>
      <c r="J10" s="157">
        <f>'Haver Pivoted'!GU40</f>
        <v>502.49</v>
      </c>
      <c r="K10" s="157">
        <f>'Haver Pivoted'!GV40</f>
        <v>481.71699999999998</v>
      </c>
      <c r="L10" s="157">
        <f>'Haver Pivoted'!GW40</f>
        <v>507.83699999999999</v>
      </c>
      <c r="M10" s="157">
        <f>'Haver Pivoted'!GX40</f>
        <v>511.34500000000003</v>
      </c>
      <c r="N10" s="157">
        <f>'Haver Pivoted'!GY40</f>
        <v>520.72900000000004</v>
      </c>
      <c r="O10" s="979">
        <f>'Haver Pivoted'!GZ40</f>
        <v>0</v>
      </c>
      <c r="P10" s="159"/>
      <c r="Q10" s="159"/>
      <c r="R10" s="159"/>
      <c r="S10" s="437"/>
      <c r="T10" s="437"/>
      <c r="U10" s="437"/>
      <c r="V10" s="437"/>
      <c r="W10" s="437"/>
      <c r="X10" s="437"/>
      <c r="Y10" s="437"/>
      <c r="Z10" s="437"/>
      <c r="AA10" s="437"/>
      <c r="AB10" s="437"/>
      <c r="AC10" s="438"/>
    </row>
    <row r="11" spans="2:29" x14ac:dyDescent="0.3">
      <c r="B11" s="56" t="s">
        <v>597</v>
      </c>
      <c r="D11" s="176">
        <f t="shared" ref="D11:N11" si="0">D10/D9</f>
        <v>0.6630466497031382</v>
      </c>
      <c r="E11" s="335">
        <f t="shared" si="0"/>
        <v>0.68262525050100198</v>
      </c>
      <c r="F11" s="335">
        <f t="shared" si="0"/>
        <v>0.6726509357200976</v>
      </c>
      <c r="G11" s="335">
        <f t="shared" si="0"/>
        <v>0.67244376606683809</v>
      </c>
      <c r="H11" s="335">
        <f t="shared" si="0"/>
        <v>0.66689121676067686</v>
      </c>
      <c r="I11" s="335">
        <f t="shared" si="0"/>
        <v>0.70623226657868687</v>
      </c>
      <c r="J11" s="335">
        <f t="shared" si="0"/>
        <v>0.76809844084377865</v>
      </c>
      <c r="K11" s="335">
        <f t="shared" si="0"/>
        <v>0.69773609501738121</v>
      </c>
      <c r="L11" s="335">
        <f t="shared" si="0"/>
        <v>0.7486908447589562</v>
      </c>
      <c r="M11" s="335">
        <f t="shared" si="0"/>
        <v>0.7347966661876707</v>
      </c>
      <c r="N11" s="335">
        <f t="shared" si="0"/>
        <v>0.71283915126625608</v>
      </c>
      <c r="O11" s="175" t="e">
        <f t="shared" ref="O11" si="1">O10/O9</f>
        <v>#DIV/0!</v>
      </c>
      <c r="P11" s="640">
        <f t="shared" ref="P11:R11" si="2">AVERAGE($L$11:$M$11)</f>
        <v>0.7417437554733135</v>
      </c>
      <c r="Q11" s="640">
        <f t="shared" si="2"/>
        <v>0.7417437554733135</v>
      </c>
      <c r="R11" s="640">
        <f t="shared" si="2"/>
        <v>0.7417437554733135</v>
      </c>
      <c r="S11" s="640">
        <f>AVERAGE(D11:G11)</f>
        <v>0.67269165049776891</v>
      </c>
      <c r="T11" s="640">
        <f>AVERAGE(D11:G11)</f>
        <v>0.67269165049776891</v>
      </c>
      <c r="U11" s="640">
        <f t="shared" ref="U11:Y12" si="3">T11</f>
        <v>0.67269165049776891</v>
      </c>
      <c r="V11" s="640">
        <f t="shared" si="3"/>
        <v>0.67269165049776891</v>
      </c>
      <c r="W11" s="640">
        <f t="shared" si="3"/>
        <v>0.67269165049776891</v>
      </c>
      <c r="X11" s="640">
        <f t="shared" si="3"/>
        <v>0.67269165049776891</v>
      </c>
      <c r="Y11" s="640">
        <f t="shared" si="3"/>
        <v>0.67269165049776891</v>
      </c>
      <c r="Z11" s="640">
        <f t="shared" ref="Z11:Z12" si="4">Y11</f>
        <v>0.67269165049776891</v>
      </c>
      <c r="AA11" s="640">
        <f t="shared" ref="AA11:AA12" si="5">Z11</f>
        <v>0.67269165049776891</v>
      </c>
      <c r="AB11" s="640">
        <f t="shared" ref="AB11:AB12" si="6">AA11</f>
        <v>0.67269165049776891</v>
      </c>
      <c r="AC11" s="649">
        <f t="shared" ref="AC11:AC12" si="7">AB11</f>
        <v>0.67269165049776891</v>
      </c>
    </row>
    <row r="12" spans="2:29" x14ac:dyDescent="0.3">
      <c r="B12" s="138" t="s">
        <v>598</v>
      </c>
      <c r="C12" s="42"/>
      <c r="D12" s="472">
        <f t="shared" ref="D12:M12" si="8">D11</f>
        <v>0.6630466497031382</v>
      </c>
      <c r="E12" s="186">
        <f t="shared" si="8"/>
        <v>0.68262525050100198</v>
      </c>
      <c r="F12" s="186">
        <f t="shared" si="8"/>
        <v>0.6726509357200976</v>
      </c>
      <c r="G12" s="186">
        <f t="shared" si="8"/>
        <v>0.67244376606683809</v>
      </c>
      <c r="H12" s="186">
        <f t="shared" si="8"/>
        <v>0.66689121676067686</v>
      </c>
      <c r="I12" s="186">
        <f t="shared" si="8"/>
        <v>0.70623226657868687</v>
      </c>
      <c r="J12" s="186">
        <f t="shared" si="8"/>
        <v>0.76809844084377865</v>
      </c>
      <c r="K12" s="186">
        <f t="shared" si="8"/>
        <v>0.69773609501738121</v>
      </c>
      <c r="L12" s="186">
        <f t="shared" si="8"/>
        <v>0.7486908447589562</v>
      </c>
      <c r="M12" s="186">
        <f t="shared" si="8"/>
        <v>0.7347966661876707</v>
      </c>
      <c r="N12" s="921">
        <f>N11+F44</f>
        <v>0.72226866700127546</v>
      </c>
      <c r="O12" s="169">
        <f>N12</f>
        <v>0.72226866700127546</v>
      </c>
      <c r="P12" s="341">
        <f>O12</f>
        <v>0.72226866700127546</v>
      </c>
      <c r="Q12" s="341" t="e">
        <f>Q11+G44</f>
        <v>#DIV/0!</v>
      </c>
      <c r="R12" s="341" t="e">
        <f>Q12</f>
        <v>#DIV/0!</v>
      </c>
      <c r="S12" s="341" t="e">
        <f>S11+G44</f>
        <v>#DIV/0!</v>
      </c>
      <c r="T12" s="341" t="e">
        <f>T11+H44</f>
        <v>#DIV/0!</v>
      </c>
      <c r="U12" s="341" t="e">
        <f t="shared" si="3"/>
        <v>#DIV/0!</v>
      </c>
      <c r="V12" s="341" t="e">
        <f t="shared" si="3"/>
        <v>#DIV/0!</v>
      </c>
      <c r="W12" s="341" t="e">
        <f t="shared" si="3"/>
        <v>#DIV/0!</v>
      </c>
      <c r="X12" s="341" t="e">
        <f t="shared" si="3"/>
        <v>#DIV/0!</v>
      </c>
      <c r="Y12" s="341" t="e">
        <f t="shared" si="3"/>
        <v>#DIV/0!</v>
      </c>
      <c r="Z12" s="341" t="e">
        <f t="shared" si="4"/>
        <v>#DIV/0!</v>
      </c>
      <c r="AA12" s="341" t="e">
        <f t="shared" si="5"/>
        <v>#DIV/0!</v>
      </c>
      <c r="AB12" s="341" t="e">
        <f t="shared" si="6"/>
        <v>#DIV/0!</v>
      </c>
      <c r="AC12" s="650" t="e">
        <f t="shared" si="7"/>
        <v>#DIV/0!</v>
      </c>
    </row>
    <row r="14" spans="2:29" x14ac:dyDescent="0.3">
      <c r="B14" s="52" t="s">
        <v>493</v>
      </c>
    </row>
    <row r="15" spans="2:29" ht="25" customHeight="1" x14ac:dyDescent="0.3">
      <c r="B15" s="337" t="s">
        <v>599</v>
      </c>
      <c r="C15" s="545">
        <v>2020</v>
      </c>
      <c r="D15" s="546">
        <v>2021</v>
      </c>
      <c r="E15" s="546">
        <v>2022</v>
      </c>
      <c r="F15" s="546">
        <v>2023</v>
      </c>
      <c r="G15" s="547">
        <v>2024</v>
      </c>
      <c r="H15" s="336"/>
      <c r="I15" s="336"/>
      <c r="J15" s="336"/>
    </row>
    <row r="16" spans="2:29" ht="31.5" customHeight="1" x14ac:dyDescent="0.3">
      <c r="B16" s="49" t="s">
        <v>600</v>
      </c>
      <c r="C16" s="542">
        <v>458.46800000000002</v>
      </c>
      <c r="D16" s="543">
        <v>519.15800000000002</v>
      </c>
      <c r="E16" s="543">
        <v>545.428</v>
      </c>
      <c r="F16" s="543">
        <v>512.61800000000005</v>
      </c>
      <c r="G16" s="544">
        <v>601.92600000000004</v>
      </c>
    </row>
    <row r="17" spans="2:25" x14ac:dyDescent="0.3">
      <c r="B17" s="41" t="s">
        <v>601</v>
      </c>
      <c r="C17" s="176">
        <f>AVERAGE(H11:K11)</f>
        <v>0.70973950480013093</v>
      </c>
      <c r="D17" s="335" t="e">
        <f>AVERAGE(L11:O11)</f>
        <v>#DIV/0!</v>
      </c>
      <c r="E17" s="335">
        <f>AVERAGE(P11:S11)</f>
        <v>0.7244807292294273</v>
      </c>
      <c r="F17" s="335">
        <f>AVERAGE(T11:W11)</f>
        <v>0.67269165049776891</v>
      </c>
      <c r="G17" s="175">
        <f>F17</f>
        <v>0.67269165049776891</v>
      </c>
    </row>
    <row r="18" spans="2:25" x14ac:dyDescent="0.3">
      <c r="B18" s="41" t="s">
        <v>602</v>
      </c>
      <c r="C18" s="146">
        <f>C16/C17</f>
        <v>645.96657914527214</v>
      </c>
      <c r="D18" s="43" t="e">
        <f>D16/D17</f>
        <v>#DIV/0!</v>
      </c>
      <c r="E18" s="43">
        <f>E16/E17</f>
        <v>752.8537033416037</v>
      </c>
      <c r="F18" s="43">
        <f>F16/F17</f>
        <v>762.04008124774577</v>
      </c>
      <c r="G18" s="275">
        <f>G16/G17</f>
        <v>894.80224640010817</v>
      </c>
    </row>
    <row r="19" spans="2:25" ht="32.15" customHeight="1" x14ac:dyDescent="0.3">
      <c r="B19" s="150" t="s">
        <v>603</v>
      </c>
      <c r="C19" s="147"/>
      <c r="D19" s="186" t="e">
        <f>D18/C18-1</f>
        <v>#DIV/0!</v>
      </c>
      <c r="E19" s="186" t="e">
        <f>E18/D18-1</f>
        <v>#DIV/0!</v>
      </c>
      <c r="F19" s="186">
        <f>F18/E18-1</f>
        <v>1.2202075735787243E-2</v>
      </c>
      <c r="G19" s="169">
        <f>G18/F18-1</f>
        <v>0.17421939924076035</v>
      </c>
      <c r="I19" s="172"/>
      <c r="J19" s="172"/>
      <c r="K19" s="172"/>
      <c r="L19" s="172"/>
    </row>
    <row r="21" spans="2:25" x14ac:dyDescent="0.3">
      <c r="B21" s="52" t="s">
        <v>506</v>
      </c>
    </row>
    <row r="22" spans="2:25" x14ac:dyDescent="0.3">
      <c r="B22" s="1047" t="s">
        <v>604</v>
      </c>
      <c r="C22" s="1107"/>
      <c r="D22" s="1054" t="s">
        <v>409</v>
      </c>
      <c r="E22" s="1055"/>
      <c r="F22" s="1055"/>
      <c r="G22" s="1055"/>
      <c r="H22" s="1055"/>
      <c r="I22" s="1055"/>
      <c r="J22" s="1055"/>
      <c r="K22" s="1056"/>
      <c r="L22" s="1083" t="s">
        <v>410</v>
      </c>
      <c r="M22" s="1084"/>
      <c r="N22" s="1084"/>
      <c r="O22" s="1084"/>
      <c r="P22" s="1084"/>
      <c r="Q22" s="1084"/>
      <c r="R22" s="1084"/>
      <c r="S22" s="1084"/>
      <c r="T22" s="1084"/>
      <c r="U22" s="1084"/>
      <c r="V22" s="1084"/>
      <c r="W22" s="1084"/>
      <c r="X22" s="1084"/>
      <c r="Y22" s="1085"/>
    </row>
    <row r="23" spans="2:25" x14ac:dyDescent="0.3">
      <c r="B23" s="1049"/>
      <c r="C23" s="1108"/>
      <c r="D23" s="596"/>
      <c r="E23" s="1045">
        <v>2020</v>
      </c>
      <c r="F23" s="1045"/>
      <c r="G23" s="1045"/>
      <c r="H23" s="1045"/>
      <c r="I23" s="1044">
        <v>2021</v>
      </c>
      <c r="J23" s="1045"/>
      <c r="K23" s="1046"/>
      <c r="L23" s="582">
        <v>2021</v>
      </c>
      <c r="M23" s="1135">
        <v>2022</v>
      </c>
      <c r="N23" s="1136"/>
      <c r="O23" s="1136"/>
      <c r="P23" s="1136"/>
      <c r="Q23" s="1135">
        <v>2023</v>
      </c>
      <c r="R23" s="1136"/>
      <c r="S23" s="1136"/>
      <c r="T23" s="1136"/>
      <c r="U23" s="1051">
        <v>2024</v>
      </c>
      <c r="V23" s="1052"/>
      <c r="W23" s="1052"/>
      <c r="X23" s="1052"/>
      <c r="Y23" s="334">
        <v>2025</v>
      </c>
    </row>
    <row r="24" spans="2:25" x14ac:dyDescent="0.3">
      <c r="B24" s="1087"/>
      <c r="C24" s="1109"/>
      <c r="D24" s="168" t="s">
        <v>411</v>
      </c>
      <c r="E24" s="149" t="s">
        <v>412</v>
      </c>
      <c r="F24" s="149" t="s">
        <v>413</v>
      </c>
      <c r="G24" s="149" t="s">
        <v>298</v>
      </c>
      <c r="H24" s="149" t="s">
        <v>411</v>
      </c>
      <c r="I24" s="162" t="s">
        <v>412</v>
      </c>
      <c r="J24" s="149" t="s">
        <v>413</v>
      </c>
      <c r="K24" s="155" t="s">
        <v>298</v>
      </c>
      <c r="L24" s="438" t="s">
        <v>411</v>
      </c>
      <c r="M24" s="436" t="s">
        <v>412</v>
      </c>
      <c r="N24" s="437" t="s">
        <v>413</v>
      </c>
      <c r="O24" s="437" t="s">
        <v>298</v>
      </c>
      <c r="P24" s="437" t="s">
        <v>411</v>
      </c>
      <c r="Q24" s="436" t="s">
        <v>412</v>
      </c>
      <c r="R24" s="437" t="s">
        <v>413</v>
      </c>
      <c r="S24" s="437" t="s">
        <v>298</v>
      </c>
      <c r="T24" s="437" t="s">
        <v>411</v>
      </c>
      <c r="U24" s="436" t="s">
        <v>412</v>
      </c>
      <c r="V24" s="398" t="s">
        <v>413</v>
      </c>
      <c r="W24" s="437" t="s">
        <v>298</v>
      </c>
      <c r="X24" s="437" t="s">
        <v>411</v>
      </c>
      <c r="Y24" s="71" t="s">
        <v>412</v>
      </c>
    </row>
    <row r="25" spans="2:25" ht="19.5" customHeight="1" x14ac:dyDescent="0.35">
      <c r="B25" s="980" t="s">
        <v>605</v>
      </c>
      <c r="C25" s="981"/>
      <c r="D25" s="916">
        <f t="shared" ref="D25:K25" si="9">H9</f>
        <v>620.5</v>
      </c>
      <c r="E25" s="917">
        <f t="shared" si="9"/>
        <v>606.20000000000005</v>
      </c>
      <c r="F25" s="917">
        <f t="shared" si="9"/>
        <v>654.20000000000005</v>
      </c>
      <c r="G25" s="917">
        <f t="shared" si="9"/>
        <v>690.4</v>
      </c>
      <c r="H25" s="917">
        <f t="shared" si="9"/>
        <v>678.3</v>
      </c>
      <c r="I25" s="917">
        <f t="shared" si="9"/>
        <v>695.9</v>
      </c>
      <c r="J25" s="917">
        <f t="shared" si="9"/>
        <v>730.5</v>
      </c>
      <c r="K25" s="918">
        <f t="shared" si="9"/>
        <v>0</v>
      </c>
      <c r="L25" s="678" t="e">
        <f>K25*(1+$E$19)^0.25</f>
        <v>#DIV/0!</v>
      </c>
      <c r="M25" s="678" t="e">
        <f>L25*(1+$E$19)^0.25</f>
        <v>#DIV/0!</v>
      </c>
      <c r="N25" s="678" t="e">
        <f>M25*(1+$E$19)^0.25</f>
        <v>#DIV/0!</v>
      </c>
      <c r="O25" s="678" t="e">
        <f>N25*(1+$E$19)^0.25</f>
        <v>#DIV/0!</v>
      </c>
      <c r="P25" s="678" t="e">
        <f>O25*(1+$F$19)^0.25</f>
        <v>#DIV/0!</v>
      </c>
      <c r="Q25" s="678" t="e">
        <f>P25*(1+$F$19)^0.25</f>
        <v>#DIV/0!</v>
      </c>
      <c r="R25" s="678" t="e">
        <f>Q25*(1+$F$19)^0.25</f>
        <v>#DIV/0!</v>
      </c>
      <c r="S25" s="678" t="e">
        <f>R25*(1+$F$19)^0.25</f>
        <v>#DIV/0!</v>
      </c>
      <c r="T25" s="678" t="e">
        <f t="shared" ref="T25:Y25" si="10">S25*(1+$G$19)^0.25</f>
        <v>#DIV/0!</v>
      </c>
      <c r="U25" s="678" t="e">
        <f t="shared" si="10"/>
        <v>#DIV/0!</v>
      </c>
      <c r="V25" s="678" t="e">
        <f t="shared" si="10"/>
        <v>#DIV/0!</v>
      </c>
      <c r="W25" s="678" t="e">
        <f t="shared" si="10"/>
        <v>#DIV/0!</v>
      </c>
      <c r="X25" s="678" t="e">
        <f t="shared" si="10"/>
        <v>#DIV/0!</v>
      </c>
      <c r="Y25" s="982" t="e">
        <f t="shared" si="10"/>
        <v>#DIV/0!</v>
      </c>
    </row>
    <row r="26" spans="2:25" ht="19" customHeight="1" x14ac:dyDescent="0.35">
      <c r="B26" s="140" t="s">
        <v>259</v>
      </c>
      <c r="C26" s="141"/>
      <c r="D26" s="616">
        <f>D25*H12</f>
        <v>413.80599999999998</v>
      </c>
      <c r="E26" s="192">
        <f t="shared" ref="E26:Y26" si="11">E25*I12</f>
        <v>428.11799999999999</v>
      </c>
      <c r="F26" s="192">
        <f t="shared" si="11"/>
        <v>502.49</v>
      </c>
      <c r="G26" s="192">
        <f t="shared" si="11"/>
        <v>481.71699999999998</v>
      </c>
      <c r="H26" s="192">
        <f t="shared" si="11"/>
        <v>507.83699999999993</v>
      </c>
      <c r="I26" s="192">
        <f t="shared" si="11"/>
        <v>511.34500000000003</v>
      </c>
      <c r="J26" s="192">
        <f t="shared" si="11"/>
        <v>527.61726124443169</v>
      </c>
      <c r="K26" s="983">
        <f t="shared" si="11"/>
        <v>0</v>
      </c>
      <c r="L26" s="339" t="e">
        <f t="shared" si="11"/>
        <v>#DIV/0!</v>
      </c>
      <c r="M26" s="339" t="e">
        <f t="shared" si="11"/>
        <v>#DIV/0!</v>
      </c>
      <c r="N26" s="339" t="e">
        <f t="shared" si="11"/>
        <v>#DIV/0!</v>
      </c>
      <c r="O26" s="339" t="e">
        <f t="shared" si="11"/>
        <v>#DIV/0!</v>
      </c>
      <c r="P26" s="339" t="e">
        <f t="shared" si="11"/>
        <v>#DIV/0!</v>
      </c>
      <c r="Q26" s="339" t="e">
        <f t="shared" si="11"/>
        <v>#DIV/0!</v>
      </c>
      <c r="R26" s="339" t="e">
        <f t="shared" si="11"/>
        <v>#DIV/0!</v>
      </c>
      <c r="S26" s="339" t="e">
        <f t="shared" si="11"/>
        <v>#DIV/0!</v>
      </c>
      <c r="T26" s="339" t="e">
        <f t="shared" si="11"/>
        <v>#DIV/0!</v>
      </c>
      <c r="U26" s="339" t="e">
        <f t="shared" si="11"/>
        <v>#DIV/0!</v>
      </c>
      <c r="V26" s="339" t="e">
        <f t="shared" si="11"/>
        <v>#DIV/0!</v>
      </c>
      <c r="W26" s="339" t="e">
        <f t="shared" si="11"/>
        <v>#DIV/0!</v>
      </c>
      <c r="X26" s="339" t="e">
        <f t="shared" si="11"/>
        <v>#DIV/0!</v>
      </c>
      <c r="Y26" s="340" t="e">
        <f t="shared" si="11"/>
        <v>#DIV/0!</v>
      </c>
    </row>
    <row r="27" spans="2:25" ht="19" customHeight="1" x14ac:dyDescent="0.3">
      <c r="B27" s="138" t="s">
        <v>606</v>
      </c>
      <c r="C27" s="42"/>
      <c r="D27" s="919">
        <f t="shared" ref="D27:Y27" si="12">D25-D26</f>
        <v>206.69400000000002</v>
      </c>
      <c r="E27" s="675">
        <f t="shared" si="12"/>
        <v>178.08200000000005</v>
      </c>
      <c r="F27" s="675">
        <f t="shared" si="12"/>
        <v>151.71000000000004</v>
      </c>
      <c r="G27" s="675">
        <f t="shared" si="12"/>
        <v>208.68299999999999</v>
      </c>
      <c r="H27" s="675">
        <f t="shared" si="12"/>
        <v>170.46300000000002</v>
      </c>
      <c r="I27" s="675">
        <f t="shared" si="12"/>
        <v>184.55499999999995</v>
      </c>
      <c r="J27" s="675">
        <f t="shared" si="12"/>
        <v>202.88273875556831</v>
      </c>
      <c r="K27" s="920">
        <f t="shared" si="12"/>
        <v>0</v>
      </c>
      <c r="L27" s="676" t="e">
        <f t="shared" si="12"/>
        <v>#DIV/0!</v>
      </c>
      <c r="M27" s="676" t="e">
        <f t="shared" si="12"/>
        <v>#DIV/0!</v>
      </c>
      <c r="N27" s="676" t="e">
        <f t="shared" si="12"/>
        <v>#DIV/0!</v>
      </c>
      <c r="O27" s="676" t="e">
        <f t="shared" si="12"/>
        <v>#DIV/0!</v>
      </c>
      <c r="P27" s="676" t="e">
        <f t="shared" si="12"/>
        <v>#DIV/0!</v>
      </c>
      <c r="Q27" s="676" t="e">
        <f t="shared" si="12"/>
        <v>#DIV/0!</v>
      </c>
      <c r="R27" s="676" t="e">
        <f t="shared" si="12"/>
        <v>#DIV/0!</v>
      </c>
      <c r="S27" s="676" t="e">
        <f t="shared" si="12"/>
        <v>#DIV/0!</v>
      </c>
      <c r="T27" s="676" t="e">
        <f t="shared" si="12"/>
        <v>#DIV/0!</v>
      </c>
      <c r="U27" s="676" t="e">
        <f t="shared" si="12"/>
        <v>#DIV/0!</v>
      </c>
      <c r="V27" s="676" t="e">
        <f t="shared" si="12"/>
        <v>#DIV/0!</v>
      </c>
      <c r="W27" s="676" t="e">
        <f t="shared" si="12"/>
        <v>#DIV/0!</v>
      </c>
      <c r="X27" s="676" t="e">
        <f t="shared" si="12"/>
        <v>#DIV/0!</v>
      </c>
      <c r="Y27" s="677" t="e">
        <f t="shared" si="12"/>
        <v>#DIV/0!</v>
      </c>
    </row>
    <row r="28" spans="2:25" x14ac:dyDescent="0.3">
      <c r="D28" s="173"/>
      <c r="E28" s="173"/>
      <c r="F28" s="173"/>
      <c r="G28" s="173"/>
      <c r="H28" s="173"/>
      <c r="I28" s="235"/>
      <c r="J28" s="173"/>
      <c r="K28" s="173"/>
      <c r="L28" s="173"/>
      <c r="M28" s="173"/>
      <c r="N28" s="173"/>
      <c r="O28" s="173"/>
      <c r="P28" s="173"/>
      <c r="Q28" s="173"/>
      <c r="R28" s="173"/>
      <c r="S28" s="173"/>
    </row>
    <row r="29" spans="2:25" x14ac:dyDescent="0.3">
      <c r="D29" s="173"/>
      <c r="E29" s="173"/>
      <c r="F29" s="173"/>
      <c r="G29" s="173"/>
      <c r="H29" s="173"/>
      <c r="I29" s="235"/>
      <c r="J29" s="173"/>
      <c r="K29" s="173"/>
      <c r="L29" s="173"/>
      <c r="M29" s="173"/>
      <c r="N29" s="173"/>
      <c r="O29" s="173"/>
      <c r="P29" s="173"/>
      <c r="Q29" s="173"/>
      <c r="R29" s="173"/>
      <c r="S29" s="173"/>
    </row>
    <row r="32" spans="2:25" x14ac:dyDescent="0.3">
      <c r="B32" s="350" t="s">
        <v>607</v>
      </c>
      <c r="C32" s="351"/>
      <c r="D32" s="351"/>
      <c r="E32" s="352"/>
      <c r="F32" s="353">
        <v>2021</v>
      </c>
      <c r="G32" s="353">
        <v>2022</v>
      </c>
      <c r="H32" s="353">
        <v>2023</v>
      </c>
      <c r="I32" s="353">
        <v>2024</v>
      </c>
      <c r="J32" s="353">
        <v>2025</v>
      </c>
      <c r="K32" s="353">
        <v>2025</v>
      </c>
      <c r="L32" s="353">
        <v>2027</v>
      </c>
      <c r="M32" s="353">
        <v>2028</v>
      </c>
      <c r="N32" s="353">
        <v>2029</v>
      </c>
      <c r="O32" s="353">
        <v>2030</v>
      </c>
      <c r="P32" s="354">
        <v>2031</v>
      </c>
    </row>
    <row r="33" spans="2:17" x14ac:dyDescent="0.3">
      <c r="B33" s="1126" t="s">
        <v>608</v>
      </c>
      <c r="C33" s="1127"/>
      <c r="D33" s="1127"/>
      <c r="E33" s="1128"/>
      <c r="F33" s="43">
        <v>287</v>
      </c>
      <c r="G33" s="43">
        <v>534</v>
      </c>
      <c r="H33" s="43">
        <v>247</v>
      </c>
      <c r="I33" s="43">
        <v>63</v>
      </c>
      <c r="J33" s="43"/>
      <c r="K33" s="43"/>
      <c r="L33" s="43"/>
      <c r="M33" s="43"/>
      <c r="N33" s="43"/>
      <c r="O33" s="43"/>
      <c r="P33" s="275"/>
    </row>
    <row r="34" spans="2:17" x14ac:dyDescent="0.3">
      <c r="B34" s="1126" t="s">
        <v>609</v>
      </c>
      <c r="C34" s="1127"/>
      <c r="D34" s="1127"/>
      <c r="E34" s="1128"/>
      <c r="F34" s="43">
        <v>0</v>
      </c>
      <c r="G34" s="43">
        <v>0</v>
      </c>
      <c r="H34" s="43">
        <v>756</v>
      </c>
      <c r="I34" s="43">
        <v>1249</v>
      </c>
      <c r="J34" s="43">
        <v>1417</v>
      </c>
      <c r="K34" s="43">
        <v>1522</v>
      </c>
      <c r="L34" s="43">
        <v>1107</v>
      </c>
      <c r="M34" s="43"/>
      <c r="N34" s="43"/>
      <c r="O34" s="43"/>
      <c r="P34" s="275"/>
    </row>
    <row r="35" spans="2:17" x14ac:dyDescent="0.3">
      <c r="B35" s="1126" t="s">
        <v>610</v>
      </c>
      <c r="C35" s="1127"/>
      <c r="D35" s="1127"/>
      <c r="E35" s="1128"/>
      <c r="F35" s="43">
        <v>0</v>
      </c>
      <c r="G35" s="43">
        <v>5</v>
      </c>
      <c r="H35" s="43">
        <v>77</v>
      </c>
      <c r="I35" s="43">
        <v>307</v>
      </c>
      <c r="J35" s="43">
        <v>332</v>
      </c>
      <c r="K35" s="43">
        <v>270</v>
      </c>
      <c r="L35" s="43">
        <v>25</v>
      </c>
      <c r="M35" s="43">
        <v>32</v>
      </c>
      <c r="N35" s="43">
        <v>40</v>
      </c>
      <c r="O35" s="43">
        <v>49</v>
      </c>
      <c r="P35" s="275">
        <v>58</v>
      </c>
    </row>
    <row r="36" spans="2:17" ht="32.5" customHeight="1" x14ac:dyDescent="0.3">
      <c r="B36" s="1132" t="s">
        <v>611</v>
      </c>
      <c r="C36" s="1133"/>
      <c r="D36" s="1133"/>
      <c r="E36" s="1134"/>
      <c r="F36" s="43">
        <v>0</v>
      </c>
      <c r="G36" s="43">
        <v>0</v>
      </c>
      <c r="H36" s="43">
        <v>3768</v>
      </c>
      <c r="I36" s="43">
        <v>3428</v>
      </c>
      <c r="J36" s="43">
        <v>2176</v>
      </c>
      <c r="K36" s="43">
        <v>2304</v>
      </c>
      <c r="L36" s="43">
        <v>2129</v>
      </c>
      <c r="M36" s="43">
        <v>1335</v>
      </c>
      <c r="N36" s="43">
        <v>478</v>
      </c>
      <c r="O36" s="43">
        <v>531</v>
      </c>
      <c r="P36" s="275">
        <v>212</v>
      </c>
    </row>
    <row r="37" spans="2:17" ht="32.5" customHeight="1" x14ac:dyDescent="0.3">
      <c r="B37" s="1132" t="s">
        <v>612</v>
      </c>
      <c r="C37" s="1133"/>
      <c r="D37" s="1133"/>
      <c r="E37" s="1134"/>
      <c r="F37" s="43">
        <v>38</v>
      </c>
      <c r="G37" s="43">
        <v>81</v>
      </c>
      <c r="H37" s="43">
        <v>43</v>
      </c>
      <c r="I37" s="43"/>
      <c r="J37" s="43"/>
      <c r="K37" s="43"/>
      <c r="L37" s="43"/>
      <c r="M37" s="43"/>
      <c r="N37" s="43"/>
      <c r="O37" s="43"/>
      <c r="P37" s="275"/>
    </row>
    <row r="38" spans="2:17" x14ac:dyDescent="0.3">
      <c r="B38" s="1126" t="s">
        <v>613</v>
      </c>
      <c r="C38" s="1127"/>
      <c r="D38" s="1127"/>
      <c r="E38" s="1128"/>
      <c r="F38" s="43"/>
      <c r="G38" s="43"/>
      <c r="H38" s="43"/>
      <c r="I38" s="43">
        <v>-184</v>
      </c>
      <c r="J38" s="43">
        <v>-1830</v>
      </c>
      <c r="K38" s="43">
        <v>-2406</v>
      </c>
      <c r="L38" s="43">
        <v>-2419</v>
      </c>
      <c r="M38" s="43">
        <v>-2467</v>
      </c>
      <c r="N38" s="43">
        <v>-2531</v>
      </c>
      <c r="O38" s="43">
        <v>-2667</v>
      </c>
      <c r="P38" s="275">
        <v>-2809</v>
      </c>
    </row>
    <row r="39" spans="2:17" ht="15.65" customHeight="1" x14ac:dyDescent="0.3">
      <c r="B39" s="1123" t="s">
        <v>614</v>
      </c>
      <c r="C39" s="1124"/>
      <c r="D39" s="1124"/>
      <c r="E39" s="1125"/>
      <c r="F39" s="43">
        <v>6524</v>
      </c>
      <c r="G39" s="43">
        <v>6143</v>
      </c>
      <c r="H39" s="43"/>
      <c r="I39" s="43"/>
      <c r="J39" s="43"/>
      <c r="K39" s="43"/>
      <c r="L39" s="43"/>
      <c r="M39" s="43"/>
      <c r="N39" s="43"/>
      <c r="O39" s="43"/>
      <c r="P39" s="275"/>
    </row>
    <row r="40" spans="2:17" x14ac:dyDescent="0.3">
      <c r="B40" s="1126" t="s">
        <v>615</v>
      </c>
      <c r="C40" s="1127"/>
      <c r="D40" s="1127"/>
      <c r="E40" s="1128"/>
      <c r="F40" s="43">
        <v>50</v>
      </c>
      <c r="G40" s="43">
        <v>175</v>
      </c>
      <c r="H40" s="43">
        <v>25</v>
      </c>
      <c r="I40" s="43"/>
      <c r="J40" s="43"/>
      <c r="K40" s="43"/>
      <c r="L40" s="43"/>
      <c r="M40" s="43"/>
      <c r="N40" s="43"/>
      <c r="O40" s="43"/>
      <c r="P40" s="275"/>
    </row>
    <row r="41" spans="2:17" x14ac:dyDescent="0.3">
      <c r="B41" s="1126" t="s">
        <v>616</v>
      </c>
      <c r="C41" s="1127"/>
      <c r="D41" s="1127"/>
      <c r="E41" s="1128"/>
      <c r="F41" s="43">
        <v>829</v>
      </c>
      <c r="G41" s="43">
        <v>844</v>
      </c>
      <c r="H41" s="43"/>
      <c r="I41" s="43"/>
      <c r="J41" s="43"/>
      <c r="K41" s="43"/>
      <c r="L41" s="43"/>
      <c r="M41" s="43"/>
      <c r="N41" s="43"/>
      <c r="O41" s="43"/>
      <c r="P41" s="275"/>
    </row>
    <row r="42" spans="2:17" x14ac:dyDescent="0.3">
      <c r="B42" s="1129" t="s">
        <v>617</v>
      </c>
      <c r="C42" s="1130"/>
      <c r="D42" s="1130"/>
      <c r="E42" s="1131"/>
      <c r="F42" s="43">
        <f t="shared" ref="F42:P42" si="13">SUM(F33:F41)</f>
        <v>7728</v>
      </c>
      <c r="G42" s="43">
        <f t="shared" si="13"/>
        <v>7782</v>
      </c>
      <c r="H42" s="43">
        <f t="shared" si="13"/>
        <v>4916</v>
      </c>
      <c r="I42" s="43">
        <f t="shared" si="13"/>
        <v>4863</v>
      </c>
      <c r="J42" s="43">
        <f t="shared" si="13"/>
        <v>2095</v>
      </c>
      <c r="K42" s="43">
        <f t="shared" si="13"/>
        <v>1690</v>
      </c>
      <c r="L42" s="43">
        <f t="shared" si="13"/>
        <v>842</v>
      </c>
      <c r="M42" s="43">
        <f t="shared" si="13"/>
        <v>-1100</v>
      </c>
      <c r="N42" s="43">
        <f t="shared" si="13"/>
        <v>-2013</v>
      </c>
      <c r="O42" s="43">
        <f t="shared" si="13"/>
        <v>-2087</v>
      </c>
      <c r="P42" s="275">
        <f t="shared" si="13"/>
        <v>-2539</v>
      </c>
    </row>
    <row r="43" spans="2:17" x14ac:dyDescent="0.3">
      <c r="B43" s="1123" t="s">
        <v>618</v>
      </c>
      <c r="C43" s="1124"/>
      <c r="D43" s="1124"/>
      <c r="E43" s="1125"/>
      <c r="F43" s="43">
        <f t="shared" ref="F43:P43" si="14">F39+F37+F36</f>
        <v>6562</v>
      </c>
      <c r="G43" s="43">
        <f t="shared" si="14"/>
        <v>6224</v>
      </c>
      <c r="H43" s="43">
        <f t="shared" si="14"/>
        <v>3811</v>
      </c>
      <c r="I43" s="43">
        <f t="shared" si="14"/>
        <v>3428</v>
      </c>
      <c r="J43" s="43">
        <f t="shared" si="14"/>
        <v>2176</v>
      </c>
      <c r="K43" s="43">
        <f t="shared" si="14"/>
        <v>2304</v>
      </c>
      <c r="L43" s="43">
        <f t="shared" si="14"/>
        <v>2129</v>
      </c>
      <c r="M43" s="43">
        <f t="shared" si="14"/>
        <v>1335</v>
      </c>
      <c r="N43" s="43">
        <f t="shared" si="14"/>
        <v>478</v>
      </c>
      <c r="O43" s="43">
        <f t="shared" si="14"/>
        <v>531</v>
      </c>
      <c r="P43" s="275">
        <f t="shared" si="14"/>
        <v>212</v>
      </c>
      <c r="Q43" s="34" t="s">
        <v>619</v>
      </c>
    </row>
    <row r="44" spans="2:17" x14ac:dyDescent="0.3">
      <c r="B44" s="1126" t="s">
        <v>620</v>
      </c>
      <c r="C44" s="1127"/>
      <c r="D44" s="1127"/>
      <c r="E44" s="1128"/>
      <c r="F44" s="43">
        <f>(F43/1000)/I25</f>
        <v>9.4295157350194007E-3</v>
      </c>
      <c r="G44" s="43" t="e">
        <f>(G43/1000)/N25</f>
        <v>#DIV/0!</v>
      </c>
      <c r="H44" s="43" t="e">
        <f>(H43/1000)/S25</f>
        <v>#DIV/0!</v>
      </c>
      <c r="I44" s="43" t="e">
        <f>(I43/1000)/T25</f>
        <v>#DIV/0!</v>
      </c>
      <c r="J44" s="43"/>
      <c r="K44" s="43"/>
      <c r="L44" s="43"/>
      <c r="M44" s="43"/>
      <c r="N44" s="43"/>
      <c r="O44" s="43"/>
      <c r="P44" s="275"/>
      <c r="Q44" s="34" t="s">
        <v>621</v>
      </c>
    </row>
    <row r="45" spans="2:17" x14ac:dyDescent="0.3">
      <c r="B45" s="1120" t="s">
        <v>622</v>
      </c>
      <c r="C45" s="1121"/>
      <c r="D45" s="1121"/>
      <c r="E45" s="1122"/>
      <c r="F45" s="145">
        <f t="shared" ref="F45:P45" si="15">F42-F43</f>
        <v>1166</v>
      </c>
      <c r="G45" s="145">
        <f t="shared" si="15"/>
        <v>1558</v>
      </c>
      <c r="H45" s="145">
        <f t="shared" si="15"/>
        <v>1105</v>
      </c>
      <c r="I45" s="145">
        <f t="shared" si="15"/>
        <v>1435</v>
      </c>
      <c r="J45" s="145">
        <f t="shared" si="15"/>
        <v>-81</v>
      </c>
      <c r="K45" s="145">
        <f t="shared" si="15"/>
        <v>-614</v>
      </c>
      <c r="L45" s="145">
        <f t="shared" si="15"/>
        <v>-1287</v>
      </c>
      <c r="M45" s="145">
        <f t="shared" si="15"/>
        <v>-2435</v>
      </c>
      <c r="N45" s="145">
        <f t="shared" si="15"/>
        <v>-2491</v>
      </c>
      <c r="O45" s="145">
        <f t="shared" si="15"/>
        <v>-2618</v>
      </c>
      <c r="P45" s="174">
        <f t="shared" si="15"/>
        <v>-2751</v>
      </c>
    </row>
  </sheetData>
  <mergeCells count="32">
    <mergeCell ref="B2:AC4"/>
    <mergeCell ref="Y7:AB7"/>
    <mergeCell ref="U7:X7"/>
    <mergeCell ref="D6:O6"/>
    <mergeCell ref="P6:AC6"/>
    <mergeCell ref="M7:O7"/>
    <mergeCell ref="B34:E34"/>
    <mergeCell ref="B35:E35"/>
    <mergeCell ref="B33:E33"/>
    <mergeCell ref="L22:Y22"/>
    <mergeCell ref="D22:K22"/>
    <mergeCell ref="U23:X23"/>
    <mergeCell ref="E23:H23"/>
    <mergeCell ref="M23:P23"/>
    <mergeCell ref="I23:K23"/>
    <mergeCell ref="B22:C2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zoomScale="66" workbookViewId="0">
      <selection activeCell="D7" sqref="D7:AC9"/>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042" t="s">
        <v>80</v>
      </c>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42"/>
      <c r="AA1" s="1042"/>
      <c r="AB1" s="1042"/>
      <c r="AC1" s="1042"/>
    </row>
    <row r="2" spans="2:29" ht="14.15" customHeight="1" x14ac:dyDescent="0.3">
      <c r="B2" s="1043" t="s">
        <v>623</v>
      </c>
      <c r="C2" s="1043"/>
      <c r="D2" s="1043"/>
      <c r="E2" s="1043"/>
      <c r="F2" s="1043"/>
      <c r="G2" s="1043"/>
      <c r="H2" s="1043"/>
      <c r="I2" s="1043"/>
      <c r="J2" s="1043"/>
      <c r="K2" s="1043"/>
      <c r="L2" s="1043"/>
      <c r="M2" s="1043"/>
      <c r="N2" s="1043"/>
      <c r="O2" s="1043"/>
      <c r="P2" s="1043"/>
      <c r="Q2" s="1043"/>
      <c r="R2" s="1043"/>
      <c r="S2" s="1043"/>
      <c r="T2" s="1043"/>
      <c r="U2" s="1043"/>
      <c r="V2" s="1043"/>
      <c r="W2" s="1043"/>
      <c r="X2" s="1043"/>
      <c r="Y2" s="1043"/>
      <c r="Z2" s="1043"/>
      <c r="AA2" s="1043"/>
      <c r="AB2" s="1043"/>
      <c r="AC2" s="1043"/>
    </row>
    <row r="3" spans="2:29" x14ac:dyDescent="0.3">
      <c r="B3" s="1043"/>
      <c r="C3" s="1043"/>
      <c r="D3" s="1043"/>
      <c r="E3" s="1043"/>
      <c r="F3" s="1043"/>
      <c r="G3" s="1043"/>
      <c r="H3" s="1043"/>
      <c r="I3" s="1043"/>
      <c r="J3" s="1043"/>
      <c r="K3" s="1043"/>
      <c r="L3" s="1043"/>
      <c r="M3" s="1043"/>
      <c r="N3" s="1043"/>
      <c r="O3" s="1043"/>
      <c r="P3" s="1043"/>
      <c r="Q3" s="1043"/>
      <c r="R3" s="1043"/>
      <c r="S3" s="1043"/>
      <c r="T3" s="1043"/>
      <c r="U3" s="1043"/>
      <c r="V3" s="1043"/>
      <c r="W3" s="1043"/>
      <c r="X3" s="1043"/>
      <c r="Y3" s="1043"/>
      <c r="Z3" s="1043"/>
      <c r="AA3" s="1043"/>
      <c r="AB3" s="1043"/>
      <c r="AC3" s="1043"/>
    </row>
    <row r="4" spans="2:29" x14ac:dyDescent="0.3">
      <c r="B4" s="1043"/>
      <c r="C4" s="1043"/>
      <c r="D4" s="1043"/>
      <c r="E4" s="1043"/>
      <c r="F4" s="1043"/>
      <c r="G4" s="1043"/>
      <c r="H4" s="1043"/>
      <c r="I4" s="1043"/>
      <c r="J4" s="1043"/>
      <c r="K4" s="1043"/>
      <c r="L4" s="1043"/>
      <c r="M4" s="1043"/>
      <c r="N4" s="1043"/>
      <c r="O4" s="1043"/>
      <c r="P4" s="1043"/>
      <c r="Q4" s="1043"/>
      <c r="R4" s="1043"/>
      <c r="S4" s="1043"/>
      <c r="T4" s="1043"/>
      <c r="U4" s="1043"/>
      <c r="V4" s="1043"/>
      <c r="W4" s="1043"/>
      <c r="X4" s="1043"/>
      <c r="Y4" s="1043"/>
      <c r="Z4" s="1043"/>
      <c r="AA4" s="1043"/>
      <c r="AB4" s="1043"/>
      <c r="AC4" s="1043"/>
    </row>
    <row r="6" spans="2:29" x14ac:dyDescent="0.3">
      <c r="B6" s="52" t="s">
        <v>473</v>
      </c>
    </row>
    <row r="7" spans="2:29" ht="14.5" customHeight="1" x14ac:dyDescent="0.3">
      <c r="B7" s="1047" t="s">
        <v>567</v>
      </c>
      <c r="C7" s="1107"/>
      <c r="D7" s="1054" t="s">
        <v>409</v>
      </c>
      <c r="E7" s="1055"/>
      <c r="F7" s="1055"/>
      <c r="G7" s="1055"/>
      <c r="H7" s="1055"/>
      <c r="I7" s="1055"/>
      <c r="J7" s="1055"/>
      <c r="K7" s="1055"/>
      <c r="L7" s="1055"/>
      <c r="M7" s="1055"/>
      <c r="N7" s="1055"/>
      <c r="O7" s="1056"/>
      <c r="P7" s="1083" t="s">
        <v>410</v>
      </c>
      <c r="Q7" s="1084"/>
      <c r="R7" s="1084"/>
      <c r="S7" s="1084"/>
      <c r="T7" s="1084"/>
      <c r="U7" s="1084"/>
      <c r="V7" s="1084"/>
      <c r="W7" s="1084"/>
      <c r="X7" s="1084"/>
      <c r="Y7" s="1084"/>
      <c r="Z7" s="1084"/>
      <c r="AA7" s="1084"/>
      <c r="AB7" s="1084"/>
      <c r="AC7" s="1085"/>
    </row>
    <row r="8" spans="2:29" x14ac:dyDescent="0.3">
      <c r="B8" s="1049"/>
      <c r="C8" s="1108"/>
      <c r="D8" s="549">
        <v>2018</v>
      </c>
      <c r="E8" s="1044">
        <v>2019</v>
      </c>
      <c r="F8" s="1045"/>
      <c r="G8" s="1045"/>
      <c r="H8" s="1046"/>
      <c r="I8" s="1044">
        <v>2020</v>
      </c>
      <c r="J8" s="1045"/>
      <c r="K8" s="1045"/>
      <c r="L8" s="1046"/>
      <c r="M8" s="1044">
        <v>2021</v>
      </c>
      <c r="N8" s="1045"/>
      <c r="O8" s="1046"/>
      <c r="P8" s="582">
        <v>2021</v>
      </c>
      <c r="Q8" s="1051">
        <v>2022</v>
      </c>
      <c r="R8" s="1052"/>
      <c r="S8" s="1052"/>
      <c r="T8" s="1053"/>
      <c r="U8" s="1051">
        <v>2023</v>
      </c>
      <c r="V8" s="1052"/>
      <c r="W8" s="1052"/>
      <c r="X8" s="1052"/>
      <c r="Y8" s="1051">
        <v>2024</v>
      </c>
      <c r="Z8" s="1052"/>
      <c r="AA8" s="1052"/>
      <c r="AB8" s="1053"/>
      <c r="AC8" s="334">
        <v>2025</v>
      </c>
    </row>
    <row r="9" spans="2:29" x14ac:dyDescent="0.3">
      <c r="B9" s="1049"/>
      <c r="C9" s="1108"/>
      <c r="D9" s="167" t="s">
        <v>411</v>
      </c>
      <c r="E9" s="167" t="s">
        <v>412</v>
      </c>
      <c r="F9" s="148" t="s">
        <v>413</v>
      </c>
      <c r="G9" s="148" t="s">
        <v>298</v>
      </c>
      <c r="H9" s="155" t="s">
        <v>411</v>
      </c>
      <c r="I9" s="149" t="s">
        <v>412</v>
      </c>
      <c r="J9" s="149" t="s">
        <v>413</v>
      </c>
      <c r="K9" s="149" t="s">
        <v>298</v>
      </c>
      <c r="L9" s="149" t="s">
        <v>411</v>
      </c>
      <c r="M9" s="162" t="s">
        <v>412</v>
      </c>
      <c r="N9" s="149" t="s">
        <v>413</v>
      </c>
      <c r="O9" s="155" t="s">
        <v>298</v>
      </c>
      <c r="P9" s="438" t="s">
        <v>411</v>
      </c>
      <c r="Q9" s="436" t="s">
        <v>412</v>
      </c>
      <c r="R9" s="437" t="s">
        <v>413</v>
      </c>
      <c r="S9" s="437" t="s">
        <v>298</v>
      </c>
      <c r="T9" s="437" t="s">
        <v>411</v>
      </c>
      <c r="U9" s="436" t="s">
        <v>412</v>
      </c>
      <c r="V9" s="437" t="s">
        <v>413</v>
      </c>
      <c r="W9" s="437" t="s">
        <v>298</v>
      </c>
      <c r="X9" s="437" t="s">
        <v>411</v>
      </c>
      <c r="Y9" s="436" t="s">
        <v>412</v>
      </c>
      <c r="Z9" s="398" t="s">
        <v>413</v>
      </c>
      <c r="AA9" s="437" t="s">
        <v>298</v>
      </c>
      <c r="AB9" s="438" t="s">
        <v>411</v>
      </c>
      <c r="AC9" s="71" t="s">
        <v>412</v>
      </c>
    </row>
    <row r="10" spans="2:29" ht="14.5" x14ac:dyDescent="0.35">
      <c r="B10" s="154" t="s">
        <v>624</v>
      </c>
      <c r="C10" s="984"/>
      <c r="D10" s="599">
        <f>D11 +D13</f>
        <v>754.2</v>
      </c>
      <c r="E10" s="923">
        <f t="shared" ref="E10:AC10" si="0">E11 +E13</f>
        <v>768.3</v>
      </c>
      <c r="F10" s="923">
        <f t="shared" si="0"/>
        <v>781.1</v>
      </c>
      <c r="G10" s="923">
        <f t="shared" si="0"/>
        <v>792.1</v>
      </c>
      <c r="H10" s="923">
        <f t="shared" si="0"/>
        <v>801.3</v>
      </c>
      <c r="I10" s="923">
        <f t="shared" si="0"/>
        <v>808.5</v>
      </c>
      <c r="J10" s="923">
        <f t="shared" si="0"/>
        <v>821.6</v>
      </c>
      <c r="K10" s="923">
        <f t="shared" si="0"/>
        <v>825.8</v>
      </c>
      <c r="L10" s="923">
        <f t="shared" si="0"/>
        <v>821</v>
      </c>
      <c r="M10" s="923">
        <f t="shared" si="0"/>
        <v>814.1</v>
      </c>
      <c r="N10" s="923">
        <f t="shared" si="0"/>
        <v>815.3</v>
      </c>
      <c r="O10" s="924">
        <f t="shared" si="0"/>
        <v>0</v>
      </c>
      <c r="P10" s="674">
        <f t="shared" si="0"/>
        <v>-0.24817867266275329</v>
      </c>
      <c r="Q10" s="674">
        <f t="shared" si="0"/>
        <v>-16.514588757086585</v>
      </c>
      <c r="R10" s="674">
        <f t="shared" si="0"/>
        <v>-16.78598013313465</v>
      </c>
      <c r="S10" s="674">
        <f t="shared" si="0"/>
        <v>-31.062445940172523</v>
      </c>
      <c r="T10" s="674">
        <f t="shared" si="0"/>
        <v>-31.344081059070202</v>
      </c>
      <c r="U10" s="674">
        <f t="shared" si="0"/>
        <v>-31.630547174254353</v>
      </c>
      <c r="V10" s="674">
        <f t="shared" si="0"/>
        <v>-31.922361464727253</v>
      </c>
      <c r="W10" s="674">
        <f t="shared" si="0"/>
        <v>-32.219623778175603</v>
      </c>
      <c r="X10" s="674">
        <f t="shared" si="0"/>
        <v>-32.52243582639116</v>
      </c>
      <c r="Y10" s="674">
        <f t="shared" si="0"/>
        <v>-32.826488519509027</v>
      </c>
      <c r="Z10" s="674">
        <f t="shared" si="0"/>
        <v>-33.13613651595648</v>
      </c>
      <c r="AA10" s="674">
        <f t="shared" si="0"/>
        <v>-33.45148278281804</v>
      </c>
      <c r="AB10" s="674">
        <f t="shared" si="0"/>
        <v>-33.772632182021063</v>
      </c>
      <c r="AC10" s="985">
        <f t="shared" si="0"/>
        <v>-34.099691505205442</v>
      </c>
    </row>
    <row r="11" spans="2:29" x14ac:dyDescent="0.3">
      <c r="B11" s="81" t="s">
        <v>80</v>
      </c>
      <c r="C11" s="166" t="s">
        <v>625</v>
      </c>
      <c r="D11" s="156">
        <f>'Haver Pivoted'!GO12</f>
        <v>754.2</v>
      </c>
      <c r="E11" s="157">
        <f>'Haver Pivoted'!GP12</f>
        <v>768.3</v>
      </c>
      <c r="F11" s="157">
        <f>'Haver Pivoted'!GQ12</f>
        <v>781.1</v>
      </c>
      <c r="G11" s="157">
        <f>'Haver Pivoted'!GR12</f>
        <v>792.1</v>
      </c>
      <c r="H11" s="157">
        <f>'Haver Pivoted'!GS12</f>
        <v>801.3</v>
      </c>
      <c r="I11" s="157">
        <f>'Haver Pivoted'!GT12</f>
        <v>808.5</v>
      </c>
      <c r="J11" s="157">
        <f>'Haver Pivoted'!GU12</f>
        <v>821.6</v>
      </c>
      <c r="K11" s="157">
        <f>'Haver Pivoted'!GV12</f>
        <v>825.8</v>
      </c>
      <c r="L11" s="157">
        <f>'Haver Pivoted'!GW12</f>
        <v>821</v>
      </c>
      <c r="M11" s="157">
        <f>'Haver Pivoted'!GX12</f>
        <v>814.1</v>
      </c>
      <c r="N11" s="157">
        <f>'Haver Pivoted'!GY12</f>
        <v>815.3</v>
      </c>
      <c r="O11" s="979">
        <f>'Haver Pivoted'!GZ12</f>
        <v>0</v>
      </c>
      <c r="P11" s="164">
        <f t="shared" ref="P11:AC11" si="1">P12+P14</f>
        <v>-0.24817867266275329</v>
      </c>
      <c r="Q11" s="164">
        <f t="shared" si="1"/>
        <v>-0.51458875708658525</v>
      </c>
      <c r="R11" s="164">
        <f t="shared" si="1"/>
        <v>-0.78598013313465032</v>
      </c>
      <c r="S11" s="164">
        <f t="shared" si="1"/>
        <v>-15.062445940172521</v>
      </c>
      <c r="T11" s="164">
        <f t="shared" si="1"/>
        <v>-15.344081059070202</v>
      </c>
      <c r="U11" s="164">
        <f t="shared" si="1"/>
        <v>-15.630547174254353</v>
      </c>
      <c r="V11" s="164">
        <f t="shared" si="1"/>
        <v>-15.922361464727254</v>
      </c>
      <c r="W11" s="164">
        <f t="shared" si="1"/>
        <v>-16.219623778175606</v>
      </c>
      <c r="X11" s="164">
        <f t="shared" si="1"/>
        <v>-16.522435826391156</v>
      </c>
      <c r="Y11" s="164">
        <f t="shared" si="1"/>
        <v>-16.826488519509027</v>
      </c>
      <c r="Z11" s="164">
        <f t="shared" si="1"/>
        <v>-17.136136515956483</v>
      </c>
      <c r="AA11" s="164">
        <f t="shared" si="1"/>
        <v>-17.45148278281804</v>
      </c>
      <c r="AB11" s="164">
        <f t="shared" si="1"/>
        <v>-17.772632182021063</v>
      </c>
      <c r="AC11" s="653">
        <f t="shared" si="1"/>
        <v>-18.099691505205445</v>
      </c>
    </row>
    <row r="12" spans="2:29" x14ac:dyDescent="0.3">
      <c r="B12" s="81" t="s">
        <v>626</v>
      </c>
      <c r="C12" s="166"/>
      <c r="D12" s="156"/>
      <c r="E12" s="157"/>
      <c r="F12" s="157"/>
      <c r="G12" s="157"/>
      <c r="H12" s="157"/>
      <c r="I12" s="157"/>
      <c r="J12" s="157">
        <f>J11-J14</f>
        <v>812</v>
      </c>
      <c r="K12" s="157">
        <f t="shared" ref="K12:O12" si="2">K11-K14</f>
        <v>811.4</v>
      </c>
      <c r="L12" s="157">
        <f t="shared" si="2"/>
        <v>806.7</v>
      </c>
      <c r="M12" s="157">
        <f t="shared" si="2"/>
        <v>799.9</v>
      </c>
      <c r="N12" s="157">
        <f t="shared" si="2"/>
        <v>801.19999999999993</v>
      </c>
      <c r="O12" s="979">
        <f t="shared" si="2"/>
        <v>-14</v>
      </c>
      <c r="P12" s="164">
        <f t="shared" ref="P12:AC12" si="3">O12*(1+O15)</f>
        <v>-14.248178672662753</v>
      </c>
      <c r="Q12" s="164">
        <f t="shared" si="3"/>
        <v>-14.514588757086585</v>
      </c>
      <c r="R12" s="164">
        <f t="shared" si="3"/>
        <v>-14.78598013313465</v>
      </c>
      <c r="S12" s="164">
        <f t="shared" si="3"/>
        <v>-15.062445940172521</v>
      </c>
      <c r="T12" s="164">
        <f t="shared" si="3"/>
        <v>-15.344081059070202</v>
      </c>
      <c r="U12" s="164">
        <f t="shared" si="3"/>
        <v>-15.630547174254353</v>
      </c>
      <c r="V12" s="164">
        <f t="shared" si="3"/>
        <v>-15.922361464727254</v>
      </c>
      <c r="W12" s="164">
        <f t="shared" si="3"/>
        <v>-16.219623778175606</v>
      </c>
      <c r="X12" s="164">
        <f t="shared" si="3"/>
        <v>-16.522435826391156</v>
      </c>
      <c r="Y12" s="164">
        <f t="shared" si="3"/>
        <v>-16.826488519509027</v>
      </c>
      <c r="Z12" s="164">
        <f t="shared" si="3"/>
        <v>-17.136136515956483</v>
      </c>
      <c r="AA12" s="164">
        <f t="shared" si="3"/>
        <v>-17.45148278281804</v>
      </c>
      <c r="AB12" s="164">
        <f t="shared" si="3"/>
        <v>-17.772632182021063</v>
      </c>
      <c r="AC12" s="653">
        <f t="shared" si="3"/>
        <v>-18.099691505205445</v>
      </c>
    </row>
    <row r="13" spans="2:29" x14ac:dyDescent="0.3">
      <c r="B13" s="183" t="s">
        <v>627</v>
      </c>
      <c r="C13" s="185"/>
      <c r="D13" s="156"/>
      <c r="E13" s="157"/>
      <c r="F13" s="157"/>
      <c r="G13" s="157"/>
      <c r="H13" s="157"/>
      <c r="I13" s="157"/>
      <c r="J13" s="157"/>
      <c r="K13" s="157"/>
      <c r="L13" s="157"/>
      <c r="M13" s="157"/>
      <c r="N13" s="673"/>
      <c r="O13" s="986"/>
      <c r="P13" s="171"/>
      <c r="Q13" s="171">
        <v>-16</v>
      </c>
      <c r="R13" s="171">
        <f>Q13</f>
        <v>-16</v>
      </c>
      <c r="S13" s="171">
        <f t="shared" ref="S13:Y13" si="4">R13</f>
        <v>-16</v>
      </c>
      <c r="T13" s="171">
        <f t="shared" si="4"/>
        <v>-16</v>
      </c>
      <c r="U13" s="171">
        <f t="shared" si="4"/>
        <v>-16</v>
      </c>
      <c r="V13" s="171">
        <f t="shared" si="4"/>
        <v>-16</v>
      </c>
      <c r="W13" s="171">
        <f t="shared" si="4"/>
        <v>-16</v>
      </c>
      <c r="X13" s="171">
        <f t="shared" si="4"/>
        <v>-16</v>
      </c>
      <c r="Y13" s="171">
        <f t="shared" si="4"/>
        <v>-16</v>
      </c>
      <c r="Z13" s="171">
        <f t="shared" ref="Z13" si="5">Y13</f>
        <v>-16</v>
      </c>
      <c r="AA13" s="171">
        <f t="shared" ref="AA13" si="6">Z13</f>
        <v>-16</v>
      </c>
      <c r="AB13" s="171">
        <f t="shared" ref="AB13" si="7">AA13</f>
        <v>-16</v>
      </c>
      <c r="AC13" s="654">
        <f t="shared" ref="AC13" si="8">AB13</f>
        <v>-16</v>
      </c>
    </row>
    <row r="14" spans="2:29" x14ac:dyDescent="0.3">
      <c r="B14" s="183" t="s">
        <v>628</v>
      </c>
      <c r="C14" s="672" t="s">
        <v>629</v>
      </c>
      <c r="D14" s="156"/>
      <c r="E14" s="157"/>
      <c r="F14" s="157"/>
      <c r="G14" s="157"/>
      <c r="H14" s="157"/>
      <c r="I14" s="157"/>
      <c r="J14" s="157">
        <v>9.6</v>
      </c>
      <c r="K14" s="157">
        <v>14.4</v>
      </c>
      <c r="L14" s="157">
        <v>14.3</v>
      </c>
      <c r="M14" s="157">
        <v>14.2</v>
      </c>
      <c r="N14" s="673">
        <v>14.1</v>
      </c>
      <c r="O14" s="986">
        <v>14</v>
      </c>
      <c r="P14" s="171">
        <v>14</v>
      </c>
      <c r="Q14" s="171">
        <v>14</v>
      </c>
      <c r="R14" s="171">
        <v>14</v>
      </c>
      <c r="S14" s="171"/>
      <c r="T14" s="171"/>
      <c r="U14" s="171"/>
      <c r="V14" s="171"/>
      <c r="W14" s="171"/>
      <c r="X14" s="171"/>
      <c r="Y14" s="171"/>
      <c r="Z14" s="171"/>
      <c r="AA14" s="171"/>
      <c r="AB14" s="171"/>
      <c r="AC14" s="654"/>
    </row>
    <row r="15" spans="2:29" x14ac:dyDescent="0.3">
      <c r="B15" s="161" t="s">
        <v>630</v>
      </c>
      <c r="C15" s="151"/>
      <c r="D15" s="600"/>
      <c r="E15" s="601"/>
      <c r="F15" s="601"/>
      <c r="G15" s="601"/>
      <c r="H15" s="601"/>
      <c r="I15" s="601"/>
      <c r="J15" s="602"/>
      <c r="K15" s="602"/>
      <c r="L15" s="602"/>
      <c r="M15" s="602"/>
      <c r="N15" s="602">
        <f>(1 + $E$24)^0.25-1</f>
        <v>1.7727048047339489E-2</v>
      </c>
      <c r="O15" s="925">
        <f>(1 + $E$24)^0.25-1</f>
        <v>1.7727048047339489E-2</v>
      </c>
      <c r="P15" s="178">
        <f>(1 + $F$24)^0.25-1</f>
        <v>1.8697834336888208E-2</v>
      </c>
      <c r="Q15" s="178">
        <f>(1 +$F$24)^0.25-1</f>
        <v>1.8697834336888208E-2</v>
      </c>
      <c r="R15" s="178">
        <f>(1 +$F$24)^0.25-1</f>
        <v>1.8697834336888208E-2</v>
      </c>
      <c r="S15" s="178">
        <f>(1 +$F$24)^0.25-1</f>
        <v>1.8697834336888208E-2</v>
      </c>
      <c r="T15" s="178">
        <f>(1 +$G$24)^0.25-1</f>
        <v>1.8669486564971915E-2</v>
      </c>
      <c r="U15" s="178">
        <f>(1 +$G$24)^0.25-1</f>
        <v>1.8669486564971915E-2</v>
      </c>
      <c r="V15" s="178">
        <f>(1 +$G$24)^0.25-1</f>
        <v>1.8669486564971915E-2</v>
      </c>
      <c r="W15" s="178">
        <f>(1 +$G$24)^0.25-1</f>
        <v>1.8669486564971915E-2</v>
      </c>
      <c r="X15" s="178">
        <f>(1 +$H$24)^0.25-1</f>
        <v>1.8402413319240196E-2</v>
      </c>
      <c r="Y15" s="178">
        <f>(1 +$H$24)^0.25-1</f>
        <v>1.8402413319240196E-2</v>
      </c>
      <c r="Z15" s="178">
        <f t="shared" ref="Z15:AC15" si="9">(1 +$H$24)^0.25-1</f>
        <v>1.8402413319240196E-2</v>
      </c>
      <c r="AA15" s="178">
        <f t="shared" si="9"/>
        <v>1.8402413319240196E-2</v>
      </c>
      <c r="AB15" s="178">
        <f t="shared" si="9"/>
        <v>1.8402413319240196E-2</v>
      </c>
      <c r="AC15" s="655">
        <f t="shared" si="9"/>
        <v>1.8402413319240196E-2</v>
      </c>
    </row>
    <row r="16" spans="2:29" x14ac:dyDescent="0.3">
      <c r="B16" s="669"/>
      <c r="C16" s="571"/>
      <c r="D16" s="670"/>
      <c r="E16" s="670"/>
      <c r="F16" s="670"/>
      <c r="G16" s="670"/>
      <c r="H16" s="670"/>
      <c r="I16" s="670"/>
      <c r="J16" s="671"/>
      <c r="K16" s="671"/>
      <c r="L16" s="671"/>
      <c r="M16" s="671"/>
      <c r="N16" s="671"/>
      <c r="O16" s="671"/>
      <c r="P16" s="671"/>
      <c r="Q16" s="671"/>
      <c r="R16" s="671"/>
      <c r="S16" s="671"/>
      <c r="T16" s="671"/>
      <c r="U16" s="671"/>
      <c r="V16" s="671"/>
      <c r="W16" s="671"/>
      <c r="X16" s="671"/>
      <c r="Y16" s="671"/>
      <c r="Z16" s="671"/>
      <c r="AA16" s="671"/>
      <c r="AB16" s="671"/>
      <c r="AC16" s="671"/>
    </row>
    <row r="17" spans="2:17" x14ac:dyDescent="0.3">
      <c r="B17" s="52" t="s">
        <v>493</v>
      </c>
    </row>
    <row r="18" spans="2:17" x14ac:dyDescent="0.3">
      <c r="B18" s="505" t="s">
        <v>599</v>
      </c>
      <c r="C18" s="505">
        <v>2019</v>
      </c>
      <c r="D18" s="506">
        <v>2020</v>
      </c>
      <c r="E18" s="506">
        <v>2021</v>
      </c>
      <c r="F18" s="506">
        <v>2022</v>
      </c>
      <c r="G18" s="506">
        <v>2023</v>
      </c>
      <c r="H18" s="507">
        <v>2024</v>
      </c>
      <c r="I18" s="507">
        <v>2025</v>
      </c>
      <c r="J18" s="507">
        <v>2026</v>
      </c>
    </row>
    <row r="19" spans="2:17" ht="21" customHeight="1" x14ac:dyDescent="0.3">
      <c r="B19" s="139" t="s">
        <v>631</v>
      </c>
      <c r="C19" s="512">
        <v>775</v>
      </c>
      <c r="D19" s="509">
        <v>912.11599999999999</v>
      </c>
      <c r="E19" s="509">
        <v>831.48500000000001</v>
      </c>
      <c r="F19" s="509">
        <v>862.72400000000005</v>
      </c>
      <c r="G19" s="509">
        <v>1007.266</v>
      </c>
      <c r="H19" s="509">
        <v>1088.671</v>
      </c>
      <c r="I19" s="509">
        <v>1171.1110000000001</v>
      </c>
      <c r="J19" s="510">
        <v>1258.2270000000001</v>
      </c>
      <c r="K19" s="170"/>
      <c r="L19" s="170"/>
      <c r="M19" s="170"/>
      <c r="N19" s="170"/>
      <c r="O19" s="170"/>
    </row>
    <row r="20" spans="2:17" x14ac:dyDescent="0.3">
      <c r="B20" s="41" t="s">
        <v>632</v>
      </c>
      <c r="C20" s="41"/>
      <c r="D20" s="34">
        <v>47</v>
      </c>
      <c r="E20" s="34">
        <v>-46</v>
      </c>
      <c r="J20" s="40"/>
      <c r="N20" s="433"/>
      <c r="O20" s="235"/>
      <c r="P20" s="235"/>
      <c r="Q20" s="235"/>
    </row>
    <row r="21" spans="2:17" x14ac:dyDescent="0.3">
      <c r="B21" s="41" t="s">
        <v>633</v>
      </c>
      <c r="C21" s="513">
        <f>C19-C20</f>
        <v>775</v>
      </c>
      <c r="D21" s="508">
        <f t="shared" ref="D21:H21" si="10">D19-D20</f>
        <v>865.11599999999999</v>
      </c>
      <c r="E21" s="508">
        <f t="shared" si="10"/>
        <v>877.48500000000001</v>
      </c>
      <c r="F21" s="508">
        <f t="shared" si="10"/>
        <v>862.72400000000005</v>
      </c>
      <c r="G21" s="508">
        <f t="shared" si="10"/>
        <v>1007.266</v>
      </c>
      <c r="H21" s="508">
        <f t="shared" si="10"/>
        <v>1088.671</v>
      </c>
      <c r="J21" s="40"/>
      <c r="K21" s="34" t="s">
        <v>634</v>
      </c>
    </row>
    <row r="22" spans="2:17" x14ac:dyDescent="0.3">
      <c r="B22" s="41" t="s">
        <v>635</v>
      </c>
      <c r="C22" s="514">
        <f>AVERAGE(D10:G10)</f>
        <v>773.92499999999995</v>
      </c>
      <c r="D22" s="173">
        <f>AVERAGE(H10:K10)</f>
        <v>814.3</v>
      </c>
      <c r="E22" s="508"/>
      <c r="J22" s="40"/>
      <c r="K22" s="34" t="s">
        <v>636</v>
      </c>
    </row>
    <row r="23" spans="2:17" x14ac:dyDescent="0.3">
      <c r="B23" s="41" t="s">
        <v>637</v>
      </c>
      <c r="C23" s="515">
        <v>775.32100000000003</v>
      </c>
      <c r="D23" s="344">
        <v>834.85699999999997</v>
      </c>
      <c r="E23" s="344">
        <v>895.64800000000002</v>
      </c>
      <c r="F23" s="344">
        <v>964.53700000000003</v>
      </c>
      <c r="G23" s="344">
        <v>1038.6089999999999</v>
      </c>
      <c r="H23" s="344">
        <v>1117.1969999999999</v>
      </c>
      <c r="I23" s="344">
        <v>1200.6600000000001</v>
      </c>
      <c r="J23" s="345">
        <v>1286.6790000000001</v>
      </c>
    </row>
    <row r="24" spans="2:17" x14ac:dyDescent="0.3">
      <c r="B24" s="511" t="s">
        <v>638</v>
      </c>
      <c r="C24" s="138"/>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x14ac:dyDescent="0.3">
      <c r="C26" s="344"/>
      <c r="D26" s="344"/>
      <c r="E26" s="344"/>
      <c r="F26" s="344"/>
      <c r="G26" s="344"/>
      <c r="H26" s="344"/>
      <c r="I26" s="344"/>
      <c r="J26" s="344"/>
      <c r="K26" s="344"/>
      <c r="L26" s="344"/>
      <c r="M26" s="344"/>
      <c r="N26" s="344"/>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zoomScale="82" workbookViewId="0">
      <selection activeCell="C3" sqref="C3"/>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51" customFormat="1" ht="47.5" customHeight="1" x14ac:dyDescent="0.35">
      <c r="A1" s="560" t="s">
        <v>43</v>
      </c>
      <c r="B1" s="561" t="s">
        <v>44</v>
      </c>
      <c r="C1" s="561" t="s">
        <v>45</v>
      </c>
      <c r="D1" s="561" t="s">
        <v>46</v>
      </c>
      <c r="E1" s="561" t="s">
        <v>47</v>
      </c>
      <c r="F1" s="562" t="s">
        <v>48</v>
      </c>
    </row>
    <row r="2" spans="1:7" s="551" customFormat="1" ht="16.5" customHeight="1" x14ac:dyDescent="0.35">
      <c r="A2" s="552" t="s">
        <v>49</v>
      </c>
      <c r="B2" s="553"/>
      <c r="C2" s="554"/>
      <c r="D2" s="554"/>
      <c r="E2" s="554"/>
      <c r="F2" s="554"/>
    </row>
    <row r="3" spans="1:7" s="555" customFormat="1" ht="75.650000000000006" customHeight="1" x14ac:dyDescent="0.35">
      <c r="A3" s="556" t="s">
        <v>50</v>
      </c>
      <c r="B3" s="556" t="s">
        <v>51</v>
      </c>
      <c r="C3" s="556" t="s">
        <v>52</v>
      </c>
    </row>
    <row r="4" spans="1:7" s="555" customFormat="1" ht="61.5" customHeight="1" x14ac:dyDescent="0.35">
      <c r="A4" s="555" t="s">
        <v>53</v>
      </c>
      <c r="B4" s="556" t="s">
        <v>54</v>
      </c>
      <c r="C4" s="556" t="s">
        <v>55</v>
      </c>
    </row>
    <row r="5" spans="1:7" s="555" customFormat="1" ht="61.5" customHeight="1" x14ac:dyDescent="0.35">
      <c r="A5" s="555" t="s">
        <v>56</v>
      </c>
      <c r="B5" s="556" t="s">
        <v>57</v>
      </c>
      <c r="C5" s="556" t="s">
        <v>58</v>
      </c>
    </row>
    <row r="6" spans="1:7" s="555" customFormat="1" ht="63.65" customHeight="1" x14ac:dyDescent="0.35">
      <c r="A6" s="555" t="s">
        <v>59</v>
      </c>
      <c r="B6" s="556" t="s">
        <v>60</v>
      </c>
      <c r="C6" s="557" t="s">
        <v>61</v>
      </c>
      <c r="E6" s="664" t="s">
        <v>62</v>
      </c>
      <c r="F6" s="555" t="s">
        <v>63</v>
      </c>
      <c r="G6" s="637" t="s">
        <v>64</v>
      </c>
    </row>
    <row r="7" spans="1:7" s="555" customFormat="1" ht="61.5" customHeight="1" x14ac:dyDescent="0.35">
      <c r="A7" s="555" t="s">
        <v>65</v>
      </c>
      <c r="B7" s="556" t="s">
        <v>66</v>
      </c>
      <c r="C7" s="556" t="s">
        <v>67</v>
      </c>
    </row>
    <row r="8" spans="1:7" s="555" customFormat="1" ht="54" customHeight="1" x14ac:dyDescent="0.35">
      <c r="A8" s="555" t="s">
        <v>68</v>
      </c>
      <c r="B8" s="556" t="s">
        <v>69</v>
      </c>
      <c r="C8" s="555" t="s">
        <v>70</v>
      </c>
    </row>
    <row r="9" spans="1:7" s="555" customFormat="1" ht="43" customHeight="1" x14ac:dyDescent="0.35">
      <c r="A9" s="552" t="s">
        <v>71</v>
      </c>
      <c r="B9" s="558"/>
      <c r="C9" s="559"/>
      <c r="D9" s="559"/>
      <c r="E9" s="554" t="s">
        <v>72</v>
      </c>
      <c r="F9" s="559"/>
    </row>
    <row r="10" spans="1:7" s="1" customFormat="1" ht="77.5" customHeight="1" x14ac:dyDescent="0.35">
      <c r="A10" s="431" t="s">
        <v>73</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31" t="s">
        <v>74</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31" t="s">
        <v>75</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31" t="s">
        <v>76</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3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31" t="s">
        <v>77</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31" t="s">
        <v>78</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31" t="s">
        <v>79</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31" t="s">
        <v>80</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31" t="s">
        <v>81</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31" t="s">
        <v>82</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65" customHeight="1" x14ac:dyDescent="0.35">
      <c r="A21" s="431" t="s">
        <v>83</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523" t="s">
        <v>84</v>
      </c>
      <c r="B22" s="25" t="s">
        <v>85</v>
      </c>
    </row>
    <row r="23" spans="1:6" s="1" customFormat="1" ht="36" customHeight="1" x14ac:dyDescent="0.35">
      <c r="A23" s="523" t="s">
        <v>86</v>
      </c>
      <c r="B23" s="25"/>
    </row>
    <row r="24" spans="1:6" s="1" customFormat="1" x14ac:dyDescent="0.35">
      <c r="A24" s="28" t="s">
        <v>87</v>
      </c>
      <c r="B24" s="27"/>
      <c r="C24" s="26"/>
      <c r="D24" s="26"/>
      <c r="E24" s="26"/>
      <c r="F24" s="26"/>
    </row>
    <row r="25" spans="1:6" s="1" customFormat="1" ht="102" customHeight="1" x14ac:dyDescent="0.35">
      <c r="A25" s="1" t="s">
        <v>88</v>
      </c>
      <c r="B25" s="25" t="s">
        <v>89</v>
      </c>
      <c r="C25" s="1" t="s">
        <v>90</v>
      </c>
    </row>
    <row r="26" spans="1:6" s="1" customFormat="1" ht="54" customHeight="1" x14ac:dyDescent="0.35">
      <c r="A26" s="1" t="s">
        <v>91</v>
      </c>
      <c r="B26" s="25" t="s">
        <v>92</v>
      </c>
      <c r="C26" s="1" t="s">
        <v>93</v>
      </c>
    </row>
    <row r="27" spans="1:6" s="1" customFormat="1" x14ac:dyDescent="0.35">
      <c r="B27" s="25"/>
    </row>
    <row r="28" spans="1:6" s="1" customFormat="1" x14ac:dyDescent="0.35">
      <c r="A28" s="28" t="s">
        <v>94</v>
      </c>
      <c r="B28" s="27"/>
      <c r="C28" s="26"/>
      <c r="D28" s="26"/>
      <c r="E28" s="26"/>
      <c r="F28" s="26"/>
    </row>
    <row r="29" spans="1:6" s="1" customFormat="1" ht="29" x14ac:dyDescent="0.35">
      <c r="A29" s="1" t="s">
        <v>95</v>
      </c>
      <c r="B29" s="25"/>
      <c r="C29" s="1" t="s">
        <v>96</v>
      </c>
    </row>
    <row r="30" spans="1:6" s="1" customFormat="1" ht="72.5" x14ac:dyDescent="0.35">
      <c r="A30" s="1" t="s">
        <v>97</v>
      </c>
      <c r="B30" s="25" t="s">
        <v>98</v>
      </c>
      <c r="C30" s="1" t="s">
        <v>99</v>
      </c>
    </row>
    <row r="31" spans="1:6" s="1" customFormat="1" ht="29" x14ac:dyDescent="0.35">
      <c r="A31" s="1" t="s">
        <v>100</v>
      </c>
      <c r="B31" s="25" t="s">
        <v>101</v>
      </c>
      <c r="C31" s="25" t="s">
        <v>102</v>
      </c>
    </row>
    <row r="32" spans="1:6" s="1" customFormat="1" ht="87" x14ac:dyDescent="0.35">
      <c r="A32" s="1" t="s">
        <v>103</v>
      </c>
      <c r="B32" s="25" t="s">
        <v>104</v>
      </c>
      <c r="C32" s="1" t="s">
        <v>105</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abSelected="1" zoomScale="75" workbookViewId="0">
      <selection activeCell="E48" sqref="E48"/>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042" t="s">
        <v>81</v>
      </c>
      <c r="C1" s="1042"/>
      <c r="D1" s="1042"/>
      <c r="E1" s="1042"/>
      <c r="F1" s="1042"/>
      <c r="G1" s="1042"/>
      <c r="H1" s="1042"/>
      <c r="I1" s="1042"/>
      <c r="J1" s="1042"/>
      <c r="K1" s="1042"/>
      <c r="L1" s="1042"/>
      <c r="M1" s="1042"/>
      <c r="N1" s="1042"/>
      <c r="O1" s="1042"/>
      <c r="P1" s="1042"/>
      <c r="Q1" s="1042"/>
      <c r="R1" s="1042"/>
      <c r="S1" s="1042"/>
      <c r="T1" s="1042"/>
      <c r="U1" s="1042"/>
      <c r="V1" s="1042"/>
      <c r="W1" s="1042"/>
      <c r="X1" s="1042"/>
      <c r="Y1" s="1042"/>
      <c r="Z1" s="1042"/>
      <c r="AA1" s="1042"/>
      <c r="AB1" s="1042"/>
      <c r="AC1" s="1042"/>
    </row>
    <row r="2" spans="1:29" ht="14.5" customHeight="1" x14ac:dyDescent="0.35">
      <c r="B2" s="1043" t="s">
        <v>639</v>
      </c>
      <c r="C2" s="1043"/>
      <c r="D2" s="1043"/>
      <c r="E2" s="1043"/>
      <c r="F2" s="1043"/>
      <c r="G2" s="1043"/>
      <c r="H2" s="1043"/>
      <c r="I2" s="1043"/>
      <c r="J2" s="1043"/>
      <c r="K2" s="1043"/>
      <c r="L2" s="1043"/>
      <c r="M2" s="1043"/>
      <c r="N2" s="1043"/>
      <c r="O2" s="1043"/>
      <c r="P2" s="1043"/>
      <c r="Q2" s="1043"/>
      <c r="R2" s="1043"/>
      <c r="S2" s="1043"/>
      <c r="T2" s="1043"/>
      <c r="U2" s="1043"/>
      <c r="V2" s="1043"/>
      <c r="W2" s="1043"/>
      <c r="X2" s="1043"/>
      <c r="Y2" s="1043"/>
      <c r="Z2" s="1043"/>
      <c r="AA2" s="1043"/>
      <c r="AB2" s="1043"/>
      <c r="AC2" s="1043"/>
    </row>
    <row r="3" spans="1:29" x14ac:dyDescent="0.35">
      <c r="B3" s="1043"/>
      <c r="C3" s="1043"/>
      <c r="D3" s="1043"/>
      <c r="E3" s="1043"/>
      <c r="F3" s="1043"/>
      <c r="G3" s="1043"/>
      <c r="H3" s="1043"/>
      <c r="I3" s="1043"/>
      <c r="J3" s="1043"/>
      <c r="K3" s="1043"/>
      <c r="L3" s="1043"/>
      <c r="M3" s="1043"/>
      <c r="N3" s="1043"/>
      <c r="O3" s="1043"/>
      <c r="P3" s="1043"/>
      <c r="Q3" s="1043"/>
      <c r="R3" s="1043"/>
      <c r="S3" s="1043"/>
      <c r="T3" s="1043"/>
      <c r="U3" s="1043"/>
      <c r="V3" s="1043"/>
      <c r="W3" s="1043"/>
      <c r="X3" s="1043"/>
      <c r="Y3" s="1043"/>
      <c r="Z3" s="1043"/>
      <c r="AA3" s="1043"/>
      <c r="AB3" s="1043"/>
      <c r="AC3" s="1043"/>
    </row>
    <row r="4" spans="1:29" x14ac:dyDescent="0.35">
      <c r="B4" s="1043"/>
      <c r="C4" s="1043"/>
      <c r="D4" s="1043"/>
      <c r="E4" s="1043"/>
      <c r="F4" s="1043"/>
      <c r="G4" s="1043"/>
      <c r="H4" s="1043"/>
      <c r="I4" s="1043"/>
      <c r="J4" s="1043"/>
      <c r="K4" s="1043"/>
      <c r="L4" s="1043"/>
      <c r="M4" s="1043"/>
      <c r="N4" s="1043"/>
      <c r="O4" s="1043"/>
      <c r="P4" s="1043"/>
      <c r="Q4" s="1043"/>
      <c r="R4" s="1043"/>
      <c r="S4" s="1043"/>
      <c r="T4" s="1043"/>
      <c r="U4" s="1043"/>
      <c r="V4" s="1043"/>
      <c r="W4" s="1043"/>
      <c r="X4" s="1043"/>
      <c r="Y4" s="1043"/>
      <c r="Z4" s="1043"/>
      <c r="AA4" s="1043"/>
      <c r="AB4" s="1043"/>
      <c r="AC4" s="1043"/>
    </row>
    <row r="5" spans="1:29" x14ac:dyDescent="0.35">
      <c r="B5" s="134"/>
      <c r="C5" s="34"/>
      <c r="D5" s="34"/>
      <c r="E5" s="34"/>
      <c r="F5" s="34"/>
      <c r="G5" s="34"/>
      <c r="H5" s="34"/>
      <c r="I5" s="34"/>
      <c r="J5" s="34"/>
      <c r="K5" s="34"/>
      <c r="L5" s="34"/>
      <c r="M5" s="34"/>
      <c r="N5" s="34"/>
      <c r="O5" s="34"/>
      <c r="P5" s="34"/>
      <c r="Q5" s="34"/>
      <c r="R5" s="34"/>
      <c r="S5" s="34"/>
      <c r="T5" s="34"/>
      <c r="U5" s="34"/>
      <c r="V5" s="34"/>
      <c r="W5" s="34"/>
      <c r="X5" s="34"/>
      <c r="Y5" s="34"/>
    </row>
    <row r="6" spans="1:29" x14ac:dyDescent="0.35">
      <c r="B6" s="1047" t="s">
        <v>567</v>
      </c>
      <c r="C6" s="1048"/>
      <c r="D6" s="1054" t="s">
        <v>409</v>
      </c>
      <c r="E6" s="1055"/>
      <c r="F6" s="1055"/>
      <c r="G6" s="1055"/>
      <c r="H6" s="1055"/>
      <c r="I6" s="1055"/>
      <c r="J6" s="1055"/>
      <c r="K6" s="1055"/>
      <c r="L6" s="1055"/>
      <c r="M6" s="1055"/>
      <c r="N6" s="1055"/>
      <c r="O6" s="1056"/>
      <c r="P6" s="1083" t="s">
        <v>410</v>
      </c>
      <c r="Q6" s="1084"/>
      <c r="R6" s="1084"/>
      <c r="S6" s="1084"/>
      <c r="T6" s="1084"/>
      <c r="U6" s="1084"/>
      <c r="V6" s="1084"/>
      <c r="W6" s="1084"/>
      <c r="X6" s="1084"/>
      <c r="Y6" s="1084"/>
      <c r="Z6" s="1084"/>
      <c r="AA6" s="1084"/>
      <c r="AB6" s="1084"/>
      <c r="AC6" s="1085"/>
    </row>
    <row r="7" spans="1:29" x14ac:dyDescent="0.35">
      <c r="B7" s="1049"/>
      <c r="C7" s="1050"/>
      <c r="D7" s="549">
        <v>2018</v>
      </c>
      <c r="E7" s="1044">
        <v>2019</v>
      </c>
      <c r="F7" s="1045"/>
      <c r="G7" s="1045"/>
      <c r="H7" s="1046"/>
      <c r="I7" s="1044">
        <v>2020</v>
      </c>
      <c r="J7" s="1045"/>
      <c r="K7" s="1045"/>
      <c r="L7" s="1046"/>
      <c r="M7" s="1044">
        <v>2021</v>
      </c>
      <c r="N7" s="1045"/>
      <c r="O7" s="1046"/>
      <c r="P7" s="582">
        <v>2021</v>
      </c>
      <c r="Q7" s="1051">
        <v>2022</v>
      </c>
      <c r="R7" s="1052"/>
      <c r="S7" s="1052"/>
      <c r="T7" s="1053"/>
      <c r="U7" s="1051">
        <v>2023</v>
      </c>
      <c r="V7" s="1052"/>
      <c r="W7" s="1052"/>
      <c r="X7" s="1052"/>
      <c r="Y7" s="1051">
        <v>2024</v>
      </c>
      <c r="Z7" s="1052"/>
      <c r="AA7" s="1052"/>
      <c r="AB7" s="1053"/>
      <c r="AC7" s="334">
        <v>2025</v>
      </c>
    </row>
    <row r="8" spans="1:29" x14ac:dyDescent="0.35">
      <c r="B8" s="1087"/>
      <c r="C8" s="1088"/>
      <c r="D8" s="167" t="s">
        <v>411</v>
      </c>
      <c r="E8" s="167" t="s">
        <v>412</v>
      </c>
      <c r="F8" s="148" t="s">
        <v>413</v>
      </c>
      <c r="G8" s="148" t="s">
        <v>298</v>
      </c>
      <c r="H8" s="155" t="s">
        <v>411</v>
      </c>
      <c r="I8" s="149" t="s">
        <v>412</v>
      </c>
      <c r="J8" s="149" t="s">
        <v>413</v>
      </c>
      <c r="K8" s="149" t="s">
        <v>298</v>
      </c>
      <c r="L8" s="149" t="s">
        <v>411</v>
      </c>
      <c r="M8" s="162" t="s">
        <v>412</v>
      </c>
      <c r="N8" s="149" t="s">
        <v>413</v>
      </c>
      <c r="O8" s="155" t="s">
        <v>298</v>
      </c>
      <c r="P8" s="438" t="s">
        <v>411</v>
      </c>
      <c r="Q8" s="436" t="s">
        <v>412</v>
      </c>
      <c r="R8" s="437" t="s">
        <v>413</v>
      </c>
      <c r="S8" s="437" t="s">
        <v>298</v>
      </c>
      <c r="T8" s="437" t="s">
        <v>411</v>
      </c>
      <c r="U8" s="436" t="s">
        <v>412</v>
      </c>
      <c r="V8" s="437" t="s">
        <v>413</v>
      </c>
      <c r="W8" s="437" t="s">
        <v>298</v>
      </c>
      <c r="X8" s="437" t="s">
        <v>411</v>
      </c>
      <c r="Y8" s="436" t="s">
        <v>412</v>
      </c>
      <c r="Z8" s="398" t="s">
        <v>413</v>
      </c>
      <c r="AA8" s="437" t="s">
        <v>298</v>
      </c>
      <c r="AB8" s="438" t="s">
        <v>411</v>
      </c>
      <c r="AC8" s="71" t="s">
        <v>412</v>
      </c>
    </row>
    <row r="9" spans="1:29" x14ac:dyDescent="0.35">
      <c r="B9" s="139" t="s">
        <v>81</v>
      </c>
      <c r="C9" s="234" t="s">
        <v>640</v>
      </c>
      <c r="D9" s="139"/>
      <c r="E9" s="234"/>
      <c r="F9" s="234"/>
      <c r="G9" s="234"/>
      <c r="H9" s="234"/>
      <c r="I9" s="234"/>
      <c r="J9" s="788">
        <f>'Haver Pivoted'!GU45</f>
        <v>1078.0999999999999</v>
      </c>
      <c r="K9" s="788">
        <f>'Haver Pivoted'!GV45</f>
        <v>15.6</v>
      </c>
      <c r="L9" s="788">
        <f>'Haver Pivoted'!GW45</f>
        <v>5</v>
      </c>
      <c r="M9" s="788">
        <f>'Haver Pivoted'!GX45</f>
        <v>1933.7</v>
      </c>
      <c r="N9" s="788">
        <f>'Haver Pivoted'!GY45</f>
        <v>290.10000000000002</v>
      </c>
      <c r="O9" s="789">
        <f>'Haver Pivoted'!GZ45</f>
        <v>0</v>
      </c>
      <c r="P9" s="703"/>
      <c r="Q9" s="703"/>
      <c r="R9" s="703"/>
      <c r="S9" s="703"/>
      <c r="T9" s="703"/>
      <c r="U9" s="703"/>
      <c r="V9" s="703"/>
      <c r="W9" s="703"/>
      <c r="X9" s="703"/>
      <c r="Y9" s="703"/>
      <c r="Z9" s="703"/>
      <c r="AA9" s="703"/>
      <c r="AB9" s="703"/>
      <c r="AC9" s="574"/>
    </row>
    <row r="10" spans="1:29" x14ac:dyDescent="0.35">
      <c r="B10" s="140" t="s">
        <v>266</v>
      </c>
      <c r="C10" s="141"/>
      <c r="D10" s="140"/>
      <c r="E10" s="141"/>
      <c r="F10" s="141"/>
      <c r="G10" s="141"/>
      <c r="H10" s="141"/>
      <c r="I10" s="141"/>
      <c r="J10" s="597"/>
      <c r="K10" s="597"/>
      <c r="L10" s="597"/>
      <c r="M10" s="597">
        <f>M9-M11</f>
        <v>1348.1</v>
      </c>
      <c r="N10" s="597">
        <f>N9-N11</f>
        <v>290.10000000000002</v>
      </c>
      <c r="O10" s="987">
        <f>O9-O11</f>
        <v>0</v>
      </c>
      <c r="P10" s="839"/>
      <c r="Q10" s="839">
        <f>'ARP Score'!B6*4/2 -20</f>
        <v>14.93</v>
      </c>
      <c r="R10" s="839">
        <f>'ARP Score'!B6*4/2-20</f>
        <v>14.93</v>
      </c>
      <c r="S10" s="450"/>
      <c r="T10" s="450"/>
      <c r="U10" s="450"/>
      <c r="V10" s="450"/>
      <c r="W10" s="450"/>
      <c r="X10" s="450"/>
      <c r="Y10" s="450"/>
      <c r="Z10" s="450"/>
      <c r="AA10" s="450"/>
      <c r="AB10" s="450"/>
      <c r="AC10" s="656"/>
    </row>
    <row r="11" spans="1:29" x14ac:dyDescent="0.35">
      <c r="B11" s="142" t="s">
        <v>641</v>
      </c>
      <c r="C11" s="143"/>
      <c r="D11" s="142"/>
      <c r="E11" s="143"/>
      <c r="F11" s="143"/>
      <c r="G11" s="143"/>
      <c r="H11" s="143"/>
      <c r="I11" s="143"/>
      <c r="J11" s="598">
        <f t="shared" ref="J11:L11" si="0">J9-J10</f>
        <v>1078.0999999999999</v>
      </c>
      <c r="K11" s="598">
        <f t="shared" si="0"/>
        <v>15.6</v>
      </c>
      <c r="L11" s="598">
        <f t="shared" si="0"/>
        <v>5</v>
      </c>
      <c r="M11" s="598">
        <f>SUM(C17:D17)/12*4</f>
        <v>585.6</v>
      </c>
      <c r="N11" s="598">
        <v>0</v>
      </c>
      <c r="O11" s="926">
        <v>0</v>
      </c>
      <c r="P11" s="451"/>
      <c r="Q11" s="451"/>
      <c r="R11" s="451"/>
      <c r="S11" s="451"/>
      <c r="T11" s="451"/>
      <c r="U11" s="451"/>
      <c r="V11" s="451"/>
      <c r="W11" s="451"/>
      <c r="X11" s="451"/>
      <c r="Y11" s="451"/>
      <c r="Z11" s="451"/>
      <c r="AA11" s="451"/>
      <c r="AB11" s="451"/>
      <c r="AC11" s="657"/>
    </row>
    <row r="12" spans="1:29" x14ac:dyDescent="0.35">
      <c r="B12" s="34"/>
      <c r="C12" s="34"/>
      <c r="D12" s="34"/>
      <c r="E12" s="34"/>
      <c r="F12" s="34"/>
      <c r="G12" s="34"/>
      <c r="H12" s="34"/>
      <c r="I12" s="34"/>
      <c r="J12" s="34"/>
      <c r="K12" s="34"/>
      <c r="L12" s="34"/>
      <c r="M12" s="34"/>
      <c r="N12" s="34"/>
      <c r="O12" s="34"/>
      <c r="P12" s="34"/>
      <c r="Q12" s="34"/>
      <c r="R12" s="34"/>
      <c r="S12" s="34"/>
      <c r="T12" s="34"/>
      <c r="U12" s="34"/>
      <c r="V12" s="34"/>
      <c r="W12" s="34"/>
      <c r="X12" s="34"/>
      <c r="Y12" s="34"/>
    </row>
    <row r="13" spans="1:29" x14ac:dyDescent="0.35">
      <c r="A13" s="1035"/>
      <c r="B13" s="1035"/>
      <c r="C13" s="1035"/>
      <c r="D13" s="1035"/>
      <c r="E13" s="1035"/>
      <c r="F13" s="1035"/>
      <c r="G13" s="1035"/>
      <c r="H13" s="1035"/>
      <c r="I13" s="1035"/>
      <c r="J13" s="1035"/>
      <c r="K13" s="1035"/>
      <c r="L13" s="308"/>
      <c r="M13" s="308"/>
      <c r="N13" s="308"/>
      <c r="T13" s="34"/>
      <c r="U13" s="34"/>
      <c r="V13" s="34"/>
      <c r="W13" s="34"/>
      <c r="X13" s="34"/>
      <c r="Y13" s="34"/>
    </row>
    <row r="14" spans="1:29" x14ac:dyDescent="0.35">
      <c r="A14" s="282"/>
      <c r="N14" s="1137"/>
      <c r="O14" s="1137"/>
      <c r="P14" s="1137"/>
      <c r="Q14" s="1137"/>
      <c r="R14" s="1137"/>
      <c r="S14" s="1137"/>
      <c r="T14" s="34"/>
      <c r="U14" s="34"/>
      <c r="V14" s="34"/>
      <c r="W14" s="34"/>
      <c r="X14" s="34"/>
      <c r="Y14" s="34"/>
    </row>
    <row r="15" spans="1:29" x14ac:dyDescent="0.35">
      <c r="A15" s="221"/>
      <c r="B15" s="1138" t="s">
        <v>642</v>
      </c>
      <c r="C15" s="1067">
        <v>2021</v>
      </c>
      <c r="D15" s="1068"/>
      <c r="E15" s="1068"/>
      <c r="F15" s="1068"/>
      <c r="G15" s="446"/>
      <c r="K15" s="1137"/>
      <c r="L15" s="1137"/>
      <c r="M15" s="1137"/>
      <c r="N15" s="1137"/>
      <c r="O15" s="1137"/>
      <c r="P15" s="1137"/>
      <c r="Q15" s="34"/>
      <c r="R15" s="34"/>
      <c r="S15" s="34"/>
      <c r="T15" s="34"/>
      <c r="U15" s="34"/>
      <c r="V15" s="34"/>
    </row>
    <row r="16" spans="1:29" x14ac:dyDescent="0.35">
      <c r="B16" s="1139"/>
      <c r="C16" s="311" t="s">
        <v>289</v>
      </c>
      <c r="D16" s="312" t="s">
        <v>290</v>
      </c>
      <c r="E16" s="312" t="s">
        <v>291</v>
      </c>
      <c r="F16" s="312" t="s">
        <v>292</v>
      </c>
      <c r="G16" s="447"/>
      <c r="H16" s="221"/>
      <c r="I16" s="221"/>
      <c r="J16" s="221"/>
      <c r="K16" s="221"/>
      <c r="L16" s="221"/>
      <c r="M16" s="221"/>
      <c r="N16" s="221"/>
      <c r="O16" s="221"/>
      <c r="P16" s="221"/>
      <c r="Q16" s="34"/>
      <c r="R16" s="34"/>
      <c r="S16" s="34"/>
      <c r="T16" s="34"/>
      <c r="U16" s="34"/>
      <c r="V16" s="34"/>
    </row>
    <row r="17" spans="2:25" ht="16.5" x14ac:dyDescent="0.35">
      <c r="B17" s="310" t="s">
        <v>643</v>
      </c>
      <c r="C17" s="448">
        <v>1660.9</v>
      </c>
      <c r="D17" s="448">
        <v>95.9</v>
      </c>
      <c r="E17" s="448">
        <v>4044.2</v>
      </c>
      <c r="F17" s="449">
        <v>688</v>
      </c>
      <c r="G17" s="309"/>
      <c r="H17" s="309"/>
      <c r="I17" s="309"/>
      <c r="J17" s="309"/>
      <c r="K17" s="309"/>
      <c r="L17" s="309"/>
      <c r="M17" s="34"/>
      <c r="N17" s="34"/>
      <c r="O17" s="34"/>
      <c r="P17" s="34"/>
      <c r="Q17" s="34"/>
      <c r="R17" s="34"/>
    </row>
    <row r="18" spans="2:25" x14ac:dyDescent="0.35">
      <c r="B18" s="313" t="s">
        <v>644</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14"/>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7">
    <mergeCell ref="B15:B16"/>
    <mergeCell ref="K15:L15"/>
    <mergeCell ref="M15:P15"/>
    <mergeCell ref="C15:F15"/>
    <mergeCell ref="A13:K13"/>
    <mergeCell ref="Y7:AB7"/>
    <mergeCell ref="B1:AC1"/>
    <mergeCell ref="B2:AC4"/>
    <mergeCell ref="N14:S1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1"/>
  <sheetViews>
    <sheetView topLeftCell="A49" zoomScale="67" zoomScaleNormal="90" workbookViewId="0">
      <selection activeCell="F67" sqref="F67"/>
    </sheetView>
  </sheetViews>
  <sheetFormatPr defaultColWidth="8.54296875" defaultRowHeight="14" x14ac:dyDescent="0.3"/>
  <cols>
    <col min="1" max="1" width="14.1796875" style="34" customWidth="1"/>
    <col min="2" max="2" width="49.453125" style="34" customWidth="1"/>
    <col min="3" max="3" width="8.453125" style="34" customWidth="1"/>
    <col min="4" max="4" width="9.453125" style="34" customWidth="1"/>
    <col min="5" max="6" width="9.81640625" style="34" customWidth="1"/>
    <col min="7" max="7" width="9.54296875" style="34" customWidth="1"/>
    <col min="8" max="12" width="11.54296875" style="34" bestFit="1" customWidth="1"/>
    <col min="13" max="13" width="12.54296875" style="34" bestFit="1" customWidth="1"/>
    <col min="14" max="14" width="18.453125" style="34" bestFit="1" customWidth="1"/>
    <col min="15" max="25" width="13.453125" style="34" bestFit="1" customWidth="1"/>
    <col min="26" max="26" width="12.54296875" style="34" customWidth="1"/>
    <col min="27" max="16384" width="8.54296875" style="34"/>
  </cols>
  <sheetData>
    <row r="1" spans="2:29" ht="18" customHeight="1" x14ac:dyDescent="0.3">
      <c r="B1" s="1140" t="s">
        <v>645</v>
      </c>
      <c r="C1" s="1140"/>
      <c r="D1" s="1140"/>
      <c r="E1" s="1140"/>
      <c r="F1" s="1140"/>
      <c r="G1" s="1140"/>
      <c r="H1" s="1140"/>
      <c r="I1" s="1140"/>
      <c r="J1" s="1140"/>
      <c r="K1" s="1140"/>
      <c r="L1" s="1140"/>
      <c r="M1" s="1140"/>
      <c r="N1" s="1140"/>
      <c r="O1" s="1140"/>
      <c r="P1" s="1140"/>
      <c r="Q1" s="1140"/>
      <c r="R1" s="1140"/>
      <c r="S1" s="1140"/>
      <c r="T1" s="1140"/>
      <c r="U1" s="1140"/>
      <c r="V1" s="1140"/>
      <c r="W1" s="1140"/>
      <c r="X1" s="1140"/>
      <c r="Y1" s="1140"/>
      <c r="Z1" s="1140"/>
      <c r="AA1" s="1140"/>
      <c r="AB1" s="1140"/>
      <c r="AC1" s="1140"/>
    </row>
    <row r="2" spans="2:29" ht="82" customHeight="1" x14ac:dyDescent="0.3">
      <c r="B2" s="1075" t="s">
        <v>646</v>
      </c>
      <c r="C2" s="1075"/>
      <c r="D2" s="1075"/>
      <c r="E2" s="1075"/>
      <c r="F2" s="1075"/>
      <c r="G2" s="1075"/>
      <c r="H2" s="1075"/>
      <c r="I2" s="1075"/>
      <c r="J2" s="1075"/>
      <c r="K2" s="1075"/>
      <c r="L2" s="1075"/>
      <c r="M2" s="1075"/>
      <c r="N2" s="1075"/>
      <c r="O2" s="1075"/>
      <c r="P2" s="1075"/>
      <c r="Q2" s="1075"/>
      <c r="R2" s="1075"/>
      <c r="S2" s="1075"/>
      <c r="T2" s="1075"/>
      <c r="U2" s="1075"/>
      <c r="V2" s="1075"/>
      <c r="W2" s="1075"/>
      <c r="X2" s="1075"/>
      <c r="Y2" s="1075"/>
      <c r="Z2" s="1075"/>
      <c r="AA2" s="1075"/>
      <c r="AB2" s="1075"/>
      <c r="AC2" s="1075"/>
    </row>
    <row r="3" spans="2:29" ht="3" customHeight="1" x14ac:dyDescent="0.3">
      <c r="B3" s="1075"/>
      <c r="C3" s="1075"/>
      <c r="D3" s="1075"/>
      <c r="E3" s="1075"/>
      <c r="F3" s="1075"/>
      <c r="G3" s="1075"/>
      <c r="H3" s="1075"/>
      <c r="I3" s="1075"/>
      <c r="J3" s="1075"/>
      <c r="K3" s="1075"/>
      <c r="L3" s="1075"/>
      <c r="M3" s="1075"/>
      <c r="N3" s="1075"/>
      <c r="O3" s="1075"/>
      <c r="P3" s="1075"/>
      <c r="Q3" s="1075"/>
      <c r="R3" s="1075"/>
      <c r="S3" s="1075"/>
      <c r="T3" s="1075"/>
      <c r="U3" s="1075"/>
      <c r="V3" s="1075"/>
      <c r="W3" s="1075"/>
      <c r="X3" s="1075"/>
      <c r="Y3" s="1075"/>
      <c r="Z3" s="1075"/>
      <c r="AA3" s="1075"/>
      <c r="AB3" s="1075"/>
      <c r="AC3" s="1075"/>
    </row>
    <row r="4" spans="2:29" ht="10" hidden="1" customHeight="1" x14ac:dyDescent="0.3">
      <c r="B4" s="1075"/>
      <c r="C4" s="1075"/>
      <c r="D4" s="1075"/>
      <c r="E4" s="1075"/>
      <c r="F4" s="1075"/>
      <c r="G4" s="1075"/>
      <c r="H4" s="1075"/>
      <c r="I4" s="1075"/>
      <c r="J4" s="1075"/>
      <c r="K4" s="1075"/>
      <c r="L4" s="1075"/>
      <c r="M4" s="1075"/>
      <c r="N4" s="1075"/>
      <c r="O4" s="1075"/>
      <c r="P4" s="1075"/>
      <c r="Q4" s="1075"/>
      <c r="R4" s="1075"/>
      <c r="S4" s="1075"/>
      <c r="T4" s="1075"/>
      <c r="U4" s="1075"/>
      <c r="V4" s="1075"/>
      <c r="W4" s="1075"/>
      <c r="X4" s="1075"/>
      <c r="Y4" s="1075"/>
      <c r="Z4" s="1075"/>
      <c r="AA4" s="1075"/>
      <c r="AB4" s="1075"/>
      <c r="AC4" s="1075"/>
    </row>
    <row r="5" spans="2:29" ht="14.15" hidden="1" customHeight="1" x14ac:dyDescent="0.3">
      <c r="B5" s="1075"/>
      <c r="C5" s="1075"/>
      <c r="D5" s="1075"/>
      <c r="E5" s="1075"/>
      <c r="F5" s="1075"/>
      <c r="G5" s="1075"/>
      <c r="H5" s="1075"/>
      <c r="I5" s="1075"/>
      <c r="J5" s="1075"/>
      <c r="K5" s="1075"/>
      <c r="L5" s="1075"/>
      <c r="M5" s="1075"/>
      <c r="N5" s="1075"/>
      <c r="O5" s="1075"/>
      <c r="P5" s="1075"/>
      <c r="Q5" s="1075"/>
      <c r="R5" s="1075"/>
      <c r="S5" s="1075"/>
      <c r="T5" s="1075"/>
      <c r="U5" s="1075"/>
      <c r="V5" s="1075"/>
      <c r="W5" s="1075"/>
      <c r="X5" s="1075"/>
      <c r="Y5" s="1075"/>
      <c r="Z5" s="1075"/>
      <c r="AA5" s="1075"/>
      <c r="AB5" s="1075"/>
      <c r="AC5" s="1075"/>
    </row>
    <row r="6" spans="2:29" ht="14.15" hidden="1" customHeight="1" x14ac:dyDescent="0.3">
      <c r="B6" s="1075"/>
      <c r="C6" s="1075"/>
      <c r="D6" s="1075"/>
      <c r="E6" s="1075"/>
      <c r="F6" s="1075"/>
      <c r="G6" s="1075"/>
      <c r="H6" s="1075"/>
      <c r="I6" s="1075"/>
      <c r="J6" s="1075"/>
      <c r="K6" s="1075"/>
      <c r="L6" s="1075"/>
      <c r="M6" s="1075"/>
      <c r="N6" s="1075"/>
      <c r="O6" s="1075"/>
      <c r="P6" s="1075"/>
      <c r="Q6" s="1075"/>
      <c r="R6" s="1075"/>
      <c r="S6" s="1075"/>
      <c r="T6" s="1075"/>
      <c r="U6" s="1075"/>
      <c r="V6" s="1075"/>
      <c r="W6" s="1075"/>
      <c r="X6" s="1075"/>
      <c r="Y6" s="1075"/>
      <c r="Z6" s="1075"/>
      <c r="AA6" s="1075"/>
      <c r="AB6" s="1075"/>
      <c r="AC6" s="1075"/>
    </row>
    <row r="7" spans="2:29" x14ac:dyDescent="0.3">
      <c r="B7" s="367" t="s">
        <v>473</v>
      </c>
      <c r="C7" s="46"/>
      <c r="D7" s="46"/>
      <c r="E7" s="46"/>
      <c r="F7" s="46"/>
      <c r="G7" s="46"/>
      <c r="H7" s="47"/>
      <c r="I7" s="47"/>
      <c r="J7" s="47"/>
      <c r="K7" s="47"/>
      <c r="L7" s="47"/>
      <c r="M7" s="47"/>
      <c r="N7" s="47"/>
      <c r="O7" s="47"/>
      <c r="P7" s="47"/>
      <c r="Q7" s="47"/>
      <c r="R7" s="47"/>
      <c r="S7" s="47"/>
      <c r="T7" s="47"/>
      <c r="U7" s="47"/>
    </row>
    <row r="8" spans="2:29" ht="14.5" customHeight="1" x14ac:dyDescent="0.3">
      <c r="B8" s="1047" t="s">
        <v>437</v>
      </c>
      <c r="C8" s="1048"/>
      <c r="D8" s="1054" t="s">
        <v>409</v>
      </c>
      <c r="E8" s="1055"/>
      <c r="F8" s="1055"/>
      <c r="G8" s="1055"/>
      <c r="H8" s="1055"/>
      <c r="I8" s="1055"/>
      <c r="J8" s="1055"/>
      <c r="K8" s="1055"/>
      <c r="L8" s="1055"/>
      <c r="M8" s="1055"/>
      <c r="N8" s="1055"/>
      <c r="O8" s="1056"/>
      <c r="P8" s="1083" t="s">
        <v>410</v>
      </c>
      <c r="Q8" s="1084"/>
      <c r="R8" s="1084"/>
      <c r="S8" s="1084"/>
      <c r="T8" s="1084"/>
      <c r="U8" s="1084"/>
      <c r="V8" s="1084"/>
      <c r="W8" s="1084"/>
      <c r="X8" s="1084"/>
      <c r="Y8" s="1084"/>
      <c r="Z8" s="1084"/>
      <c r="AA8" s="1084"/>
      <c r="AB8" s="1084"/>
      <c r="AC8" s="1085"/>
    </row>
    <row r="9" spans="2:29" ht="14.5" customHeight="1" x14ac:dyDescent="0.3">
      <c r="B9" s="1049"/>
      <c r="C9" s="1108"/>
      <c r="D9" s="549">
        <v>2018</v>
      </c>
      <c r="E9" s="1044">
        <v>2019</v>
      </c>
      <c r="F9" s="1045"/>
      <c r="G9" s="1045"/>
      <c r="H9" s="1046"/>
      <c r="I9" s="1044">
        <v>2020</v>
      </c>
      <c r="J9" s="1045"/>
      <c r="K9" s="1045"/>
      <c r="L9" s="1046"/>
      <c r="M9" s="1044">
        <v>2021</v>
      </c>
      <c r="N9" s="1045"/>
      <c r="O9" s="1046"/>
      <c r="P9" s="582">
        <v>2021</v>
      </c>
      <c r="Q9" s="1051">
        <v>2022</v>
      </c>
      <c r="R9" s="1052"/>
      <c r="S9" s="1052"/>
      <c r="T9" s="1053"/>
      <c r="U9" s="1051">
        <v>2023</v>
      </c>
      <c r="V9" s="1052"/>
      <c r="W9" s="1052"/>
      <c r="X9" s="1052"/>
      <c r="Y9" s="1051">
        <v>2024</v>
      </c>
      <c r="Z9" s="1052"/>
      <c r="AA9" s="1052"/>
      <c r="AB9" s="1053"/>
      <c r="AC9" s="334">
        <v>2025</v>
      </c>
    </row>
    <row r="10" spans="2:29" x14ac:dyDescent="0.3">
      <c r="B10" s="1049"/>
      <c r="C10" s="1108"/>
      <c r="D10" s="167" t="s">
        <v>411</v>
      </c>
      <c r="E10" s="167" t="s">
        <v>412</v>
      </c>
      <c r="F10" s="148" t="s">
        <v>413</v>
      </c>
      <c r="G10" s="148" t="s">
        <v>298</v>
      </c>
      <c r="H10" s="155" t="s">
        <v>411</v>
      </c>
      <c r="I10" s="149" t="s">
        <v>412</v>
      </c>
      <c r="J10" s="149" t="s">
        <v>413</v>
      </c>
      <c r="K10" s="149" t="s">
        <v>298</v>
      </c>
      <c r="L10" s="149" t="s">
        <v>411</v>
      </c>
      <c r="M10" s="162" t="s">
        <v>412</v>
      </c>
      <c r="N10" s="149" t="s">
        <v>413</v>
      </c>
      <c r="O10" s="155" t="s">
        <v>298</v>
      </c>
      <c r="P10" s="438" t="s">
        <v>411</v>
      </c>
      <c r="Q10" s="436" t="s">
        <v>412</v>
      </c>
      <c r="R10" s="437" t="s">
        <v>413</v>
      </c>
      <c r="S10" s="437" t="s">
        <v>298</v>
      </c>
      <c r="T10" s="437" t="s">
        <v>411</v>
      </c>
      <c r="U10" s="436" t="s">
        <v>412</v>
      </c>
      <c r="V10" s="437" t="s">
        <v>413</v>
      </c>
      <c r="W10" s="437" t="s">
        <v>298</v>
      </c>
      <c r="X10" s="437" t="s">
        <v>411</v>
      </c>
      <c r="Y10" s="436" t="s">
        <v>412</v>
      </c>
      <c r="Z10" s="398" t="s">
        <v>413</v>
      </c>
      <c r="AA10" s="437" t="s">
        <v>298</v>
      </c>
      <c r="AB10" s="438" t="s">
        <v>411</v>
      </c>
      <c r="AC10" s="71" t="s">
        <v>412</v>
      </c>
    </row>
    <row r="11" spans="2:29" x14ac:dyDescent="0.3">
      <c r="B11" s="1144" t="s">
        <v>647</v>
      </c>
      <c r="C11" s="1145"/>
      <c r="D11" s="862"/>
      <c r="E11" s="927"/>
      <c r="F11" s="927"/>
      <c r="G11" s="927"/>
      <c r="H11" s="788"/>
      <c r="I11" s="788"/>
      <c r="J11" s="788"/>
      <c r="K11" s="788"/>
      <c r="L11" s="788"/>
      <c r="M11" s="788"/>
      <c r="N11" s="788"/>
      <c r="O11" s="789"/>
      <c r="P11" s="703"/>
      <c r="Q11" s="703"/>
      <c r="R11" s="703"/>
      <c r="S11" s="703"/>
      <c r="T11" s="703"/>
      <c r="U11" s="703"/>
      <c r="V11" s="703"/>
      <c r="W11" s="703"/>
      <c r="X11" s="703"/>
      <c r="Y11" s="703"/>
      <c r="Z11" s="703"/>
      <c r="AA11" s="703"/>
      <c r="AB11" s="703"/>
      <c r="AC11" s="574"/>
    </row>
    <row r="12" spans="2:29" x14ac:dyDescent="0.3">
      <c r="B12" s="158" t="s">
        <v>648</v>
      </c>
      <c r="C12" s="34" t="s">
        <v>649</v>
      </c>
      <c r="D12" s="156">
        <f>'Haver Pivoted'!GO31</f>
        <v>2222.3000000000002</v>
      </c>
      <c r="E12" s="157">
        <f>'Haver Pivoted'!GP31</f>
        <v>2298.1</v>
      </c>
      <c r="F12" s="157">
        <f>'Haver Pivoted'!GQ31</f>
        <v>2315.5</v>
      </c>
      <c r="G12" s="157">
        <f>'Haver Pivoted'!GR31</f>
        <v>2333.1999999999998</v>
      </c>
      <c r="H12" s="157">
        <f>'Haver Pivoted'!GS31</f>
        <v>2350.8000000000002</v>
      </c>
      <c r="I12" s="157">
        <f>'Haver Pivoted'!GT31</f>
        <v>2417.9</v>
      </c>
      <c r="J12" s="157">
        <f>'Haver Pivoted'!GU31</f>
        <v>4766.7</v>
      </c>
      <c r="K12" s="157">
        <f>'Haver Pivoted'!GV31</f>
        <v>3468.3</v>
      </c>
      <c r="L12" s="157">
        <f>'Haver Pivoted'!GW31</f>
        <v>2839.1</v>
      </c>
      <c r="M12" s="157">
        <f>'Haver Pivoted'!GX31</f>
        <v>5070.6000000000004</v>
      </c>
      <c r="N12" s="157">
        <f>'Haver Pivoted'!GY31</f>
        <v>3372.3</v>
      </c>
      <c r="O12" s="979">
        <f>'Haver Pivoted'!GZ31</f>
        <v>0</v>
      </c>
      <c r="P12" s="159" t="e">
        <f t="shared" ref="P12:Y12" si="0">SUM(P13:P21)</f>
        <v>#DIV/0!</v>
      </c>
      <c r="Q12" s="159" t="e">
        <f t="shared" si="0"/>
        <v>#DIV/0!</v>
      </c>
      <c r="R12" s="159" t="e">
        <f t="shared" si="0"/>
        <v>#DIV/0!</v>
      </c>
      <c r="S12" s="159">
        <f t="shared" si="0"/>
        <v>1800.9397660669501</v>
      </c>
      <c r="T12" s="159">
        <f t="shared" si="0"/>
        <v>1689.3981309480525</v>
      </c>
      <c r="U12" s="159">
        <f t="shared" si="0"/>
        <v>1766.4640036952105</v>
      </c>
      <c r="V12" s="159">
        <f t="shared" si="0"/>
        <v>1773.2721894047379</v>
      </c>
      <c r="W12" s="159">
        <f t="shared" si="0"/>
        <v>1780.0749270912895</v>
      </c>
      <c r="X12" s="159">
        <f t="shared" si="0"/>
        <v>1779.1571150430741</v>
      </c>
      <c r="Y12" s="159">
        <f t="shared" si="0"/>
        <v>1852.2758316868271</v>
      </c>
      <c r="Z12" s="159">
        <f t="shared" ref="Z12:AC12" si="1">SUM(Z13:Z21)</f>
        <v>1859.0661836903796</v>
      </c>
      <c r="AA12" s="159">
        <f t="shared" si="1"/>
        <v>1865.8508374235182</v>
      </c>
      <c r="AB12" s="159">
        <f t="shared" si="1"/>
        <v>1870.9306880243155</v>
      </c>
      <c r="AC12" s="652">
        <f t="shared" si="1"/>
        <v>1877.703628701131</v>
      </c>
    </row>
    <row r="13" spans="2:29" ht="28" x14ac:dyDescent="0.3">
      <c r="B13" s="184" t="s">
        <v>650</v>
      </c>
      <c r="D13" s="156">
        <f>'Unemployment Insurance'!D20+'Unemployment Insurance'!D19</f>
        <v>27.1</v>
      </c>
      <c r="E13" s="157">
        <f>'Unemployment Insurance'!E20+'Unemployment Insurance'!E19</f>
        <v>28.4</v>
      </c>
      <c r="F13" s="157">
        <f>'Unemployment Insurance'!F20+'Unemployment Insurance'!F19</f>
        <v>27.8</v>
      </c>
      <c r="G13" s="157">
        <f>'Unemployment Insurance'!G20+'Unemployment Insurance'!G19</f>
        <v>27.4</v>
      </c>
      <c r="H13" s="157">
        <f>'Unemployment Insurance'!H20+'Unemployment Insurance'!H19</f>
        <v>26.8</v>
      </c>
      <c r="I13" s="157">
        <f>'Unemployment Insurance'!I20+'Unemployment Insurance'!I19</f>
        <v>39.5</v>
      </c>
      <c r="J13" s="157">
        <f>'Unemployment Insurance'!J20+'Unemployment Insurance'!J19</f>
        <v>1039.4000000000001</v>
      </c>
      <c r="K13" s="157">
        <f>'Unemployment Insurance'!K20+'Unemployment Insurance'!K19</f>
        <v>767.8</v>
      </c>
      <c r="L13" s="157">
        <f>'Unemployment Insurance'!L20+'Unemployment Insurance'!L19</f>
        <v>299.89999999999998</v>
      </c>
      <c r="M13" s="157">
        <f>'Unemployment Insurance'!M20+'Unemployment Insurance'!M19</f>
        <v>565.79999999999995</v>
      </c>
      <c r="N13" s="157">
        <f>'Unemployment Insurance'!N20+'Unemployment Insurance'!N19</f>
        <v>480.4</v>
      </c>
      <c r="O13" s="979">
        <f>'Unemployment Insurance'!O20+'Unemployment Insurance'!O19</f>
        <v>0</v>
      </c>
      <c r="P13" s="159">
        <f>'Unemployment Insurance'!P20+'Unemployment Insurance'!P19</f>
        <v>0</v>
      </c>
      <c r="Q13" s="159">
        <f>'Unemployment Insurance'!Q20+'Unemployment Insurance'!Q19</f>
        <v>0</v>
      </c>
      <c r="R13" s="159">
        <f>'Unemployment Insurance'!R20+'Unemployment Insurance'!R19</f>
        <v>0</v>
      </c>
      <c r="S13" s="159">
        <f>'Unemployment Insurance'!S20+'Unemployment Insurance'!S19</f>
        <v>0</v>
      </c>
      <c r="T13" s="159">
        <f>'Unemployment Insurance'!T20+'Unemployment Insurance'!T19</f>
        <v>0</v>
      </c>
      <c r="U13" s="159">
        <f>'Unemployment Insurance'!U20+'Unemployment Insurance'!U19</f>
        <v>0</v>
      </c>
      <c r="V13" s="159">
        <f>'Unemployment Insurance'!V20+'Unemployment Insurance'!V19</f>
        <v>0</v>
      </c>
      <c r="W13" s="159">
        <f>'Unemployment Insurance'!W20+'Unemployment Insurance'!W19</f>
        <v>0</v>
      </c>
      <c r="X13" s="159">
        <f>'Unemployment Insurance'!X20+'Unemployment Insurance'!X19</f>
        <v>0</v>
      </c>
      <c r="Y13" s="159">
        <f>'Unemployment Insurance'!Y20+'Unemployment Insurance'!Y19</f>
        <v>0</v>
      </c>
      <c r="Z13" s="159">
        <f>'Unemployment Insurance'!Z20+'Unemployment Insurance'!Z19</f>
        <v>0</v>
      </c>
      <c r="AA13" s="159">
        <f>'Unemployment Insurance'!AA20+'Unemployment Insurance'!AA19</f>
        <v>0</v>
      </c>
      <c r="AB13" s="159">
        <f>'Unemployment Insurance'!AB20+'Unemployment Insurance'!AB19</f>
        <v>0</v>
      </c>
      <c r="AC13" s="652">
        <f>'Unemployment Insurance'!AC20+'Unemployment Insurance'!AC19</f>
        <v>0</v>
      </c>
    </row>
    <row r="14" spans="2:29" x14ac:dyDescent="0.3">
      <c r="B14" s="184" t="s">
        <v>80</v>
      </c>
      <c r="D14" s="156">
        <f>Medicare!D10</f>
        <v>754.2</v>
      </c>
      <c r="E14" s="157">
        <f>Medicare!E10</f>
        <v>768.3</v>
      </c>
      <c r="F14" s="157">
        <f>Medicare!F10</f>
        <v>781.1</v>
      </c>
      <c r="G14" s="157">
        <f>Medicare!G10</f>
        <v>792.1</v>
      </c>
      <c r="H14" s="157">
        <f>Medicare!H10</f>
        <v>801.3</v>
      </c>
      <c r="I14" s="157">
        <f>Medicare!I10</f>
        <v>808.5</v>
      </c>
      <c r="J14" s="157">
        <f>Medicare!J10</f>
        <v>821.6</v>
      </c>
      <c r="K14" s="157">
        <f>Medicare!K10</f>
        <v>825.8</v>
      </c>
      <c r="L14" s="157">
        <f>Medicare!L10</f>
        <v>821</v>
      </c>
      <c r="M14" s="157">
        <f>Medicare!M10</f>
        <v>814.1</v>
      </c>
      <c r="N14" s="157">
        <f>Medicare!N10</f>
        <v>815.3</v>
      </c>
      <c r="O14" s="979">
        <f>Medicare!O10</f>
        <v>0</v>
      </c>
      <c r="P14" s="159">
        <f>Medicare!P10</f>
        <v>-0.24817867266275329</v>
      </c>
      <c r="Q14" s="159">
        <f>Medicare!Q10</f>
        <v>-16.514588757086585</v>
      </c>
      <c r="R14" s="159">
        <f>Medicare!R10</f>
        <v>-16.78598013313465</v>
      </c>
      <c r="S14" s="159">
        <f>Medicare!S10</f>
        <v>-31.062445940172523</v>
      </c>
      <c r="T14" s="159">
        <f>Medicare!T10</f>
        <v>-31.344081059070202</v>
      </c>
      <c r="U14" s="159">
        <f>Medicare!U10</f>
        <v>-31.630547174254353</v>
      </c>
      <c r="V14" s="159">
        <f>Medicare!V10</f>
        <v>-31.922361464727253</v>
      </c>
      <c r="W14" s="159">
        <f>Medicare!W10</f>
        <v>-32.219623778175603</v>
      </c>
      <c r="X14" s="159">
        <f>Medicare!X10</f>
        <v>-32.52243582639116</v>
      </c>
      <c r="Y14" s="159">
        <f>Medicare!Y10</f>
        <v>-32.826488519509027</v>
      </c>
      <c r="Z14" s="159">
        <f>Medicare!Z10</f>
        <v>-33.13613651595648</v>
      </c>
      <c r="AA14" s="159">
        <f>Medicare!AA10</f>
        <v>-33.45148278281804</v>
      </c>
      <c r="AB14" s="159">
        <f>Medicare!AB10</f>
        <v>-33.772632182021063</v>
      </c>
      <c r="AC14" s="652">
        <f>Medicare!AC10</f>
        <v>-34.099691505205442</v>
      </c>
    </row>
    <row r="15" spans="2:29" ht="28" x14ac:dyDescent="0.3">
      <c r="B15" s="180" t="s">
        <v>651</v>
      </c>
      <c r="D15" s="41"/>
      <c r="H15" s="157">
        <f>'Rebate Checks'!H10 +'Rebate Checks'!H11</f>
        <v>0</v>
      </c>
      <c r="I15" s="157">
        <f>'Rebate Checks'!I10 +'Rebate Checks'!I11</f>
        <v>0</v>
      </c>
      <c r="J15" s="157">
        <f>'Rebate Checks'!J10 +'Rebate Checks'!J11</f>
        <v>1078.0999999999999</v>
      </c>
      <c r="K15" s="157">
        <f>'Rebate Checks'!K10 +'Rebate Checks'!K11</f>
        <v>15.6</v>
      </c>
      <c r="L15" s="157">
        <f>'Rebate Checks'!L10 +'Rebate Checks'!L11</f>
        <v>5</v>
      </c>
      <c r="M15" s="157">
        <f>'Rebate Checks'!M10 +'Rebate Checks'!M11</f>
        <v>1933.6999999999998</v>
      </c>
      <c r="N15" s="157">
        <f>'Rebate Checks'!N10 +'Rebate Checks'!N11</f>
        <v>290.10000000000002</v>
      </c>
      <c r="O15" s="979">
        <f>'Rebate Checks'!O10 +'Rebate Checks'!O11</f>
        <v>0</v>
      </c>
      <c r="P15" s="159">
        <f>'Rebate Checks'!P10 +'Rebate Checks'!P11</f>
        <v>0</v>
      </c>
      <c r="Q15" s="159">
        <f>'Rebate Checks'!Q10 +'Rebate Checks'!Q11</f>
        <v>14.93</v>
      </c>
      <c r="R15" s="159">
        <f>'Rebate Checks'!R10 +'Rebate Checks'!R11</f>
        <v>14.93</v>
      </c>
      <c r="S15" s="159">
        <f>'Rebate Checks'!S10 +'Rebate Checks'!S11</f>
        <v>0</v>
      </c>
      <c r="T15" s="159">
        <f>'Rebate Checks'!T10 +'Rebate Checks'!T11</f>
        <v>0</v>
      </c>
      <c r="U15" s="159">
        <f>'Rebate Checks'!U10 +'Rebate Checks'!U11</f>
        <v>0</v>
      </c>
      <c r="V15" s="159">
        <f>'Rebate Checks'!V10 +'Rebate Checks'!V11</f>
        <v>0</v>
      </c>
      <c r="W15" s="159">
        <f>'Rebate Checks'!W10 +'Rebate Checks'!W11</f>
        <v>0</v>
      </c>
      <c r="X15" s="159">
        <f>'Rebate Checks'!X10 +'Rebate Checks'!X11</f>
        <v>0</v>
      </c>
      <c r="Y15" s="159">
        <f>'Rebate Checks'!Y10 +'Rebate Checks'!Y11</f>
        <v>0</v>
      </c>
      <c r="Z15" s="159">
        <f>'Rebate Checks'!Z10 +'Rebate Checks'!Z11</f>
        <v>0</v>
      </c>
      <c r="AA15" s="159">
        <f>'Rebate Checks'!AA10 +'Rebate Checks'!AA11</f>
        <v>0</v>
      </c>
      <c r="AB15" s="159">
        <f>'Rebate Checks'!AB10 +'Rebate Checks'!AB11</f>
        <v>0</v>
      </c>
      <c r="AC15" s="652">
        <f>'Rebate Checks'!AC10 +'Rebate Checks'!AC11</f>
        <v>0</v>
      </c>
    </row>
    <row r="16" spans="2:29" ht="28" x14ac:dyDescent="0.3">
      <c r="B16" s="180" t="s">
        <v>652</v>
      </c>
      <c r="D16" s="41"/>
      <c r="H16" s="157"/>
      <c r="I16" s="157">
        <f>I62</f>
        <v>2.5817499999999995</v>
      </c>
      <c r="J16" s="157">
        <f t="shared" ref="J16:Y16" si="2">J62</f>
        <v>37.358750000000001</v>
      </c>
      <c r="K16" s="157">
        <f t="shared" si="2"/>
        <v>38.026749999999993</v>
      </c>
      <c r="L16" s="157">
        <f t="shared" si="2"/>
        <v>38.350750000000005</v>
      </c>
      <c r="M16" s="157">
        <f t="shared" si="2"/>
        <v>54.966750000000005</v>
      </c>
      <c r="N16" s="157">
        <f t="shared" si="2"/>
        <v>74.252749999999992</v>
      </c>
      <c r="O16" s="979">
        <f t="shared" si="2"/>
        <v>-54.686250000000001</v>
      </c>
      <c r="P16" s="159">
        <f t="shared" si="2"/>
        <v>50</v>
      </c>
      <c r="Q16" s="159">
        <f t="shared" si="2"/>
        <v>25</v>
      </c>
      <c r="R16" s="159">
        <f t="shared" si="2"/>
        <v>20</v>
      </c>
      <c r="S16" s="159">
        <f t="shared" si="2"/>
        <v>5</v>
      </c>
      <c r="T16" s="159">
        <f t="shared" si="2"/>
        <v>0</v>
      </c>
      <c r="U16" s="159">
        <f t="shared" si="2"/>
        <v>0</v>
      </c>
      <c r="V16" s="159">
        <f t="shared" si="2"/>
        <v>0</v>
      </c>
      <c r="W16" s="159">
        <f t="shared" si="2"/>
        <v>0</v>
      </c>
      <c r="X16" s="159">
        <f t="shared" si="2"/>
        <v>0</v>
      </c>
      <c r="Y16" s="159">
        <f t="shared" si="2"/>
        <v>0</v>
      </c>
      <c r="Z16" s="159">
        <f t="shared" ref="Z16:AC16" si="3">Z62</f>
        <v>0</v>
      </c>
      <c r="AA16" s="159">
        <f t="shared" si="3"/>
        <v>0</v>
      </c>
      <c r="AB16" s="159">
        <f t="shared" si="3"/>
        <v>0</v>
      </c>
      <c r="AC16" s="652">
        <f t="shared" si="3"/>
        <v>0</v>
      </c>
    </row>
    <row r="17" spans="2:29" x14ac:dyDescent="0.3">
      <c r="B17" s="180" t="s">
        <v>653</v>
      </c>
      <c r="D17" s="41"/>
      <c r="H17" s="157"/>
      <c r="I17" s="157"/>
      <c r="J17" s="63">
        <v>19.100000000000001</v>
      </c>
      <c r="K17" s="63">
        <v>27</v>
      </c>
      <c r="L17" s="63">
        <v>10.8</v>
      </c>
      <c r="M17" s="63">
        <v>10.8</v>
      </c>
      <c r="N17" s="157">
        <f>PPP!N53</f>
        <v>24.7</v>
      </c>
      <c r="O17" s="979">
        <f>PPP!O53</f>
        <v>0</v>
      </c>
      <c r="P17" s="159" t="e">
        <f>PPP!P53</f>
        <v>#DIV/0!</v>
      </c>
      <c r="Q17" s="159"/>
      <c r="R17" s="159"/>
      <c r="S17" s="159"/>
      <c r="T17" s="159"/>
      <c r="U17" s="159"/>
      <c r="V17" s="159"/>
      <c r="W17" s="159"/>
      <c r="X17" s="159"/>
      <c r="Y17" s="159"/>
      <c r="Z17" s="159"/>
      <c r="AA17" s="159"/>
      <c r="AB17" s="159"/>
      <c r="AC17" s="652"/>
    </row>
    <row r="18" spans="2:29" x14ac:dyDescent="0.3">
      <c r="B18" s="180" t="s">
        <v>654</v>
      </c>
      <c r="D18" s="41"/>
      <c r="H18" s="157"/>
      <c r="I18" s="157"/>
      <c r="J18" s="63">
        <v>160.9</v>
      </c>
      <c r="K18" s="63">
        <v>58.4</v>
      </c>
      <c r="L18" s="63">
        <v>34.5</v>
      </c>
      <c r="M18" s="63">
        <v>43</v>
      </c>
      <c r="N18" s="157">
        <f>'Provider Relief'!N11</f>
        <v>26.6</v>
      </c>
      <c r="O18" s="979">
        <f>'Provider Relief'!O11</f>
        <v>0</v>
      </c>
      <c r="P18" s="159" t="e">
        <f>'Provider Relief'!P11</f>
        <v>#DIV/0!</v>
      </c>
      <c r="Q18" s="159" t="e">
        <f>'Provider Relief'!Q11</f>
        <v>#DIV/0!</v>
      </c>
      <c r="R18" s="159" t="e">
        <f>'Provider Relief'!R11</f>
        <v>#DIV/0!</v>
      </c>
      <c r="S18" s="159"/>
      <c r="T18" s="159"/>
      <c r="U18" s="159"/>
      <c r="V18" s="159"/>
      <c r="W18" s="159"/>
      <c r="X18" s="159"/>
      <c r="Y18" s="159"/>
      <c r="Z18" s="159"/>
      <c r="AA18" s="159"/>
      <c r="AB18" s="159"/>
      <c r="AC18" s="652"/>
    </row>
    <row r="19" spans="2:29" x14ac:dyDescent="0.3">
      <c r="B19" s="180" t="s">
        <v>655</v>
      </c>
      <c r="D19" s="41"/>
      <c r="H19" s="157"/>
      <c r="I19" s="157"/>
      <c r="J19" s="63"/>
      <c r="K19" s="63"/>
      <c r="L19" s="63"/>
      <c r="M19" s="63"/>
      <c r="N19" s="157">
        <f t="shared" ref="N19:Y19" si="4">N23</f>
        <v>53.448640000000026</v>
      </c>
      <c r="O19" s="979">
        <f t="shared" si="4"/>
        <v>340.54336000000012</v>
      </c>
      <c r="P19" s="159">
        <f t="shared" si="4"/>
        <v>127.476</v>
      </c>
      <c r="Q19" s="159">
        <f t="shared" si="4"/>
        <v>127.476</v>
      </c>
      <c r="R19" s="159">
        <f t="shared" si="4"/>
        <v>127.476</v>
      </c>
      <c r="S19" s="159">
        <f t="shared" si="4"/>
        <v>127.476</v>
      </c>
      <c r="T19" s="159">
        <f t="shared" si="4"/>
        <v>14.116</v>
      </c>
      <c r="U19" s="159">
        <f t="shared" si="4"/>
        <v>14.116</v>
      </c>
      <c r="V19" s="159">
        <f t="shared" si="4"/>
        <v>14.116</v>
      </c>
      <c r="W19" s="159">
        <f t="shared" si="4"/>
        <v>14.116</v>
      </c>
      <c r="X19" s="159">
        <f t="shared" si="4"/>
        <v>6.4009999999999998</v>
      </c>
      <c r="Y19" s="159">
        <f t="shared" si="4"/>
        <v>6.4009999999999998</v>
      </c>
      <c r="Z19" s="159">
        <f t="shared" ref="Z19:AC19" si="5">Z23</f>
        <v>6.4009999999999998</v>
      </c>
      <c r="AA19" s="159">
        <f t="shared" si="5"/>
        <v>6.4009999999999998</v>
      </c>
      <c r="AB19" s="159">
        <f t="shared" si="5"/>
        <v>4.702</v>
      </c>
      <c r="AC19" s="652">
        <f t="shared" si="5"/>
        <v>4.702</v>
      </c>
    </row>
    <row r="20" spans="2:29" x14ac:dyDescent="0.3">
      <c r="B20" s="246" t="s">
        <v>656</v>
      </c>
      <c r="D20" s="520">
        <f>D54</f>
        <v>0</v>
      </c>
      <c r="E20" s="299">
        <f t="shared" ref="E20:O20" si="6">E54</f>
        <v>0</v>
      </c>
      <c r="F20" s="299">
        <f t="shared" si="6"/>
        <v>0</v>
      </c>
      <c r="G20" s="299">
        <f t="shared" si="6"/>
        <v>0</v>
      </c>
      <c r="H20" s="299">
        <f t="shared" si="6"/>
        <v>0</v>
      </c>
      <c r="I20" s="299">
        <f t="shared" si="6"/>
        <v>-2.5817500000000564</v>
      </c>
      <c r="J20" s="299">
        <f t="shared" si="6"/>
        <v>33.241249999999809</v>
      </c>
      <c r="K20" s="299">
        <f t="shared" si="6"/>
        <v>151.57324999999992</v>
      </c>
      <c r="L20" s="299">
        <f t="shared" si="6"/>
        <v>38.349249999999302</v>
      </c>
      <c r="M20" s="299">
        <f t="shared" si="6"/>
        <v>49.933249999999589</v>
      </c>
      <c r="N20" s="299">
        <f t="shared" si="6"/>
        <v>2.0986099999995531</v>
      </c>
      <c r="O20" s="955" t="e">
        <f t="shared" si="6"/>
        <v>#VALUE!</v>
      </c>
      <c r="P20" s="359">
        <v>0</v>
      </c>
      <c r="Q20" s="359">
        <v>0</v>
      </c>
      <c r="R20" s="359">
        <v>0</v>
      </c>
      <c r="S20" s="359">
        <v>0</v>
      </c>
      <c r="T20" s="359">
        <v>0</v>
      </c>
      <c r="U20" s="359">
        <v>0</v>
      </c>
      <c r="V20" s="359">
        <v>0</v>
      </c>
      <c r="W20" s="359">
        <v>0</v>
      </c>
      <c r="X20" s="359">
        <v>0</v>
      </c>
      <c r="Y20" s="359">
        <v>0</v>
      </c>
      <c r="Z20" s="359">
        <v>0</v>
      </c>
      <c r="AA20" s="359">
        <v>0</v>
      </c>
      <c r="AB20" s="359">
        <v>0</v>
      </c>
      <c r="AC20" s="360">
        <v>0</v>
      </c>
    </row>
    <row r="21" spans="2:29" ht="28" x14ac:dyDescent="0.3">
      <c r="B21" s="49" t="s">
        <v>657</v>
      </c>
      <c r="D21" s="156">
        <f t="shared" ref="D21:O21" si="7">D12-SUM(D13:D20)</f>
        <v>1441</v>
      </c>
      <c r="E21" s="157">
        <f t="shared" si="7"/>
        <v>1501.4</v>
      </c>
      <c r="F21" s="157">
        <f t="shared" si="7"/>
        <v>1506.6</v>
      </c>
      <c r="G21" s="157">
        <f t="shared" si="7"/>
        <v>1513.6999999999998</v>
      </c>
      <c r="H21" s="157">
        <f t="shared" si="7"/>
        <v>1522.7000000000003</v>
      </c>
      <c r="I21" s="157">
        <f t="shared" si="7"/>
        <v>1569.9</v>
      </c>
      <c r="J21" s="157">
        <f t="shared" si="7"/>
        <v>1577</v>
      </c>
      <c r="K21" s="157">
        <f t="shared" si="7"/>
        <v>1584.1000000000004</v>
      </c>
      <c r="L21" s="157">
        <f t="shared" si="7"/>
        <v>1591.2000000000005</v>
      </c>
      <c r="M21" s="157">
        <f t="shared" si="7"/>
        <v>1598.3000000000006</v>
      </c>
      <c r="N21" s="157">
        <f t="shared" si="7"/>
        <v>1605.4000000000008</v>
      </c>
      <c r="O21" s="979" t="e">
        <f t="shared" si="7"/>
        <v>#VALUE!</v>
      </c>
      <c r="P21" s="661" t="e">
        <f>O21+($L21-$I21)/3</f>
        <v>#VALUE!</v>
      </c>
      <c r="Q21" s="661">
        <f>M21*E41</f>
        <v>1685.3262120071224</v>
      </c>
      <c r="R21" s="661">
        <f>Q21+($L21-$I21)/3</f>
        <v>1692.4262120071226</v>
      </c>
      <c r="S21" s="661">
        <f>R21+($L21-$I21)/3</f>
        <v>1699.5262120071227</v>
      </c>
      <c r="T21" s="661">
        <f>S21+($L21-$I21)/3</f>
        <v>1706.6262120071228</v>
      </c>
      <c r="U21" s="661">
        <f>Q21*F41</f>
        <v>1783.9785508694649</v>
      </c>
      <c r="V21" s="661">
        <f>U21+($L21-$I21)/3</f>
        <v>1791.0785508694651</v>
      </c>
      <c r="W21" s="661">
        <f>V21+($L21-$I21)/3</f>
        <v>1798.1785508694652</v>
      </c>
      <c r="X21" s="661">
        <f>W21+($L21-$I21)/3</f>
        <v>1805.2785508694653</v>
      </c>
      <c r="Y21" s="661">
        <f>U21*$G$41</f>
        <v>1878.701320206336</v>
      </c>
      <c r="Z21" s="661">
        <f>Y21+($L21-$I21)/3</f>
        <v>1885.8013202063362</v>
      </c>
      <c r="AA21" s="661">
        <f t="shared" ref="AA21:AC21" si="8">Z21+($L21-$I21)/3</f>
        <v>1892.9013202063363</v>
      </c>
      <c r="AB21" s="661">
        <f t="shared" si="8"/>
        <v>1900.0013202063365</v>
      </c>
      <c r="AC21" s="662">
        <f t="shared" si="8"/>
        <v>1907.1013202063366</v>
      </c>
    </row>
    <row r="22" spans="2:29" s="141" customFormat="1" ht="29" x14ac:dyDescent="0.35">
      <c r="B22" s="432" t="s">
        <v>658</v>
      </c>
      <c r="D22" s="616">
        <f>D21 + D20</f>
        <v>1441</v>
      </c>
      <c r="E22" s="192">
        <f t="shared" ref="E22:Y22" si="9">E21 + E20</f>
        <v>1501.4</v>
      </c>
      <c r="F22" s="192">
        <f t="shared" si="9"/>
        <v>1506.6</v>
      </c>
      <c r="G22" s="192">
        <f t="shared" si="9"/>
        <v>1513.6999999999998</v>
      </c>
      <c r="H22" s="192">
        <f t="shared" si="9"/>
        <v>1522.7000000000003</v>
      </c>
      <c r="I22" s="192">
        <f t="shared" si="9"/>
        <v>1567.31825</v>
      </c>
      <c r="J22" s="192">
        <f t="shared" si="9"/>
        <v>1610.2412499999998</v>
      </c>
      <c r="K22" s="192">
        <f t="shared" si="9"/>
        <v>1735.6732500000003</v>
      </c>
      <c r="L22" s="192">
        <f t="shared" si="9"/>
        <v>1629.5492499999998</v>
      </c>
      <c r="M22" s="192">
        <f t="shared" si="9"/>
        <v>1648.2332500000002</v>
      </c>
      <c r="N22" s="192">
        <f>N21 + N20</f>
        <v>1607.4986100000003</v>
      </c>
      <c r="O22" s="983" t="e">
        <f t="shared" si="9"/>
        <v>#VALUE!</v>
      </c>
      <c r="P22" s="339" t="e">
        <f t="shared" si="9"/>
        <v>#VALUE!</v>
      </c>
      <c r="Q22" s="339">
        <f t="shared" si="9"/>
        <v>1685.3262120071224</v>
      </c>
      <c r="R22" s="339">
        <f t="shared" si="9"/>
        <v>1692.4262120071226</v>
      </c>
      <c r="S22" s="339">
        <f t="shared" si="9"/>
        <v>1699.5262120071227</v>
      </c>
      <c r="T22" s="339">
        <f t="shared" si="9"/>
        <v>1706.6262120071228</v>
      </c>
      <c r="U22" s="339">
        <f t="shared" si="9"/>
        <v>1783.9785508694649</v>
      </c>
      <c r="V22" s="339">
        <f t="shared" si="9"/>
        <v>1791.0785508694651</v>
      </c>
      <c r="W22" s="339">
        <f t="shared" si="9"/>
        <v>1798.1785508694652</v>
      </c>
      <c r="X22" s="339">
        <f t="shared" si="9"/>
        <v>1805.2785508694653</v>
      </c>
      <c r="Y22" s="339">
        <f t="shared" si="9"/>
        <v>1878.701320206336</v>
      </c>
      <c r="Z22" s="339">
        <f t="shared" ref="Z22:AC22" si="10">Z21 + Z20</f>
        <v>1885.8013202063362</v>
      </c>
      <c r="AA22" s="339">
        <f t="shared" si="10"/>
        <v>1892.9013202063363</v>
      </c>
      <c r="AB22" s="339">
        <f t="shared" si="10"/>
        <v>1900.0013202063365</v>
      </c>
      <c r="AC22" s="340">
        <f t="shared" si="10"/>
        <v>1907.1013202063366</v>
      </c>
    </row>
    <row r="23" spans="2:29" ht="28" x14ac:dyDescent="0.3">
      <c r="B23" s="49" t="s">
        <v>659</v>
      </c>
      <c r="D23" s="41"/>
      <c r="H23" s="157"/>
      <c r="I23" s="157"/>
      <c r="J23" s="157"/>
      <c r="K23" s="157"/>
      <c r="L23" s="157"/>
      <c r="M23" s="157">
        <f t="shared" ref="M23:Y23" si="11">SUM(M24:M25)</f>
        <v>0</v>
      </c>
      <c r="N23" s="157">
        <f t="shared" si="11"/>
        <v>53.448640000000026</v>
      </c>
      <c r="O23" s="979">
        <f t="shared" si="11"/>
        <v>340.54336000000012</v>
      </c>
      <c r="P23" s="159">
        <f t="shared" si="11"/>
        <v>127.476</v>
      </c>
      <c r="Q23" s="159">
        <f t="shared" si="11"/>
        <v>127.476</v>
      </c>
      <c r="R23" s="159">
        <f t="shared" si="11"/>
        <v>127.476</v>
      </c>
      <c r="S23" s="159">
        <f t="shared" si="11"/>
        <v>127.476</v>
      </c>
      <c r="T23" s="159">
        <f t="shared" si="11"/>
        <v>14.116</v>
      </c>
      <c r="U23" s="159">
        <f t="shared" si="11"/>
        <v>14.116</v>
      </c>
      <c r="V23" s="159">
        <f t="shared" si="11"/>
        <v>14.116</v>
      </c>
      <c r="W23" s="159">
        <f t="shared" si="11"/>
        <v>14.116</v>
      </c>
      <c r="X23" s="159">
        <f t="shared" si="11"/>
        <v>6.4009999999999998</v>
      </c>
      <c r="Y23" s="159">
        <f t="shared" si="11"/>
        <v>6.4009999999999998</v>
      </c>
      <c r="Z23" s="159">
        <f t="shared" ref="Z23:AC23" si="12">SUM(Z24:Z25)</f>
        <v>6.4009999999999998</v>
      </c>
      <c r="AA23" s="159">
        <f t="shared" si="12"/>
        <v>6.4009999999999998</v>
      </c>
      <c r="AB23" s="159">
        <f t="shared" si="12"/>
        <v>4.702</v>
      </c>
      <c r="AC23" s="652">
        <f t="shared" si="12"/>
        <v>4.702</v>
      </c>
    </row>
    <row r="24" spans="2:29" s="141" customFormat="1" ht="14.5" x14ac:dyDescent="0.35">
      <c r="B24" s="50" t="s">
        <v>660</v>
      </c>
      <c r="D24" s="140"/>
      <c r="H24" s="192"/>
      <c r="I24" s="192"/>
      <c r="J24" s="192"/>
      <c r="K24" s="192"/>
      <c r="L24" s="192"/>
      <c r="M24" s="192">
        <f>'ARP Quarterly'!C5</f>
        <v>0</v>
      </c>
      <c r="N24" s="192">
        <f>'ARP Quarterly'!D5</f>
        <v>53.448640000000026</v>
      </c>
      <c r="O24" s="983">
        <f>'ARP Quarterly'!E5</f>
        <v>137.43936000000005</v>
      </c>
      <c r="P24" s="339">
        <f>'ARP Quarterly'!F5</f>
        <v>52.756999999999998</v>
      </c>
      <c r="Q24" s="339">
        <f>'ARP Quarterly'!G5</f>
        <v>52.756999999999998</v>
      </c>
      <c r="R24" s="339">
        <f>'ARP Quarterly'!H5</f>
        <v>52.756999999999998</v>
      </c>
      <c r="S24" s="339">
        <f>'ARP Quarterly'!I5</f>
        <v>52.756999999999998</v>
      </c>
      <c r="T24" s="339">
        <f>'ARP Quarterly'!J5</f>
        <v>12</v>
      </c>
      <c r="U24" s="339">
        <f>'ARP Quarterly'!K5</f>
        <v>12</v>
      </c>
      <c r="V24" s="339">
        <f>'ARP Quarterly'!L5</f>
        <v>12</v>
      </c>
      <c r="W24" s="339">
        <f>'ARP Quarterly'!M5</f>
        <v>12</v>
      </c>
      <c r="X24" s="339">
        <f>'ARP Quarterly'!N5</f>
        <v>4.2219999999999995</v>
      </c>
      <c r="Y24" s="339">
        <f>'ARP Quarterly'!O5</f>
        <v>4.2219999999999995</v>
      </c>
      <c r="Z24" s="339">
        <f>'ARP Quarterly'!P5</f>
        <v>4.2219999999999995</v>
      </c>
      <c r="AA24" s="339">
        <f>'ARP Quarterly'!Q5</f>
        <v>4.2219999999999995</v>
      </c>
      <c r="AB24" s="339">
        <f>'ARP Quarterly'!R5</f>
        <v>2.3719999999999999</v>
      </c>
      <c r="AC24" s="340">
        <f>'ARP Quarterly'!S5</f>
        <v>2.3719999999999999</v>
      </c>
    </row>
    <row r="25" spans="2:29" ht="14.5" x14ac:dyDescent="0.35">
      <c r="B25" s="50" t="s">
        <v>661</v>
      </c>
      <c r="C25" s="141"/>
      <c r="D25" s="140"/>
      <c r="E25" s="141"/>
      <c r="F25" s="141"/>
      <c r="G25" s="141"/>
      <c r="H25" s="192"/>
      <c r="I25" s="192"/>
      <c r="J25" s="192"/>
      <c r="K25" s="192"/>
      <c r="L25" s="192"/>
      <c r="M25" s="192">
        <f>'ARP Quarterly'!C4</f>
        <v>0</v>
      </c>
      <c r="N25" s="192">
        <f>'ARP Quarterly'!D4</f>
        <v>0</v>
      </c>
      <c r="O25" s="983">
        <f>'ARP Quarterly'!E4</f>
        <v>203.10400000000004</v>
      </c>
      <c r="P25" s="339">
        <f>'ARP Quarterly'!F4</f>
        <v>74.718999999999994</v>
      </c>
      <c r="Q25" s="339">
        <f>'ARP Quarterly'!G4</f>
        <v>74.718999999999994</v>
      </c>
      <c r="R25" s="339">
        <f>'ARP Quarterly'!H4</f>
        <v>74.718999999999994</v>
      </c>
      <c r="S25" s="339">
        <f>'ARP Quarterly'!I4</f>
        <v>74.718999999999994</v>
      </c>
      <c r="T25" s="339">
        <f>'ARP Quarterly'!J4</f>
        <v>2.1159999999999997</v>
      </c>
      <c r="U25" s="339">
        <f>'ARP Quarterly'!K4</f>
        <v>2.1159999999999997</v>
      </c>
      <c r="V25" s="339">
        <f>'ARP Quarterly'!L4</f>
        <v>2.1159999999999997</v>
      </c>
      <c r="W25" s="339">
        <f>'ARP Quarterly'!M4</f>
        <v>2.1159999999999997</v>
      </c>
      <c r="X25" s="339">
        <f>'ARP Quarterly'!N4</f>
        <v>2.1789999999999998</v>
      </c>
      <c r="Y25" s="339">
        <f>'ARP Quarterly'!O4</f>
        <v>2.1789999999999998</v>
      </c>
      <c r="Z25" s="339">
        <f>'ARP Quarterly'!P4</f>
        <v>2.1789999999999998</v>
      </c>
      <c r="AA25" s="339">
        <f>'ARP Quarterly'!Q4</f>
        <v>2.1789999999999998</v>
      </c>
      <c r="AB25" s="339">
        <f>'ARP Quarterly'!R4</f>
        <v>2.33</v>
      </c>
      <c r="AC25" s="340">
        <f>'ARP Quarterly'!S4</f>
        <v>2.33</v>
      </c>
    </row>
    <row r="26" spans="2:29" ht="14.5" x14ac:dyDescent="0.35">
      <c r="B26" s="190"/>
      <c r="C26" s="141"/>
      <c r="D26" s="140"/>
      <c r="E26" s="141"/>
      <c r="F26" s="141"/>
      <c r="G26" s="141"/>
      <c r="H26" s="192"/>
      <c r="I26" s="192"/>
      <c r="J26" s="192"/>
      <c r="K26" s="192"/>
      <c r="L26" s="192"/>
      <c r="M26" s="192"/>
      <c r="N26" s="192"/>
      <c r="O26" s="983"/>
      <c r="P26" s="339"/>
      <c r="Q26" s="339"/>
      <c r="R26" s="339"/>
      <c r="S26" s="339"/>
      <c r="T26" s="339"/>
      <c r="U26" s="339"/>
      <c r="V26" s="339"/>
      <c r="W26" s="339"/>
      <c r="X26" s="339"/>
      <c r="Y26" s="339"/>
      <c r="Z26" s="339"/>
      <c r="AA26" s="339"/>
      <c r="AB26" s="339"/>
      <c r="AC26" s="340"/>
    </row>
    <row r="27" spans="2:29" x14ac:dyDescent="0.3">
      <c r="B27" s="1146" t="s">
        <v>662</v>
      </c>
      <c r="C27" s="1143"/>
      <c r="D27" s="928"/>
      <c r="E27" s="181"/>
      <c r="F27" s="181"/>
      <c r="G27" s="181"/>
      <c r="H27" s="157"/>
      <c r="I27" s="157"/>
      <c r="J27" s="157"/>
      <c r="K27" s="157"/>
      <c r="L27" s="157"/>
      <c r="M27" s="157"/>
      <c r="N27" s="157"/>
      <c r="O27" s="979"/>
      <c r="P27" s="978"/>
      <c r="Q27" s="978"/>
      <c r="R27" s="978"/>
      <c r="S27" s="978"/>
      <c r="T27" s="978"/>
      <c r="U27" s="978"/>
      <c r="V27" s="978"/>
      <c r="W27" s="978"/>
      <c r="X27" s="978"/>
      <c r="Y27" s="978"/>
      <c r="Z27" s="978"/>
      <c r="AA27" s="978"/>
      <c r="AB27" s="978"/>
      <c r="AC27" s="651"/>
    </row>
    <row r="28" spans="2:29" x14ac:dyDescent="0.3">
      <c r="B28" s="158" t="s">
        <v>179</v>
      </c>
      <c r="C28" s="34" t="s">
        <v>663</v>
      </c>
      <c r="D28" s="156">
        <f>'Haver Pivoted'!GO37</f>
        <v>731.6</v>
      </c>
      <c r="E28" s="157">
        <f>'Haver Pivoted'!GP37</f>
        <v>741.5</v>
      </c>
      <c r="F28" s="157">
        <f>'Haver Pivoted'!GQ37</f>
        <v>758.6</v>
      </c>
      <c r="G28" s="157">
        <f>'Haver Pivoted'!GR37</f>
        <v>767.8</v>
      </c>
      <c r="H28" s="157">
        <f>'Haver Pivoted'!GS37</f>
        <v>767.1</v>
      </c>
      <c r="I28" s="157">
        <f>'Haver Pivoted'!GT37</f>
        <v>755.9</v>
      </c>
      <c r="J28" s="157">
        <f>'Haver Pivoted'!GU37</f>
        <v>803.8</v>
      </c>
      <c r="K28" s="157">
        <f>'Haver Pivoted'!GV37</f>
        <v>842.2</v>
      </c>
      <c r="L28" s="157">
        <f>'Haver Pivoted'!GW37</f>
        <v>831.1</v>
      </c>
      <c r="M28" s="157">
        <f>'Haver Pivoted'!GX37</f>
        <v>850</v>
      </c>
      <c r="N28" s="157">
        <f>'Haver Pivoted'!GY37</f>
        <v>885.5</v>
      </c>
      <c r="O28" s="979">
        <f>'Haver Pivoted'!GZ37</f>
        <v>0</v>
      </c>
      <c r="P28" s="692" t="e">
        <f t="shared" ref="P28:Y28" si="13">P29+P30</f>
        <v>#DIV/0!</v>
      </c>
      <c r="Q28" s="692" t="e">
        <f t="shared" si="13"/>
        <v>#DIV/0!</v>
      </c>
      <c r="R28" s="692" t="e">
        <f t="shared" si="13"/>
        <v>#DIV/0!</v>
      </c>
      <c r="S28" s="692" t="e">
        <f t="shared" si="13"/>
        <v>#DIV/0!</v>
      </c>
      <c r="T28" s="692" t="e">
        <f t="shared" si="13"/>
        <v>#DIV/0!</v>
      </c>
      <c r="U28" s="692" t="e">
        <f t="shared" si="13"/>
        <v>#DIV/0!</v>
      </c>
      <c r="V28" s="692" t="e">
        <f t="shared" si="13"/>
        <v>#DIV/0!</v>
      </c>
      <c r="W28" s="692" t="e">
        <f t="shared" si="13"/>
        <v>#DIV/0!</v>
      </c>
      <c r="X28" s="692" t="e">
        <f t="shared" si="13"/>
        <v>#DIV/0!</v>
      </c>
      <c r="Y28" s="692" t="e">
        <f t="shared" si="13"/>
        <v>#DIV/0!</v>
      </c>
      <c r="Z28" s="692" t="e">
        <f t="shared" ref="Z28:AC28" si="14">Z29+Z30</f>
        <v>#DIV/0!</v>
      </c>
      <c r="AA28" s="692" t="e">
        <f t="shared" si="14"/>
        <v>#DIV/0!</v>
      </c>
      <c r="AB28" s="692" t="e">
        <f t="shared" si="14"/>
        <v>#DIV/0!</v>
      </c>
      <c r="AC28" s="988" t="e">
        <f t="shared" si="14"/>
        <v>#DIV/0!</v>
      </c>
    </row>
    <row r="29" spans="2:29" x14ac:dyDescent="0.3">
      <c r="B29" s="163" t="s">
        <v>664</v>
      </c>
      <c r="D29" s="156">
        <v>589.54899999999998</v>
      </c>
      <c r="E29" s="157">
        <v>598.78200000000004</v>
      </c>
      <c r="F29" s="157">
        <v>614.49400000000003</v>
      </c>
      <c r="G29" s="157">
        <v>622.35699999999997</v>
      </c>
      <c r="H29" s="157">
        <f>Medicaid!D25</f>
        <v>620.5</v>
      </c>
      <c r="I29" s="157">
        <f>Medicaid!E25</f>
        <v>606.20000000000005</v>
      </c>
      <c r="J29" s="157">
        <f>Medicaid!F25</f>
        <v>654.20000000000005</v>
      </c>
      <c r="K29" s="157">
        <f>Medicaid!G25</f>
        <v>690.4</v>
      </c>
      <c r="L29" s="157">
        <f>Medicaid!H25</f>
        <v>678.3</v>
      </c>
      <c r="M29" s="157">
        <f>Medicaid!I25</f>
        <v>695.9</v>
      </c>
      <c r="N29" s="157">
        <f>Medicaid!J25</f>
        <v>730.5</v>
      </c>
      <c r="O29" s="979">
        <f>Medicaid!K25</f>
        <v>0</v>
      </c>
      <c r="P29" s="692" t="e">
        <f>Medicaid!L25</f>
        <v>#DIV/0!</v>
      </c>
      <c r="Q29" s="692" t="e">
        <f>Medicaid!M25</f>
        <v>#DIV/0!</v>
      </c>
      <c r="R29" s="692" t="e">
        <f>Medicaid!N25</f>
        <v>#DIV/0!</v>
      </c>
      <c r="S29" s="692" t="e">
        <f>Medicaid!O25</f>
        <v>#DIV/0!</v>
      </c>
      <c r="T29" s="692" t="e">
        <f>Medicaid!P25</f>
        <v>#DIV/0!</v>
      </c>
      <c r="U29" s="692" t="e">
        <f>Medicaid!Q25</f>
        <v>#DIV/0!</v>
      </c>
      <c r="V29" s="692" t="e">
        <f>Medicaid!R25</f>
        <v>#DIV/0!</v>
      </c>
      <c r="W29" s="692" t="e">
        <f>Medicaid!S25</f>
        <v>#DIV/0!</v>
      </c>
      <c r="X29" s="692" t="e">
        <f>Medicaid!T25</f>
        <v>#DIV/0!</v>
      </c>
      <c r="Y29" s="692" t="e">
        <f>Medicaid!U25</f>
        <v>#DIV/0!</v>
      </c>
      <c r="Z29" s="692" t="e">
        <f>Medicaid!V25</f>
        <v>#DIV/0!</v>
      </c>
      <c r="AA29" s="692" t="e">
        <f>Medicaid!W25</f>
        <v>#DIV/0!</v>
      </c>
      <c r="AB29" s="692" t="e">
        <f>Medicaid!X25</f>
        <v>#DIV/0!</v>
      </c>
      <c r="AC29" s="692" t="e">
        <f>Medicaid!Y25</f>
        <v>#DIV/0!</v>
      </c>
    </row>
    <row r="30" spans="2:29" ht="28" customHeight="1" x14ac:dyDescent="0.35">
      <c r="B30" s="187" t="s">
        <v>665</v>
      </c>
      <c r="C30" s="141"/>
      <c r="D30" s="616">
        <f t="shared" ref="D30:O30" si="15">D28-D29</f>
        <v>142.05100000000004</v>
      </c>
      <c r="E30" s="192">
        <f t="shared" si="15"/>
        <v>142.71799999999996</v>
      </c>
      <c r="F30" s="192">
        <f t="shared" si="15"/>
        <v>144.10599999999999</v>
      </c>
      <c r="G30" s="192">
        <f t="shared" si="15"/>
        <v>145.44299999999998</v>
      </c>
      <c r="H30" s="192">
        <f t="shared" si="15"/>
        <v>146.60000000000002</v>
      </c>
      <c r="I30" s="192">
        <f t="shared" si="15"/>
        <v>149.69999999999993</v>
      </c>
      <c r="J30" s="192">
        <f t="shared" si="15"/>
        <v>149.59999999999991</v>
      </c>
      <c r="K30" s="192">
        <f t="shared" si="15"/>
        <v>151.80000000000007</v>
      </c>
      <c r="L30" s="192">
        <f t="shared" si="15"/>
        <v>152.80000000000007</v>
      </c>
      <c r="M30" s="192">
        <f t="shared" si="15"/>
        <v>154.10000000000002</v>
      </c>
      <c r="N30" s="192">
        <f t="shared" si="15"/>
        <v>155</v>
      </c>
      <c r="O30" s="983">
        <f t="shared" si="15"/>
        <v>0</v>
      </c>
      <c r="P30" s="339">
        <f t="shared" ref="P30:Y30" si="16">O30*(1+AVERAGE($F$31:$I$31))</f>
        <v>0</v>
      </c>
      <c r="Q30" s="339">
        <f t="shared" si="16"/>
        <v>0</v>
      </c>
      <c r="R30" s="339">
        <f t="shared" si="16"/>
        <v>0</v>
      </c>
      <c r="S30" s="339">
        <f t="shared" si="16"/>
        <v>0</v>
      </c>
      <c r="T30" s="339">
        <f t="shared" si="16"/>
        <v>0</v>
      </c>
      <c r="U30" s="339">
        <f t="shared" si="16"/>
        <v>0</v>
      </c>
      <c r="V30" s="339">
        <f t="shared" si="16"/>
        <v>0</v>
      </c>
      <c r="W30" s="339">
        <f t="shared" si="16"/>
        <v>0</v>
      </c>
      <c r="X30" s="339">
        <f t="shared" si="16"/>
        <v>0</v>
      </c>
      <c r="Y30" s="339">
        <f t="shared" si="16"/>
        <v>0</v>
      </c>
      <c r="Z30" s="339">
        <f t="shared" ref="Z30" si="17">Y30*(1+AVERAGE($F$31:$I$31))</f>
        <v>0</v>
      </c>
      <c r="AA30" s="339">
        <f t="shared" ref="AA30" si="18">Z30*(1+AVERAGE($F$31:$I$31))</f>
        <v>0</v>
      </c>
      <c r="AB30" s="339">
        <f t="shared" ref="AB30" si="19">AA30*(1+AVERAGE($F$31:$I$31))</f>
        <v>0</v>
      </c>
      <c r="AC30" s="340">
        <f t="shared" ref="AC30" si="20">AB30*(1+AVERAGE($F$31:$I$31))</f>
        <v>0</v>
      </c>
    </row>
    <row r="31" spans="2:29" ht="19" customHeight="1" x14ac:dyDescent="0.3">
      <c r="B31" s="189" t="s">
        <v>638</v>
      </c>
      <c r="D31" s="138"/>
      <c r="E31" s="186">
        <f t="shared" ref="E31:M31" si="21">E30/D30-1</f>
        <v>4.6954966878087756E-3</v>
      </c>
      <c r="F31" s="186">
        <f t="shared" si="21"/>
        <v>9.7254726103226385E-3</v>
      </c>
      <c r="G31" s="186">
        <f t="shared" si="21"/>
        <v>9.2778926623457991E-3</v>
      </c>
      <c r="H31" s="186">
        <f t="shared" si="21"/>
        <v>7.9550064286355582E-3</v>
      </c>
      <c r="I31" s="186">
        <f t="shared" si="21"/>
        <v>2.1145975443382703E-2</v>
      </c>
      <c r="J31" s="186">
        <f t="shared" si="21"/>
        <v>-6.6800267201083674E-4</v>
      </c>
      <c r="K31" s="186">
        <f t="shared" si="21"/>
        <v>1.4705882352942234E-2</v>
      </c>
      <c r="L31" s="186">
        <f t="shared" si="21"/>
        <v>6.5876152832673451E-3</v>
      </c>
      <c r="M31" s="186">
        <f t="shared" si="21"/>
        <v>8.5078534031410857E-3</v>
      </c>
      <c r="N31" s="186">
        <f t="shared" ref="N31" si="22">N30/M30-1</f>
        <v>5.8403634003891813E-3</v>
      </c>
      <c r="O31" s="169">
        <f t="shared" ref="O31" si="23">O30/N30-1</f>
        <v>-1</v>
      </c>
      <c r="P31" s="341" t="e">
        <f t="shared" ref="P31" si="24">P30/O30-1</f>
        <v>#DIV/0!</v>
      </c>
      <c r="Q31" s="341" t="e">
        <f t="shared" ref="Q31" si="25">Q30/P30-1</f>
        <v>#DIV/0!</v>
      </c>
      <c r="R31" s="341" t="e">
        <f t="shared" ref="R31" si="26">R30/Q30-1</f>
        <v>#DIV/0!</v>
      </c>
      <c r="S31" s="341" t="e">
        <f t="shared" ref="S31" si="27">S30/R30-1</f>
        <v>#DIV/0!</v>
      </c>
      <c r="T31" s="341" t="e">
        <f t="shared" ref="T31" si="28">T30/S30-1</f>
        <v>#DIV/0!</v>
      </c>
      <c r="U31" s="341" t="e">
        <f t="shared" ref="U31" si="29">U30/T30-1</f>
        <v>#DIV/0!</v>
      </c>
      <c r="V31" s="341" t="e">
        <f t="shared" ref="V31" si="30">V30/U30-1</f>
        <v>#DIV/0!</v>
      </c>
      <c r="W31" s="341" t="e">
        <f t="shared" ref="W31" si="31">W30/V30-1</f>
        <v>#DIV/0!</v>
      </c>
      <c r="X31" s="341" t="e">
        <f t="shared" ref="X31" si="32">X30/W30-1</f>
        <v>#DIV/0!</v>
      </c>
      <c r="Y31" s="341" t="e">
        <f t="shared" ref="Y31" si="33">Y30/X30-1</f>
        <v>#DIV/0!</v>
      </c>
      <c r="Z31" s="341" t="e">
        <f t="shared" ref="Z31" si="34">Z30/Y30-1</f>
        <v>#DIV/0!</v>
      </c>
      <c r="AA31" s="341" t="e">
        <f t="shared" ref="AA31" si="35">AA30/Z30-1</f>
        <v>#DIV/0!</v>
      </c>
      <c r="AB31" s="341" t="e">
        <f t="shared" ref="AB31" si="36">AB30/AA30-1</f>
        <v>#DIV/0!</v>
      </c>
      <c r="AC31" s="650" t="e">
        <f t="shared" ref="AC31" si="37">AC30/AB30-1</f>
        <v>#DIV/0!</v>
      </c>
    </row>
    <row r="32" spans="2:29" x14ac:dyDescent="0.3">
      <c r="B32" s="1143"/>
      <c r="C32" s="1143"/>
      <c r="D32" s="181"/>
      <c r="E32" s="181"/>
      <c r="F32" s="181"/>
      <c r="G32" s="181"/>
      <c r="H32" s="43"/>
      <c r="I32" s="43"/>
      <c r="J32" s="43"/>
      <c r="K32" s="43"/>
      <c r="L32" s="43"/>
      <c r="M32" s="43"/>
      <c r="N32" s="43"/>
      <c r="O32" s="43"/>
      <c r="P32" s="43"/>
      <c r="Q32" s="43"/>
      <c r="R32" s="43"/>
      <c r="S32" s="43"/>
      <c r="T32" s="43"/>
      <c r="U32" s="43"/>
      <c r="V32" s="43"/>
      <c r="W32" s="43"/>
      <c r="X32" s="43"/>
      <c r="Y32" s="43"/>
    </row>
    <row r="33" spans="2:29" x14ac:dyDescent="0.3">
      <c r="B33" s="52" t="s">
        <v>493</v>
      </c>
    </row>
    <row r="34" spans="2:29" ht="23.15" customHeight="1" x14ac:dyDescent="0.3">
      <c r="B34" s="346" t="s">
        <v>666</v>
      </c>
      <c r="C34" s="342">
        <v>2020</v>
      </c>
      <c r="D34" s="342">
        <v>2021</v>
      </c>
      <c r="E34" s="342">
        <v>2022</v>
      </c>
      <c r="F34" s="342">
        <v>2023</v>
      </c>
      <c r="G34" s="343">
        <v>2024</v>
      </c>
    </row>
    <row r="35" spans="2:29" ht="23.15" customHeight="1" x14ac:dyDescent="0.3">
      <c r="B35" s="347" t="s">
        <v>667</v>
      </c>
      <c r="C35" s="344">
        <v>1090</v>
      </c>
      <c r="D35" s="344">
        <v>1129</v>
      </c>
      <c r="E35" s="344">
        <v>1203</v>
      </c>
      <c r="F35" s="344">
        <v>1281</v>
      </c>
      <c r="G35" s="345">
        <v>1358</v>
      </c>
    </row>
    <row r="36" spans="2:29" x14ac:dyDescent="0.3">
      <c r="B36" s="347" t="s">
        <v>668</v>
      </c>
      <c r="C36" s="344">
        <v>300.51900000000001</v>
      </c>
      <c r="D36" s="344">
        <v>300.82</v>
      </c>
      <c r="E36" s="344">
        <v>307.28300000000002</v>
      </c>
      <c r="F36" s="344">
        <v>320.10899999999998</v>
      </c>
      <c r="G36" s="345">
        <v>329.596</v>
      </c>
    </row>
    <row r="37" spans="2:29" x14ac:dyDescent="0.3">
      <c r="B37" s="347" t="s">
        <v>669</v>
      </c>
      <c r="C37" s="344">
        <v>124.39699999999999</v>
      </c>
      <c r="D37" s="344">
        <v>129.75700000000001</v>
      </c>
      <c r="E37" s="344">
        <v>133.31899999999999</v>
      </c>
      <c r="F37" s="344">
        <v>138.328</v>
      </c>
      <c r="G37" s="345">
        <v>144.351</v>
      </c>
    </row>
    <row r="38" spans="2:29" x14ac:dyDescent="0.3">
      <c r="B38" s="347" t="s">
        <v>670</v>
      </c>
      <c r="C38" s="344">
        <v>1.976</v>
      </c>
      <c r="D38" s="344">
        <v>3.512</v>
      </c>
      <c r="E38" s="344">
        <v>4.5960000000000001</v>
      </c>
      <c r="F38" s="344">
        <v>5.24</v>
      </c>
      <c r="G38" s="345">
        <v>5.3659999999999997</v>
      </c>
    </row>
    <row r="39" spans="2:29" x14ac:dyDescent="0.3">
      <c r="B39" s="44"/>
      <c r="G39" s="40"/>
    </row>
    <row r="40" spans="2:29" x14ac:dyDescent="0.3">
      <c r="B40" s="44" t="s">
        <v>671</v>
      </c>
      <c r="C40" s="90">
        <f>SUM(C35:C38)</f>
        <v>1516.8920000000001</v>
      </c>
      <c r="D40" s="90">
        <f t="shared" ref="D40:G40" si="38">SUM(D35:D38)</f>
        <v>1563.0889999999999</v>
      </c>
      <c r="E40" s="90">
        <f t="shared" si="38"/>
        <v>1648.1979999999999</v>
      </c>
      <c r="F40" s="90">
        <f t="shared" si="38"/>
        <v>1744.6769999999999</v>
      </c>
      <c r="G40" s="91">
        <f t="shared" si="38"/>
        <v>1837.3130000000001</v>
      </c>
    </row>
    <row r="41" spans="2:29" x14ac:dyDescent="0.3">
      <c r="B41" s="349" t="s">
        <v>672</v>
      </c>
      <c r="C41" s="42"/>
      <c r="D41" s="279">
        <f>D40/C40</f>
        <v>1.0304550356914004</v>
      </c>
      <c r="E41" s="279">
        <f>E40/D40</f>
        <v>1.0544492348164436</v>
      </c>
      <c r="F41" s="279">
        <f>F40/E40</f>
        <v>1.0585360496736436</v>
      </c>
      <c r="G41" s="338">
        <f>G40/F40</f>
        <v>1.0530963611029436</v>
      </c>
    </row>
    <row r="45" spans="2:29" x14ac:dyDescent="0.3">
      <c r="B45" s="52" t="s">
        <v>506</v>
      </c>
    </row>
    <row r="46" spans="2:29" x14ac:dyDescent="0.3">
      <c r="B46" s="1047" t="s">
        <v>673</v>
      </c>
      <c r="C46" s="1048"/>
      <c r="D46" s="1054" t="s">
        <v>409</v>
      </c>
      <c r="E46" s="1055"/>
      <c r="F46" s="1055"/>
      <c r="G46" s="1055"/>
      <c r="H46" s="1055"/>
      <c r="I46" s="1055"/>
      <c r="J46" s="1055"/>
      <c r="K46" s="1055"/>
      <c r="L46" s="1055"/>
      <c r="M46" s="1055"/>
      <c r="N46" s="1055"/>
      <c r="O46" s="1056"/>
      <c r="P46" s="1083" t="s">
        <v>410</v>
      </c>
      <c r="Q46" s="1084"/>
      <c r="R46" s="1084"/>
      <c r="S46" s="1084"/>
      <c r="T46" s="1084"/>
      <c r="U46" s="1084"/>
      <c r="V46" s="1084"/>
      <c r="W46" s="1084"/>
      <c r="X46" s="1084"/>
      <c r="Y46" s="1084"/>
      <c r="Z46" s="1084"/>
      <c r="AA46" s="1084"/>
      <c r="AB46" s="1084"/>
      <c r="AC46" s="1085"/>
    </row>
    <row r="47" spans="2:29" x14ac:dyDescent="0.3">
      <c r="B47" s="1049"/>
      <c r="C47" s="1108"/>
      <c r="D47" s="549">
        <v>2018</v>
      </c>
      <c r="E47" s="1044">
        <v>2019</v>
      </c>
      <c r="F47" s="1045"/>
      <c r="G47" s="1045"/>
      <c r="H47" s="1046"/>
      <c r="I47" s="1044">
        <v>2020</v>
      </c>
      <c r="J47" s="1045"/>
      <c r="K47" s="1045"/>
      <c r="L47" s="1046"/>
      <c r="M47" s="1044">
        <v>2021</v>
      </c>
      <c r="N47" s="1045"/>
      <c r="O47" s="1046"/>
      <c r="P47" s="582">
        <v>2021</v>
      </c>
      <c r="Q47" s="1051">
        <v>2022</v>
      </c>
      <c r="R47" s="1052"/>
      <c r="S47" s="1052"/>
      <c r="T47" s="1053"/>
      <c r="U47" s="1051">
        <v>2023</v>
      </c>
      <c r="V47" s="1052"/>
      <c r="W47" s="1052"/>
      <c r="X47" s="1052"/>
      <c r="Y47" s="1051">
        <v>2024</v>
      </c>
      <c r="Z47" s="1052"/>
      <c r="AA47" s="1052"/>
      <c r="AB47" s="1053"/>
      <c r="AC47" s="334">
        <v>2025</v>
      </c>
    </row>
    <row r="48" spans="2:29" x14ac:dyDescent="0.3">
      <c r="B48" s="1049"/>
      <c r="C48" s="1108"/>
      <c r="D48" s="167" t="s">
        <v>411</v>
      </c>
      <c r="E48" s="167" t="s">
        <v>412</v>
      </c>
      <c r="F48" s="148" t="s">
        <v>413</v>
      </c>
      <c r="G48" s="148" t="s">
        <v>298</v>
      </c>
      <c r="H48" s="155" t="s">
        <v>411</v>
      </c>
      <c r="I48" s="149" t="s">
        <v>412</v>
      </c>
      <c r="J48" s="149" t="s">
        <v>413</v>
      </c>
      <c r="K48" s="149" t="s">
        <v>298</v>
      </c>
      <c r="L48" s="149" t="s">
        <v>411</v>
      </c>
      <c r="M48" s="162" t="s">
        <v>412</v>
      </c>
      <c r="N48" s="149" t="s">
        <v>413</v>
      </c>
      <c r="O48" s="155" t="s">
        <v>298</v>
      </c>
      <c r="P48" s="438" t="s">
        <v>411</v>
      </c>
      <c r="Q48" s="436" t="s">
        <v>412</v>
      </c>
      <c r="R48" s="437" t="s">
        <v>413</v>
      </c>
      <c r="S48" s="437" t="s">
        <v>298</v>
      </c>
      <c r="T48" s="437" t="s">
        <v>411</v>
      </c>
      <c r="U48" s="436" t="s">
        <v>412</v>
      </c>
      <c r="V48" s="437" t="s">
        <v>413</v>
      </c>
      <c r="W48" s="437" t="s">
        <v>298</v>
      </c>
      <c r="X48" s="437" t="s">
        <v>411</v>
      </c>
      <c r="Y48" s="436" t="s">
        <v>412</v>
      </c>
      <c r="Z48" s="398" t="s">
        <v>413</v>
      </c>
      <c r="AA48" s="437" t="s">
        <v>298</v>
      </c>
      <c r="AB48" s="438" t="s">
        <v>411</v>
      </c>
      <c r="AC48" s="71" t="s">
        <v>412</v>
      </c>
    </row>
    <row r="49" spans="2:29" x14ac:dyDescent="0.3">
      <c r="B49" s="41" t="s">
        <v>674</v>
      </c>
      <c r="D49" s="471">
        <f t="shared" ref="D49:M49" si="39">SUM(D13:D18)</f>
        <v>781.30000000000007</v>
      </c>
      <c r="E49" s="253">
        <f t="shared" si="39"/>
        <v>796.69999999999993</v>
      </c>
      <c r="F49" s="253">
        <f t="shared" si="39"/>
        <v>808.9</v>
      </c>
      <c r="G49" s="253">
        <f t="shared" si="39"/>
        <v>819.5</v>
      </c>
      <c r="H49" s="253">
        <f t="shared" si="39"/>
        <v>828.09999999999991</v>
      </c>
      <c r="I49" s="253">
        <f t="shared" si="39"/>
        <v>850.58175000000006</v>
      </c>
      <c r="J49" s="253">
        <f t="shared" si="39"/>
        <v>3156.4587499999998</v>
      </c>
      <c r="K49" s="253">
        <f t="shared" si="39"/>
        <v>1732.6267499999999</v>
      </c>
      <c r="L49" s="253">
        <f t="shared" si="39"/>
        <v>1209.5507500000001</v>
      </c>
      <c r="M49" s="253">
        <f t="shared" si="39"/>
        <v>3422.3667500000001</v>
      </c>
      <c r="N49" s="253">
        <f>SUM(N13:N19)</f>
        <v>1764.8013899999999</v>
      </c>
      <c r="O49" s="929">
        <f>SUM(O13:O19)</f>
        <v>285.85711000000015</v>
      </c>
      <c r="P49" s="978" t="e">
        <f t="shared" ref="P49:AC49" si="40">SUM(P13:P19)</f>
        <v>#DIV/0!</v>
      </c>
      <c r="Q49" s="978" t="e">
        <f t="shared" si="40"/>
        <v>#DIV/0!</v>
      </c>
      <c r="R49" s="978" t="e">
        <f t="shared" si="40"/>
        <v>#DIV/0!</v>
      </c>
      <c r="S49" s="978">
        <f t="shared" si="40"/>
        <v>101.41355405982748</v>
      </c>
      <c r="T49" s="978">
        <f t="shared" si="40"/>
        <v>-17.228081059070202</v>
      </c>
      <c r="U49" s="978">
        <f t="shared" si="40"/>
        <v>-17.514547174254353</v>
      </c>
      <c r="V49" s="978">
        <f t="shared" si="40"/>
        <v>-17.806361464727253</v>
      </c>
      <c r="W49" s="978">
        <f t="shared" si="40"/>
        <v>-18.103623778175603</v>
      </c>
      <c r="X49" s="978">
        <f t="shared" si="40"/>
        <v>-26.12143582639116</v>
      </c>
      <c r="Y49" s="978">
        <f t="shared" si="40"/>
        <v>-26.425488519509027</v>
      </c>
      <c r="Z49" s="978">
        <f t="shared" si="40"/>
        <v>-26.73513651595648</v>
      </c>
      <c r="AA49" s="978">
        <f t="shared" si="40"/>
        <v>-27.05048278281804</v>
      </c>
      <c r="AB49" s="978">
        <f t="shared" si="40"/>
        <v>-29.070632182021065</v>
      </c>
      <c r="AC49" s="978">
        <f t="shared" si="40"/>
        <v>-29.397691505205444</v>
      </c>
    </row>
    <row r="50" spans="2:29" x14ac:dyDescent="0.3">
      <c r="B50" s="41" t="s">
        <v>675</v>
      </c>
      <c r="D50" s="156">
        <f t="shared" ref="D50:Y50" si="41">D12</f>
        <v>2222.3000000000002</v>
      </c>
      <c r="E50" s="157">
        <f t="shared" si="41"/>
        <v>2298.1</v>
      </c>
      <c r="F50" s="157">
        <f t="shared" si="41"/>
        <v>2315.5</v>
      </c>
      <c r="G50" s="157">
        <f t="shared" si="41"/>
        <v>2333.1999999999998</v>
      </c>
      <c r="H50" s="157">
        <f t="shared" si="41"/>
        <v>2350.8000000000002</v>
      </c>
      <c r="I50" s="157">
        <f t="shared" si="41"/>
        <v>2417.9</v>
      </c>
      <c r="J50" s="157">
        <f t="shared" si="41"/>
        <v>4766.7</v>
      </c>
      <c r="K50" s="157">
        <f t="shared" si="41"/>
        <v>3468.3</v>
      </c>
      <c r="L50" s="157">
        <f t="shared" si="41"/>
        <v>2839.1</v>
      </c>
      <c r="M50" s="157">
        <f t="shared" si="41"/>
        <v>5070.6000000000004</v>
      </c>
      <c r="N50" s="157">
        <f t="shared" si="41"/>
        <v>3372.3</v>
      </c>
      <c r="O50" s="989">
        <f t="shared" si="41"/>
        <v>0</v>
      </c>
      <c r="P50" s="159" t="e">
        <f t="shared" si="41"/>
        <v>#DIV/0!</v>
      </c>
      <c r="Q50" s="159" t="e">
        <f t="shared" si="41"/>
        <v>#DIV/0!</v>
      </c>
      <c r="R50" s="159" t="e">
        <f t="shared" si="41"/>
        <v>#DIV/0!</v>
      </c>
      <c r="S50" s="159">
        <f t="shared" si="41"/>
        <v>1800.9397660669501</v>
      </c>
      <c r="T50" s="159">
        <f t="shared" si="41"/>
        <v>1689.3981309480525</v>
      </c>
      <c r="U50" s="159">
        <f t="shared" si="41"/>
        <v>1766.4640036952105</v>
      </c>
      <c r="V50" s="159">
        <f t="shared" si="41"/>
        <v>1773.2721894047379</v>
      </c>
      <c r="W50" s="159">
        <f t="shared" si="41"/>
        <v>1780.0749270912895</v>
      </c>
      <c r="X50" s="159">
        <f t="shared" si="41"/>
        <v>1779.1571150430741</v>
      </c>
      <c r="Y50" s="159">
        <f t="shared" si="41"/>
        <v>1852.2758316868271</v>
      </c>
      <c r="Z50" s="159">
        <f t="shared" ref="Z50:AC50" si="42">Z12</f>
        <v>1859.0661836903796</v>
      </c>
      <c r="AA50" s="159">
        <f t="shared" si="42"/>
        <v>1865.8508374235182</v>
      </c>
      <c r="AB50" s="159">
        <f t="shared" si="42"/>
        <v>1870.9306880243155</v>
      </c>
      <c r="AC50" s="652">
        <f t="shared" si="42"/>
        <v>1877.703628701131</v>
      </c>
    </row>
    <row r="51" spans="2:29" x14ac:dyDescent="0.3">
      <c r="B51" s="41" t="s">
        <v>676</v>
      </c>
      <c r="D51" s="156">
        <f>D50-D49</f>
        <v>1441</v>
      </c>
      <c r="E51" s="157">
        <f t="shared" ref="E51:O51" si="43">E50-E49</f>
        <v>1501.4</v>
      </c>
      <c r="F51" s="157">
        <f t="shared" si="43"/>
        <v>1506.6</v>
      </c>
      <c r="G51" s="157">
        <f t="shared" si="43"/>
        <v>1513.6999999999998</v>
      </c>
      <c r="H51" s="157">
        <f t="shared" si="43"/>
        <v>1522.7000000000003</v>
      </c>
      <c r="I51" s="157">
        <f t="shared" si="43"/>
        <v>1567.31825</v>
      </c>
      <c r="J51" s="157">
        <f t="shared" si="43"/>
        <v>1610.24125</v>
      </c>
      <c r="K51" s="157">
        <f t="shared" si="43"/>
        <v>1735.6732500000003</v>
      </c>
      <c r="L51" s="157">
        <f t="shared" si="43"/>
        <v>1629.5492499999998</v>
      </c>
      <c r="M51" s="157">
        <f t="shared" si="43"/>
        <v>1648.2332500000002</v>
      </c>
      <c r="N51" s="157">
        <f t="shared" si="43"/>
        <v>1607.4986100000003</v>
      </c>
      <c r="O51" s="989">
        <f t="shared" si="43"/>
        <v>-285.85711000000015</v>
      </c>
      <c r="P51" s="437"/>
      <c r="Q51" s="437"/>
      <c r="R51" s="437"/>
      <c r="S51" s="437"/>
      <c r="T51" s="437"/>
      <c r="U51" s="437"/>
      <c r="V51" s="437"/>
      <c r="W51" s="437"/>
      <c r="X51" s="437"/>
      <c r="Y51" s="437"/>
      <c r="Z51" s="437"/>
      <c r="AA51" s="437"/>
      <c r="AB51" s="437"/>
      <c r="AC51" s="438"/>
    </row>
    <row r="52" spans="2:29" x14ac:dyDescent="0.3">
      <c r="B52" s="41" t="s">
        <v>677</v>
      </c>
      <c r="D52" s="413">
        <f t="shared" ref="D52:I52" si="44">D50-D13 -D14</f>
        <v>1441.0000000000002</v>
      </c>
      <c r="E52" s="414">
        <f t="shared" si="44"/>
        <v>1501.3999999999999</v>
      </c>
      <c r="F52" s="414">
        <f t="shared" si="44"/>
        <v>1506.6</v>
      </c>
      <c r="G52" s="414">
        <f t="shared" si="44"/>
        <v>1513.6999999999998</v>
      </c>
      <c r="H52" s="414">
        <f t="shared" si="44"/>
        <v>1522.7</v>
      </c>
      <c r="I52" s="414">
        <f t="shared" si="44"/>
        <v>1569.9</v>
      </c>
      <c r="J52" s="415">
        <f>I52+($H$52-$E$52)/3</f>
        <v>1577.0000000000002</v>
      </c>
      <c r="K52" s="415">
        <f t="shared" ref="K52" si="45">J52+($H$52-$E$52)/3</f>
        <v>1584.1000000000004</v>
      </c>
      <c r="L52" s="415">
        <f>K52+($H$52-$E$52)/3</f>
        <v>1591.2000000000005</v>
      </c>
      <c r="M52" s="614">
        <f>L52+($H$52-$E$52)/3 +(M53-L53)</f>
        <v>1598.3000000000006</v>
      </c>
      <c r="N52" s="415">
        <f>M52+($H$52-$E$52)/3</f>
        <v>1605.4000000000008</v>
      </c>
      <c r="O52" s="275" t="s">
        <v>678</v>
      </c>
      <c r="P52" s="437"/>
      <c r="Q52" s="437"/>
      <c r="R52" s="437"/>
      <c r="S52" s="437"/>
      <c r="T52" s="437"/>
      <c r="U52" s="437"/>
      <c r="V52" s="437"/>
      <c r="W52" s="437"/>
      <c r="X52" s="437"/>
      <c r="Y52" s="437"/>
      <c r="Z52" s="437"/>
      <c r="AA52" s="437"/>
      <c r="AB52" s="437"/>
      <c r="AC52" s="438"/>
    </row>
    <row r="53" spans="2:29" x14ac:dyDescent="0.3">
      <c r="B53" s="163" t="s">
        <v>679</v>
      </c>
      <c r="C53" s="34" t="s">
        <v>680</v>
      </c>
      <c r="D53" s="615">
        <f>'Haver Pivoted'!GO81</f>
        <v>0</v>
      </c>
      <c r="E53" s="611">
        <f>'Haver Pivoted'!GP81</f>
        <v>0</v>
      </c>
      <c r="F53" s="611">
        <f>'Haver Pivoted'!GQ81</f>
        <v>0</v>
      </c>
      <c r="G53" s="611">
        <f>'Haver Pivoted'!GR81</f>
        <v>0</v>
      </c>
      <c r="H53" s="611">
        <f>'Haver Pivoted'!GS81</f>
        <v>0</v>
      </c>
      <c r="I53" s="611">
        <f>'Haver Pivoted'!GT81</f>
        <v>0</v>
      </c>
      <c r="J53" s="611">
        <f>'Haver Pivoted'!GU81</f>
        <v>0</v>
      </c>
      <c r="K53" s="611">
        <f>'Haver Pivoted'!GV81</f>
        <v>0</v>
      </c>
      <c r="L53" s="611">
        <f>'Haver Pivoted'!GW81</f>
        <v>0</v>
      </c>
      <c r="M53" s="611">
        <f>'Haver Pivoted'!GX81</f>
        <v>0</v>
      </c>
      <c r="N53" s="611">
        <f>'Haver Pivoted'!GY81</f>
        <v>0</v>
      </c>
      <c r="O53" s="990">
        <f>'Haver Pivoted'!GZ81</f>
        <v>0</v>
      </c>
      <c r="P53" s="437"/>
      <c r="Q53" s="437"/>
      <c r="R53" s="437"/>
      <c r="S53" s="437"/>
      <c r="T53" s="437"/>
      <c r="U53" s="437"/>
      <c r="V53" s="437"/>
      <c r="W53" s="437"/>
      <c r="X53" s="437"/>
      <c r="Y53" s="437"/>
      <c r="Z53" s="437"/>
      <c r="AA53" s="437"/>
      <c r="AB53" s="437"/>
      <c r="AC53" s="438"/>
    </row>
    <row r="54" spans="2:29" x14ac:dyDescent="0.3">
      <c r="B54" s="138" t="s">
        <v>681</v>
      </c>
      <c r="C54" s="42"/>
      <c r="D54" s="274">
        <f>D51-D52</f>
        <v>0</v>
      </c>
      <c r="E54" s="273">
        <f t="shared" ref="E54:O54" si="46">E51-E52</f>
        <v>0</v>
      </c>
      <c r="F54" s="273">
        <f t="shared" si="46"/>
        <v>0</v>
      </c>
      <c r="G54" s="273">
        <f t="shared" si="46"/>
        <v>0</v>
      </c>
      <c r="H54" s="273">
        <f t="shared" si="46"/>
        <v>0</v>
      </c>
      <c r="I54" s="273">
        <f t="shared" si="46"/>
        <v>-2.5817500000000564</v>
      </c>
      <c r="J54" s="273">
        <f t="shared" si="46"/>
        <v>33.241249999999809</v>
      </c>
      <c r="K54" s="273">
        <f t="shared" si="46"/>
        <v>151.57324999999992</v>
      </c>
      <c r="L54" s="273">
        <f t="shared" si="46"/>
        <v>38.349249999999302</v>
      </c>
      <c r="M54" s="273">
        <f t="shared" si="46"/>
        <v>49.933249999999589</v>
      </c>
      <c r="N54" s="273">
        <f t="shared" si="46"/>
        <v>2.0986099999995531</v>
      </c>
      <c r="O54" s="786" t="e">
        <f t="shared" si="46"/>
        <v>#VALUE!</v>
      </c>
      <c r="P54" s="658">
        <v>30</v>
      </c>
      <c r="Q54" s="658">
        <v>30</v>
      </c>
      <c r="R54" s="658">
        <v>25</v>
      </c>
      <c r="S54" s="658">
        <v>20</v>
      </c>
      <c r="T54" s="658">
        <v>15</v>
      </c>
      <c r="U54" s="59">
        <v>10</v>
      </c>
      <c r="V54" s="59">
        <v>5</v>
      </c>
      <c r="W54" s="59"/>
      <c r="X54" s="59"/>
      <c r="Y54" s="59"/>
      <c r="Z54" s="59"/>
      <c r="AA54" s="59"/>
      <c r="AB54" s="59"/>
      <c r="AC54" s="60"/>
    </row>
    <row r="55" spans="2:29" ht="39.65" customHeight="1" x14ac:dyDescent="0.3">
      <c r="B55" s="1142" t="s">
        <v>682</v>
      </c>
      <c r="C55" s="1142"/>
      <c r="D55" s="1075"/>
      <c r="E55" s="1075"/>
      <c r="F55" s="1075"/>
      <c r="G55" s="1075"/>
      <c r="H55" s="1075"/>
      <c r="I55" s="1075"/>
      <c r="J55" s="1075"/>
      <c r="K55" s="1075"/>
      <c r="L55" s="1075"/>
      <c r="M55" s="1075"/>
      <c r="N55" s="1075"/>
      <c r="O55" s="1075"/>
      <c r="P55" s="1142"/>
      <c r="Q55" s="1142"/>
      <c r="R55" s="1142"/>
      <c r="S55" s="1142"/>
      <c r="T55" s="1142"/>
      <c r="U55" s="1142"/>
      <c r="V55" s="1142"/>
      <c r="W55" s="1142"/>
      <c r="X55" s="1142"/>
      <c r="Y55" s="1142"/>
      <c r="Z55" s="1142"/>
      <c r="AA55" s="1142"/>
      <c r="AB55" s="1142"/>
      <c r="AC55" s="1142"/>
    </row>
    <row r="56" spans="2:29" x14ac:dyDescent="0.3">
      <c r="D56" s="43"/>
      <c r="E56" s="43"/>
      <c r="F56" s="43"/>
      <c r="G56" s="43"/>
      <c r="H56" s="43"/>
      <c r="I56" s="43"/>
      <c r="J56" s="43"/>
      <c r="K56" s="43"/>
      <c r="L56" s="43"/>
      <c r="M56" s="43"/>
      <c r="N56" s="43"/>
      <c r="O56" s="43"/>
      <c r="P56" s="43"/>
      <c r="Q56" s="43"/>
      <c r="R56" s="43"/>
      <c r="S56" s="43"/>
      <c r="T56" s="43"/>
      <c r="U56" s="43"/>
      <c r="V56" s="43"/>
      <c r="W56" s="43"/>
      <c r="X56" s="43"/>
      <c r="Y56" s="43"/>
    </row>
    <row r="57" spans="2:29" x14ac:dyDescent="0.3">
      <c r="B57" s="52" t="s">
        <v>516</v>
      </c>
      <c r="D57" s="43"/>
      <c r="E57" s="43"/>
      <c r="F57" s="43"/>
      <c r="G57" s="43"/>
      <c r="H57" s="43"/>
      <c r="I57" s="43"/>
      <c r="J57" s="43"/>
      <c r="K57" s="43"/>
      <c r="L57" s="43"/>
      <c r="M57" s="43"/>
      <c r="N57" s="43"/>
      <c r="O57" s="43"/>
      <c r="P57" s="43"/>
      <c r="Q57" s="43"/>
      <c r="R57" s="43"/>
      <c r="S57" s="43"/>
      <c r="T57" s="43"/>
      <c r="U57" s="43"/>
      <c r="V57" s="43"/>
      <c r="W57" s="43"/>
      <c r="X57" s="43"/>
      <c r="Y57" s="43"/>
    </row>
    <row r="58" spans="2:29" ht="45.65" customHeight="1" x14ac:dyDescent="0.3">
      <c r="B58" s="1141" t="s">
        <v>683</v>
      </c>
      <c r="C58" s="1141"/>
      <c r="D58" s="1141"/>
      <c r="E58" s="1141"/>
      <c r="F58" s="1141"/>
      <c r="G58" s="1141"/>
      <c r="H58" s="1141"/>
      <c r="I58" s="1141"/>
      <c r="J58" s="1141"/>
      <c r="K58" s="1141"/>
      <c r="L58" s="1141"/>
      <c r="M58" s="1141"/>
      <c r="N58" s="1141"/>
      <c r="O58" s="1141"/>
      <c r="P58" s="1141"/>
      <c r="Q58" s="1141"/>
      <c r="R58" s="1141"/>
      <c r="S58" s="1141"/>
      <c r="T58" s="1141"/>
      <c r="U58" s="1141"/>
      <c r="V58" s="1141"/>
      <c r="W58" s="1141"/>
      <c r="X58" s="1141"/>
      <c r="Y58" s="1141"/>
      <c r="Z58" s="1141"/>
      <c r="AA58" s="1141"/>
      <c r="AB58" s="1141"/>
      <c r="AC58" s="1141"/>
    </row>
    <row r="59" spans="2:29" ht="14.5" customHeight="1" x14ac:dyDescent="0.3">
      <c r="B59" s="1049" t="s">
        <v>684</v>
      </c>
      <c r="C59" s="1050"/>
      <c r="D59" s="1054" t="s">
        <v>409</v>
      </c>
      <c r="E59" s="1055"/>
      <c r="F59" s="1055"/>
      <c r="G59" s="1055"/>
      <c r="H59" s="1055"/>
      <c r="I59" s="1055"/>
      <c r="J59" s="1055"/>
      <c r="K59" s="1055"/>
      <c r="L59" s="1055"/>
      <c r="M59" s="1055"/>
      <c r="N59" s="1055"/>
      <c r="O59" s="1056"/>
      <c r="P59" s="1083" t="s">
        <v>410</v>
      </c>
      <c r="Q59" s="1084"/>
      <c r="R59" s="1084"/>
      <c r="S59" s="1084"/>
      <c r="T59" s="1084"/>
      <c r="U59" s="1084"/>
      <c r="V59" s="1084"/>
      <c r="W59" s="1084"/>
      <c r="X59" s="1084"/>
      <c r="Y59" s="1084"/>
      <c r="Z59" s="1084"/>
      <c r="AA59" s="1084"/>
      <c r="AB59" s="1084"/>
      <c r="AC59" s="1085"/>
    </row>
    <row r="60" spans="2:29" x14ac:dyDescent="0.3">
      <c r="B60" s="1049"/>
      <c r="C60" s="1050"/>
      <c r="D60" s="549">
        <v>2018</v>
      </c>
      <c r="E60" s="1044">
        <v>2019</v>
      </c>
      <c r="F60" s="1045"/>
      <c r="G60" s="1045"/>
      <c r="H60" s="1046"/>
      <c r="I60" s="1044">
        <v>2020</v>
      </c>
      <c r="J60" s="1045"/>
      <c r="K60" s="1045"/>
      <c r="L60" s="1046"/>
      <c r="M60" s="1044">
        <v>2021</v>
      </c>
      <c r="N60" s="1045"/>
      <c r="O60" s="1046"/>
      <c r="P60" s="582">
        <v>2021</v>
      </c>
      <c r="Q60" s="1051">
        <v>2022</v>
      </c>
      <c r="R60" s="1052"/>
      <c r="S60" s="1052"/>
      <c r="T60" s="1053"/>
      <c r="U60" s="1051">
        <v>2023</v>
      </c>
      <c r="V60" s="1052"/>
      <c r="W60" s="1052"/>
      <c r="X60" s="1052"/>
      <c r="Y60" s="1051">
        <v>2024</v>
      </c>
      <c r="Z60" s="1052"/>
      <c r="AA60" s="1052"/>
      <c r="AB60" s="1053"/>
      <c r="AC60" s="334">
        <v>2025</v>
      </c>
    </row>
    <row r="61" spans="2:29" x14ac:dyDescent="0.3">
      <c r="B61" s="1087"/>
      <c r="C61" s="1088"/>
      <c r="D61" s="167" t="s">
        <v>411</v>
      </c>
      <c r="E61" s="167" t="s">
        <v>412</v>
      </c>
      <c r="F61" s="148" t="s">
        <v>413</v>
      </c>
      <c r="G61" s="148" t="s">
        <v>298</v>
      </c>
      <c r="H61" s="155" t="s">
        <v>411</v>
      </c>
      <c r="I61" s="149" t="s">
        <v>412</v>
      </c>
      <c r="J61" s="149" t="s">
        <v>413</v>
      </c>
      <c r="K61" s="149" t="s">
        <v>298</v>
      </c>
      <c r="L61" s="149" t="s">
        <v>411</v>
      </c>
      <c r="M61" s="162" t="s">
        <v>412</v>
      </c>
      <c r="N61" s="149" t="s">
        <v>413</v>
      </c>
      <c r="O61" s="155" t="s">
        <v>298</v>
      </c>
      <c r="P61" s="438" t="s">
        <v>411</v>
      </c>
      <c r="Q61" s="436" t="s">
        <v>412</v>
      </c>
      <c r="R61" s="437" t="s">
        <v>413</v>
      </c>
      <c r="S61" s="437" t="s">
        <v>298</v>
      </c>
      <c r="T61" s="437" t="s">
        <v>411</v>
      </c>
      <c r="U61" s="436" t="s">
        <v>412</v>
      </c>
      <c r="V61" s="437" t="s">
        <v>413</v>
      </c>
      <c r="W61" s="437" t="s">
        <v>298</v>
      </c>
      <c r="X61" s="437" t="s">
        <v>411</v>
      </c>
      <c r="Y61" s="436" t="s">
        <v>412</v>
      </c>
      <c r="Z61" s="398" t="s">
        <v>413</v>
      </c>
      <c r="AA61" s="437" t="s">
        <v>298</v>
      </c>
      <c r="AB61" s="438" t="s">
        <v>411</v>
      </c>
      <c r="AC61" s="71" t="s">
        <v>412</v>
      </c>
    </row>
    <row r="62" spans="2:29" x14ac:dyDescent="0.3">
      <c r="B62" s="41" t="s">
        <v>685</v>
      </c>
      <c r="D62" s="594"/>
      <c r="E62" s="788"/>
      <c r="F62" s="788"/>
      <c r="G62" s="788"/>
      <c r="H62" s="788"/>
      <c r="I62" s="253">
        <f>(I63-AVERAGE($E63:$H63))</f>
        <v>2.5817499999999995</v>
      </c>
      <c r="J62" s="253">
        <f t="shared" ref="J62:O62" si="47">(J63-AVERAGE($E63:$H63))</f>
        <v>37.358750000000001</v>
      </c>
      <c r="K62" s="253">
        <f t="shared" si="47"/>
        <v>38.026749999999993</v>
      </c>
      <c r="L62" s="253">
        <f t="shared" si="47"/>
        <v>38.350750000000005</v>
      </c>
      <c r="M62" s="253">
        <f t="shared" si="47"/>
        <v>54.966750000000005</v>
      </c>
      <c r="N62" s="253">
        <f t="shared" si="47"/>
        <v>74.252749999999992</v>
      </c>
      <c r="O62" s="922">
        <f t="shared" si="47"/>
        <v>-54.686250000000001</v>
      </c>
      <c r="P62" s="703">
        <v>50</v>
      </c>
      <c r="Q62" s="703">
        <v>25</v>
      </c>
      <c r="R62" s="978">
        <v>20</v>
      </c>
      <c r="S62" s="978">
        <v>5</v>
      </c>
      <c r="T62" s="978">
        <v>0</v>
      </c>
      <c r="U62" s="703"/>
      <c r="V62" s="703"/>
      <c r="W62" s="703"/>
      <c r="X62" s="703"/>
      <c r="Y62" s="703"/>
      <c r="Z62" s="703"/>
      <c r="AA62" s="703"/>
      <c r="AB62" s="703"/>
      <c r="AC62" s="574"/>
    </row>
    <row r="63" spans="2:29" x14ac:dyDescent="0.3">
      <c r="B63" s="41" t="s">
        <v>210</v>
      </c>
      <c r="C63" s="34" t="s">
        <v>686</v>
      </c>
      <c r="D63" s="146">
        <f>'Haver Pivoted'!GO66</f>
        <v>57.116</v>
      </c>
      <c r="E63" s="43">
        <f>'Haver Pivoted'!GP66</f>
        <v>55.898000000000003</v>
      </c>
      <c r="F63" s="43">
        <f>'Haver Pivoted'!GQ66</f>
        <v>54.478000000000002</v>
      </c>
      <c r="G63" s="43">
        <f>'Haver Pivoted'!GR66</f>
        <v>54.216000000000001</v>
      </c>
      <c r="H63" s="43">
        <f>'Haver Pivoted'!GS66</f>
        <v>54.152999999999999</v>
      </c>
      <c r="I63" s="43">
        <f>'Haver Pivoted'!GT66</f>
        <v>57.268000000000001</v>
      </c>
      <c r="J63" s="43">
        <f>'Haver Pivoted'!GU66</f>
        <v>92.045000000000002</v>
      </c>
      <c r="K63" s="43">
        <f>'Haver Pivoted'!GV66</f>
        <v>92.712999999999994</v>
      </c>
      <c r="L63" s="43">
        <f>'Haver Pivoted'!GW66</f>
        <v>93.037000000000006</v>
      </c>
      <c r="M63" s="43">
        <f>'Haver Pivoted'!GX66</f>
        <v>109.65300000000001</v>
      </c>
      <c r="N63" s="43">
        <f>'Haver Pivoted'!GY66</f>
        <v>128.93899999999999</v>
      </c>
      <c r="O63" s="275">
        <f>'Haver Pivoted'!GZ66</f>
        <v>0</v>
      </c>
      <c r="P63" s="437"/>
      <c r="Q63" s="437"/>
      <c r="R63" s="437"/>
      <c r="S63" s="437"/>
      <c r="T63" s="437"/>
      <c r="U63" s="437"/>
      <c r="V63" s="437"/>
      <c r="W63" s="437"/>
      <c r="X63" s="437"/>
      <c r="Y63" s="437"/>
      <c r="Z63" s="437"/>
      <c r="AA63" s="437"/>
      <c r="AB63" s="437"/>
      <c r="AC63" s="438"/>
    </row>
    <row r="64" spans="2:29" x14ac:dyDescent="0.3">
      <c r="B64" s="138" t="s">
        <v>687</v>
      </c>
      <c r="C64" s="42"/>
      <c r="D64" s="147"/>
      <c r="E64" s="145"/>
      <c r="F64" s="145"/>
      <c r="G64" s="145"/>
      <c r="H64" s="145"/>
      <c r="I64" s="145"/>
      <c r="J64" s="145">
        <f t="shared" ref="J64:O64" si="48">J63-$H63</f>
        <v>37.892000000000003</v>
      </c>
      <c r="K64" s="145">
        <f t="shared" si="48"/>
        <v>38.559999999999995</v>
      </c>
      <c r="L64" s="145">
        <f t="shared" si="48"/>
        <v>38.884000000000007</v>
      </c>
      <c r="M64" s="145">
        <f t="shared" si="48"/>
        <v>55.500000000000007</v>
      </c>
      <c r="N64" s="145">
        <f t="shared" si="48"/>
        <v>74.786000000000001</v>
      </c>
      <c r="O64" s="174">
        <f t="shared" si="48"/>
        <v>-54.152999999999999</v>
      </c>
      <c r="P64" s="59"/>
      <c r="Q64" s="59"/>
      <c r="R64" s="59"/>
      <c r="S64" s="59"/>
      <c r="T64" s="59"/>
      <c r="U64" s="59"/>
      <c r="V64" s="59"/>
      <c r="W64" s="59"/>
      <c r="X64" s="59"/>
      <c r="Y64" s="59"/>
      <c r="Z64" s="59"/>
      <c r="AA64" s="59"/>
      <c r="AB64" s="59"/>
      <c r="AC64" s="60"/>
    </row>
    <row r="65" spans="2:25" ht="14.15" customHeight="1" x14ac:dyDescent="0.3">
      <c r="B65" s="573"/>
      <c r="C65" s="573"/>
      <c r="D65" s="368"/>
      <c r="E65" s="368"/>
      <c r="F65" s="368"/>
      <c r="G65" s="368"/>
      <c r="H65" s="368"/>
      <c r="I65" s="368"/>
      <c r="J65" s="368"/>
      <c r="K65" s="368"/>
      <c r="L65" s="368"/>
      <c r="M65" s="368"/>
      <c r="N65" s="368"/>
      <c r="O65" s="368"/>
      <c r="P65" s="368"/>
      <c r="Q65" s="368"/>
      <c r="R65" s="368"/>
      <c r="S65" s="368"/>
      <c r="T65" s="368"/>
      <c r="U65" s="368"/>
      <c r="V65" s="368"/>
      <c r="W65" s="368"/>
      <c r="X65" s="368"/>
      <c r="Y65" s="368"/>
    </row>
    <row r="66" spans="2:25" ht="14.15" customHeight="1" x14ac:dyDescent="0.3">
      <c r="B66" s="368"/>
      <c r="C66" s="368"/>
      <c r="D66" s="368"/>
      <c r="E66" s="368"/>
      <c r="F66" s="368"/>
      <c r="G66" s="368"/>
      <c r="H66" s="368"/>
      <c r="I66" s="368"/>
      <c r="J66" s="368"/>
      <c r="K66" s="368"/>
      <c r="L66" s="368"/>
      <c r="M66" s="368"/>
      <c r="N66" s="368"/>
      <c r="O66" s="368"/>
      <c r="P66" s="368"/>
      <c r="Q66" s="368"/>
      <c r="R66" s="368"/>
      <c r="S66" s="368"/>
      <c r="T66" s="368"/>
      <c r="U66" s="368"/>
      <c r="V66" s="368"/>
      <c r="W66" s="368"/>
      <c r="X66" s="368"/>
      <c r="Y66" s="368"/>
    </row>
    <row r="67" spans="2:25" ht="14.15" customHeight="1" x14ac:dyDescent="0.3">
      <c r="B67" s="368"/>
      <c r="C67" s="368"/>
      <c r="D67" s="368"/>
      <c r="E67" s="368"/>
      <c r="F67" s="368"/>
      <c r="G67" s="368"/>
      <c r="H67" s="368"/>
      <c r="I67" s="368"/>
      <c r="J67" s="368"/>
      <c r="K67" s="368"/>
      <c r="L67" s="368"/>
      <c r="M67" s="368"/>
      <c r="N67" s="368"/>
      <c r="O67" s="368"/>
      <c r="P67" s="368"/>
      <c r="Q67" s="368"/>
      <c r="R67" s="368"/>
      <c r="S67" s="368"/>
      <c r="T67" s="368"/>
      <c r="U67" s="368"/>
      <c r="V67" s="368"/>
      <c r="W67" s="368"/>
      <c r="X67" s="368"/>
      <c r="Y67" s="368"/>
    </row>
    <row r="68" spans="2:25" x14ac:dyDescent="0.3">
      <c r="D68" s="417"/>
      <c r="E68" s="417"/>
      <c r="F68" s="417"/>
      <c r="G68" s="417"/>
      <c r="H68" s="417"/>
      <c r="I68" s="417"/>
      <c r="J68" s="417"/>
      <c r="K68" s="417"/>
      <c r="L68" s="417"/>
      <c r="M68" s="417"/>
      <c r="N68" s="417"/>
      <c r="O68" s="417"/>
      <c r="P68" s="416"/>
    </row>
    <row r="69" spans="2:25" ht="14.5" x14ac:dyDescent="0.35">
      <c r="B69" s="679"/>
      <c r="D69" s="680"/>
      <c r="E69"/>
      <c r="F69"/>
      <c r="G69"/>
      <c r="H69"/>
      <c r="I69"/>
      <c r="J69"/>
      <c r="K69"/>
      <c r="L69"/>
      <c r="M69"/>
      <c r="N69"/>
      <c r="O69" s="416"/>
      <c r="P69" s="416"/>
    </row>
    <row r="70" spans="2:25" ht="14.5" x14ac:dyDescent="0.35">
      <c r="B70"/>
      <c r="D70" s="680"/>
      <c r="E70"/>
      <c r="F70"/>
      <c r="G70"/>
      <c r="H70"/>
      <c r="I70"/>
      <c r="J70"/>
      <c r="K70"/>
      <c r="L70"/>
      <c r="M70"/>
      <c r="N70"/>
    </row>
    <row r="71" spans="2:25" ht="14.5" x14ac:dyDescent="0.35">
      <c r="B71"/>
      <c r="D71" s="680"/>
      <c r="E71"/>
      <c r="F71"/>
      <c r="G71"/>
      <c r="H71"/>
      <c r="I71"/>
      <c r="J71"/>
      <c r="K71"/>
      <c r="L71"/>
      <c r="M71"/>
      <c r="N71"/>
    </row>
    <row r="72" spans="2:25" ht="14.15" customHeight="1" x14ac:dyDescent="0.35">
      <c r="B72"/>
      <c r="C72" s="25"/>
      <c r="D72" s="680"/>
      <c r="E72"/>
      <c r="F72"/>
      <c r="G72"/>
      <c r="H72"/>
      <c r="I72"/>
      <c r="J72"/>
      <c r="K72"/>
      <c r="L72"/>
      <c r="M72"/>
      <c r="N72"/>
      <c r="O72" s="25"/>
      <c r="P72" s="25"/>
      <c r="Q72" s="25"/>
      <c r="R72" s="25"/>
      <c r="S72" s="25"/>
      <c r="T72" s="25"/>
      <c r="U72" s="25"/>
      <c r="V72" s="25"/>
      <c r="W72" s="25"/>
      <c r="X72" s="25"/>
    </row>
    <row r="73" spans="2:25" ht="14.15" customHeight="1" x14ac:dyDescent="0.35">
      <c r="B73"/>
      <c r="C73" s="25"/>
      <c r="D73" s="680"/>
      <c r="E73"/>
      <c r="F73"/>
      <c r="G73"/>
      <c r="H73"/>
      <c r="I73"/>
      <c r="J73"/>
      <c r="K73"/>
      <c r="L73"/>
      <c r="M73"/>
      <c r="N73"/>
      <c r="O73" s="25"/>
      <c r="P73" s="25"/>
      <c r="Q73" s="25"/>
      <c r="R73" s="25"/>
      <c r="S73" s="25"/>
      <c r="T73" s="25"/>
      <c r="U73" s="25"/>
      <c r="V73" s="25"/>
      <c r="W73" s="25"/>
      <c r="X73" s="25"/>
    </row>
    <row r="74" spans="2:25" ht="14.15" customHeight="1" x14ac:dyDescent="0.35">
      <c r="B74"/>
      <c r="C74" s="25"/>
      <c r="D74" s="680"/>
      <c r="E74"/>
      <c r="F74"/>
      <c r="G74"/>
      <c r="H74"/>
      <c r="I74"/>
      <c r="J74"/>
      <c r="K74"/>
      <c r="L74"/>
      <c r="M74"/>
      <c r="N74"/>
      <c r="O74" s="25"/>
      <c r="P74" s="25"/>
      <c r="Q74" s="25"/>
      <c r="R74" s="25"/>
      <c r="S74" s="25"/>
      <c r="T74" s="25"/>
      <c r="U74" s="25"/>
      <c r="V74" s="25"/>
      <c r="W74" s="25"/>
      <c r="X74" s="25"/>
    </row>
    <row r="75" spans="2:25" ht="14.5" x14ac:dyDescent="0.35">
      <c r="B75"/>
      <c r="D75" s="680"/>
      <c r="E75"/>
      <c r="F75"/>
      <c r="G75"/>
      <c r="H75"/>
      <c r="I75"/>
      <c r="J75"/>
      <c r="K75"/>
      <c r="L75"/>
      <c r="M75"/>
      <c r="N75"/>
    </row>
    <row r="76" spans="2:25" ht="14.5" x14ac:dyDescent="0.35">
      <c r="B76"/>
      <c r="D76" s="680"/>
      <c r="E76"/>
      <c r="F76"/>
      <c r="G76"/>
      <c r="H76"/>
      <c r="I76"/>
      <c r="J76"/>
      <c r="K76"/>
      <c r="L76"/>
      <c r="M76"/>
      <c r="N76"/>
    </row>
    <row r="77" spans="2:25" ht="14.5" x14ac:dyDescent="0.35">
      <c r="B77"/>
      <c r="D77" s="680"/>
      <c r="E77"/>
      <c r="F77"/>
      <c r="G77"/>
      <c r="H77"/>
      <c r="I77"/>
      <c r="J77"/>
      <c r="K77"/>
      <c r="L77"/>
      <c r="M77"/>
      <c r="N77"/>
    </row>
    <row r="78" spans="2:25" ht="14.5" x14ac:dyDescent="0.35">
      <c r="B78"/>
      <c r="D78" s="680"/>
      <c r="E78"/>
      <c r="F78"/>
      <c r="G78"/>
      <c r="H78"/>
      <c r="I78"/>
      <c r="J78"/>
      <c r="K78"/>
      <c r="L78"/>
      <c r="M78"/>
      <c r="N78"/>
    </row>
    <row r="79" spans="2:25" ht="14.5" x14ac:dyDescent="0.35">
      <c r="B79"/>
      <c r="D79" s="680"/>
      <c r="E79"/>
      <c r="F79"/>
      <c r="G79"/>
      <c r="H79"/>
      <c r="I79"/>
      <c r="J79"/>
      <c r="K79"/>
      <c r="L79"/>
      <c r="M79"/>
      <c r="N79"/>
    </row>
    <row r="80" spans="2:25" ht="14.5" x14ac:dyDescent="0.35">
      <c r="B80"/>
      <c r="D80" s="680"/>
      <c r="E80"/>
      <c r="F80"/>
      <c r="G80"/>
      <c r="H80"/>
      <c r="I80"/>
      <c r="J80"/>
      <c r="K80"/>
      <c r="L80"/>
      <c r="M80"/>
      <c r="N80"/>
    </row>
    <row r="81" spans="2:14" ht="14.5" x14ac:dyDescent="0.35">
      <c r="B81"/>
      <c r="D81" s="680"/>
      <c r="E81"/>
      <c r="F81"/>
      <c r="G81"/>
      <c r="H81"/>
      <c r="I81"/>
      <c r="J81"/>
      <c r="K81"/>
      <c r="L81"/>
      <c r="M81"/>
      <c r="N81"/>
    </row>
    <row r="82" spans="2:14" ht="14.5" x14ac:dyDescent="0.35">
      <c r="B82"/>
      <c r="D82" s="680"/>
      <c r="E82"/>
      <c r="F82"/>
      <c r="G82"/>
      <c r="H82"/>
      <c r="I82"/>
      <c r="J82"/>
      <c r="K82"/>
      <c r="L82"/>
      <c r="M82"/>
      <c r="N82"/>
    </row>
    <row r="83" spans="2:14" ht="14.5" x14ac:dyDescent="0.35">
      <c r="B83"/>
      <c r="D83" s="680"/>
      <c r="E83"/>
      <c r="F83"/>
      <c r="G83"/>
      <c r="H83"/>
      <c r="I83"/>
      <c r="J83"/>
      <c r="K83"/>
      <c r="L83"/>
      <c r="M83"/>
      <c r="N83"/>
    </row>
    <row r="84" spans="2:14" ht="14.5" x14ac:dyDescent="0.35">
      <c r="B84"/>
      <c r="D84" s="680"/>
      <c r="E84"/>
      <c r="F84"/>
      <c r="G84"/>
      <c r="H84"/>
      <c r="I84"/>
      <c r="J84"/>
      <c r="K84"/>
      <c r="L84"/>
      <c r="M84"/>
      <c r="N84"/>
    </row>
    <row r="87" spans="2:14" x14ac:dyDescent="0.3">
      <c r="J87" s="521"/>
      <c r="K87" s="521"/>
      <c r="L87" s="521"/>
      <c r="M87" s="521"/>
      <c r="N87" s="521"/>
    </row>
    <row r="91" spans="2:14" x14ac:dyDescent="0.3">
      <c r="D91" s="417"/>
      <c r="E91" s="417"/>
      <c r="F91" s="417"/>
      <c r="G91" s="417"/>
      <c r="H91" s="417"/>
      <c r="I91" s="417"/>
      <c r="J91" s="417"/>
      <c r="K91" s="417"/>
      <c r="L91" s="417"/>
      <c r="M91" s="417"/>
      <c r="N91" s="417"/>
    </row>
    <row r="92" spans="2:14" ht="14.5" x14ac:dyDescent="0.35">
      <c r="B92" s="679"/>
      <c r="D92" s="680"/>
      <c r="E92"/>
      <c r="F92"/>
      <c r="G92"/>
      <c r="H92"/>
      <c r="I92"/>
      <c r="J92"/>
      <c r="K92"/>
      <c r="L92"/>
      <c r="M92"/>
      <c r="N92"/>
    </row>
    <row r="93" spans="2:14" ht="14.5" x14ac:dyDescent="0.35">
      <c r="B93"/>
      <c r="D93" s="680"/>
      <c r="E93"/>
      <c r="F93"/>
      <c r="G93"/>
      <c r="H93"/>
      <c r="I93"/>
      <c r="J93"/>
      <c r="K93"/>
      <c r="L93"/>
      <c r="M93"/>
      <c r="N93"/>
    </row>
    <row r="94" spans="2:14" ht="14.5" x14ac:dyDescent="0.35">
      <c r="B94"/>
      <c r="D94" s="680"/>
      <c r="E94"/>
      <c r="F94"/>
      <c r="G94"/>
      <c r="H94"/>
      <c r="I94"/>
      <c r="J94"/>
      <c r="K94"/>
      <c r="L94"/>
      <c r="M94"/>
      <c r="N94"/>
    </row>
    <row r="95" spans="2:14" ht="14.5" x14ac:dyDescent="0.35">
      <c r="B95"/>
      <c r="C95" s="25"/>
      <c r="D95" s="680"/>
      <c r="E95"/>
      <c r="F95"/>
      <c r="G95"/>
      <c r="H95"/>
      <c r="I95"/>
      <c r="J95"/>
      <c r="K95"/>
      <c r="L95"/>
      <c r="M95"/>
      <c r="N95"/>
    </row>
    <row r="96" spans="2:14" ht="14.5" x14ac:dyDescent="0.35">
      <c r="B96"/>
      <c r="C96" s="25"/>
      <c r="D96" s="680"/>
      <c r="E96"/>
      <c r="F96"/>
      <c r="G96"/>
      <c r="H96"/>
      <c r="I96"/>
      <c r="J96"/>
      <c r="K96"/>
      <c r="L96"/>
      <c r="M96"/>
      <c r="N96"/>
    </row>
    <row r="97" spans="2:14" ht="14.5" x14ac:dyDescent="0.35">
      <c r="B97"/>
      <c r="C97" s="25"/>
      <c r="D97" s="680"/>
      <c r="E97"/>
      <c r="F97"/>
      <c r="G97"/>
      <c r="H97"/>
      <c r="I97"/>
      <c r="J97"/>
      <c r="K97"/>
      <c r="L97"/>
      <c r="M97"/>
      <c r="N97"/>
    </row>
    <row r="98" spans="2:14" ht="14.5" x14ac:dyDescent="0.35">
      <c r="B98"/>
      <c r="D98" s="680"/>
      <c r="E98"/>
      <c r="F98"/>
      <c r="G98"/>
      <c r="H98"/>
      <c r="I98"/>
      <c r="J98"/>
      <c r="K98"/>
      <c r="L98"/>
      <c r="M98"/>
      <c r="N98"/>
    </row>
    <row r="99" spans="2:14" ht="14.5" x14ac:dyDescent="0.35">
      <c r="B99"/>
      <c r="D99" s="680"/>
      <c r="E99"/>
      <c r="F99"/>
      <c r="G99"/>
      <c r="H99"/>
      <c r="I99"/>
      <c r="J99"/>
      <c r="K99"/>
      <c r="L99"/>
      <c r="M99"/>
      <c r="N99"/>
    </row>
    <row r="100" spans="2:14" ht="14.5" x14ac:dyDescent="0.35">
      <c r="B100"/>
      <c r="D100" s="680"/>
      <c r="E100"/>
      <c r="F100"/>
      <c r="G100"/>
      <c r="H100"/>
      <c r="I100"/>
      <c r="J100"/>
      <c r="K100"/>
      <c r="L100"/>
      <c r="M100"/>
      <c r="N100"/>
    </row>
    <row r="101" spans="2:14" ht="14.5" x14ac:dyDescent="0.35">
      <c r="B101"/>
      <c r="D101" s="680"/>
      <c r="E101"/>
      <c r="F101"/>
      <c r="G101"/>
      <c r="H101"/>
      <c r="I101"/>
      <c r="J101"/>
      <c r="K101"/>
      <c r="L101"/>
      <c r="M101"/>
      <c r="N101"/>
    </row>
    <row r="102" spans="2:14" ht="14.5" x14ac:dyDescent="0.35">
      <c r="B102"/>
      <c r="D102" s="680"/>
      <c r="E102"/>
      <c r="F102"/>
      <c r="G102"/>
      <c r="H102"/>
      <c r="I102"/>
      <c r="J102"/>
      <c r="K102"/>
      <c r="L102"/>
      <c r="M102"/>
      <c r="N102"/>
    </row>
    <row r="103" spans="2:14" ht="14.5" x14ac:dyDescent="0.35">
      <c r="B103"/>
      <c r="D103" s="680"/>
      <c r="E103"/>
      <c r="F103"/>
      <c r="G103"/>
      <c r="H103"/>
      <c r="I103"/>
      <c r="J103"/>
      <c r="K103"/>
      <c r="L103"/>
      <c r="M103"/>
      <c r="N103"/>
    </row>
    <row r="104" spans="2:14" ht="14.5" x14ac:dyDescent="0.35">
      <c r="B104"/>
      <c r="D104" s="680"/>
      <c r="E104"/>
      <c r="F104"/>
      <c r="G104"/>
      <c r="H104"/>
      <c r="I104"/>
      <c r="J104"/>
      <c r="K104"/>
      <c r="L104"/>
      <c r="M104"/>
      <c r="N104"/>
    </row>
    <row r="105" spans="2:14" ht="14.5" x14ac:dyDescent="0.35">
      <c r="B105"/>
      <c r="D105" s="680"/>
      <c r="E105"/>
      <c r="F105"/>
      <c r="G105"/>
      <c r="H105"/>
      <c r="I105"/>
      <c r="J105"/>
      <c r="K105"/>
      <c r="L105"/>
      <c r="M105"/>
      <c r="N105"/>
    </row>
    <row r="106" spans="2:14" ht="14.5" x14ac:dyDescent="0.35">
      <c r="B106"/>
      <c r="D106" s="680"/>
      <c r="E106"/>
      <c r="F106"/>
      <c r="G106"/>
      <c r="H106"/>
      <c r="I106"/>
      <c r="J106"/>
      <c r="K106"/>
      <c r="L106"/>
      <c r="M106"/>
      <c r="N106"/>
    </row>
    <row r="107" spans="2:14" ht="14.5" x14ac:dyDescent="0.35">
      <c r="B107"/>
      <c r="D107" s="680"/>
      <c r="E107"/>
      <c r="F107"/>
      <c r="G107"/>
      <c r="H107"/>
      <c r="I107"/>
      <c r="J107"/>
      <c r="K107"/>
      <c r="L107"/>
      <c r="M107"/>
      <c r="N107"/>
    </row>
    <row r="108" spans="2:14" ht="14.5" x14ac:dyDescent="0.35">
      <c r="E108"/>
      <c r="F108"/>
      <c r="G108"/>
      <c r="H108"/>
      <c r="I108"/>
      <c r="J108"/>
      <c r="K108"/>
      <c r="L108"/>
      <c r="M108"/>
      <c r="N108"/>
    </row>
    <row r="109" spans="2:14" ht="14.5" x14ac:dyDescent="0.35">
      <c r="E109"/>
      <c r="F109"/>
      <c r="G109"/>
      <c r="H109"/>
      <c r="I109"/>
      <c r="J109"/>
      <c r="K109"/>
      <c r="L109"/>
      <c r="M109"/>
      <c r="N109"/>
    </row>
    <row r="110" spans="2:14" ht="14.5" x14ac:dyDescent="0.35">
      <c r="E110"/>
      <c r="F110"/>
      <c r="G110"/>
      <c r="H110"/>
      <c r="I110"/>
      <c r="J110"/>
      <c r="K110"/>
      <c r="L110"/>
      <c r="M110"/>
      <c r="N110"/>
    </row>
    <row r="111" spans="2:14" ht="14.5" x14ac:dyDescent="0.35">
      <c r="E111"/>
    </row>
  </sheetData>
  <mergeCells count="34">
    <mergeCell ref="B1:AC1"/>
    <mergeCell ref="B2:AC6"/>
    <mergeCell ref="B58:AC58"/>
    <mergeCell ref="B55:AC55"/>
    <mergeCell ref="E60:H60"/>
    <mergeCell ref="I60:L60"/>
    <mergeCell ref="B46:C48"/>
    <mergeCell ref="E47:H47"/>
    <mergeCell ref="I47:L47"/>
    <mergeCell ref="B59:C61"/>
    <mergeCell ref="B32:C32"/>
    <mergeCell ref="B11:C11"/>
    <mergeCell ref="B27:C27"/>
    <mergeCell ref="M60:O60"/>
    <mergeCell ref="D8:O8"/>
    <mergeCell ref="P8:AC8"/>
    <mergeCell ref="M9:O9"/>
    <mergeCell ref="D46:O46"/>
    <mergeCell ref="P46:AC46"/>
    <mergeCell ref="I9:L9"/>
    <mergeCell ref="Q9:T9"/>
    <mergeCell ref="U9:X9"/>
    <mergeCell ref="Y9:AB9"/>
    <mergeCell ref="Q47:T47"/>
    <mergeCell ref="U47:X47"/>
    <mergeCell ref="Q60:T60"/>
    <mergeCell ref="U60:X60"/>
    <mergeCell ref="Y60:AB60"/>
    <mergeCell ref="Y47:AB47"/>
    <mergeCell ref="M47:O47"/>
    <mergeCell ref="E9:H9"/>
    <mergeCell ref="B8:C10"/>
    <mergeCell ref="D59:O59"/>
    <mergeCell ref="P59:AC59"/>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C28" zoomScale="79" zoomScaleNormal="88" workbookViewId="0">
      <selection activeCell="E72" sqref="E72"/>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8.453125" style="34" customWidth="1"/>
    <col min="17" max="16384" width="10.81640625" style="34"/>
  </cols>
  <sheetData>
    <row r="1" spans="4:56" x14ac:dyDescent="0.3">
      <c r="D1" s="1042" t="s">
        <v>83</v>
      </c>
      <c r="E1" s="1042"/>
      <c r="F1" s="1042"/>
      <c r="G1" s="1042"/>
      <c r="H1" s="1042"/>
      <c r="I1" s="1042"/>
      <c r="J1" s="1042"/>
      <c r="K1" s="1042"/>
      <c r="L1" s="1042"/>
      <c r="M1" s="1042"/>
      <c r="N1" s="1042"/>
      <c r="O1" s="1042"/>
      <c r="P1" s="1042"/>
      <c r="Q1" s="1042"/>
      <c r="R1" s="1042"/>
      <c r="S1" s="1042"/>
      <c r="T1" s="1042"/>
      <c r="U1" s="1042"/>
      <c r="V1" s="1042"/>
      <c r="W1" s="1042"/>
      <c r="X1" s="1042"/>
      <c r="Y1" s="1042"/>
      <c r="Z1" s="1042"/>
      <c r="AA1" s="1042"/>
      <c r="AB1" s="1042"/>
      <c r="AC1" s="1042"/>
    </row>
    <row r="2" spans="4:56" ht="14.15" customHeight="1" x14ac:dyDescent="0.3">
      <c r="D2" s="1075" t="s">
        <v>688</v>
      </c>
      <c r="E2" s="1075"/>
      <c r="F2" s="1075"/>
      <c r="G2" s="1075"/>
      <c r="H2" s="1075"/>
      <c r="I2" s="1075"/>
      <c r="J2" s="1075"/>
      <c r="K2" s="1075"/>
      <c r="L2" s="1075"/>
      <c r="M2" s="1075"/>
      <c r="N2" s="1075"/>
      <c r="O2" s="1075"/>
      <c r="P2" s="1075"/>
      <c r="Q2" s="1075"/>
      <c r="R2" s="1075"/>
      <c r="S2" s="1075"/>
      <c r="T2" s="1075"/>
      <c r="U2" s="1075"/>
      <c r="V2" s="1075"/>
      <c r="W2" s="1075"/>
      <c r="X2" s="1075"/>
      <c r="Y2" s="1075"/>
      <c r="Z2" s="1075"/>
      <c r="AA2" s="1075"/>
      <c r="AB2" s="1075"/>
      <c r="AC2" s="1075"/>
    </row>
    <row r="3" spans="4:56" ht="28.5" customHeight="1" x14ac:dyDescent="0.3">
      <c r="D3" s="1075"/>
      <c r="E3" s="1075"/>
      <c r="F3" s="1075"/>
      <c r="G3" s="1075"/>
      <c r="H3" s="1075"/>
      <c r="I3" s="1075"/>
      <c r="J3" s="1075"/>
      <c r="K3" s="1075"/>
      <c r="L3" s="1075"/>
      <c r="M3" s="1075"/>
      <c r="N3" s="1075"/>
      <c r="O3" s="1075"/>
      <c r="P3" s="1075"/>
      <c r="Q3" s="1075"/>
      <c r="R3" s="1075"/>
      <c r="S3" s="1075"/>
      <c r="T3" s="1075"/>
      <c r="U3" s="1075"/>
      <c r="V3" s="1075"/>
      <c r="W3" s="1075"/>
      <c r="X3" s="1075"/>
      <c r="Y3" s="1075"/>
      <c r="Z3" s="1075"/>
      <c r="AA3" s="1075"/>
      <c r="AB3" s="1075"/>
      <c r="AC3" s="1075"/>
    </row>
    <row r="4" spans="4:56" x14ac:dyDescent="0.3">
      <c r="D4" s="797" t="s">
        <v>473</v>
      </c>
    </row>
    <row r="5" spans="4:56" x14ac:dyDescent="0.3">
      <c r="D5" s="1047" t="s">
        <v>567</v>
      </c>
      <c r="E5" s="1048"/>
      <c r="F5" s="1155" t="s">
        <v>409</v>
      </c>
      <c r="G5" s="1156"/>
      <c r="H5" s="1156"/>
      <c r="I5" s="1156"/>
      <c r="J5" s="1156"/>
      <c r="K5" s="1156"/>
      <c r="L5" s="1156"/>
      <c r="M5" s="1157"/>
      <c r="N5" s="1157"/>
      <c r="O5" s="1078"/>
      <c r="P5" s="1083" t="s">
        <v>410</v>
      </c>
      <c r="Q5" s="1084"/>
      <c r="R5" s="1084"/>
      <c r="S5" s="1084"/>
      <c r="T5" s="1084"/>
      <c r="U5" s="1084"/>
      <c r="V5" s="1084"/>
      <c r="W5" s="1084"/>
      <c r="X5" s="1084"/>
      <c r="Y5" s="1084"/>
      <c r="Z5" s="1084"/>
      <c r="AA5" s="1084"/>
      <c r="AB5" s="1084"/>
      <c r="AC5" s="1085"/>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row>
    <row r="6" spans="4:56" x14ac:dyDescent="0.3">
      <c r="D6" s="1049"/>
      <c r="E6" s="1108"/>
      <c r="F6" s="1044">
        <v>2019</v>
      </c>
      <c r="G6" s="1045"/>
      <c r="H6" s="1046"/>
      <c r="I6" s="1045">
        <v>2020</v>
      </c>
      <c r="J6" s="1045"/>
      <c r="K6" s="1045"/>
      <c r="L6" s="1045"/>
      <c r="M6" s="1044">
        <v>2021</v>
      </c>
      <c r="N6" s="1045"/>
      <c r="O6" s="1046"/>
      <c r="P6" s="991">
        <v>2021</v>
      </c>
      <c r="Q6" s="1051">
        <v>2022</v>
      </c>
      <c r="R6" s="1052"/>
      <c r="S6" s="1052"/>
      <c r="T6" s="1053"/>
      <c r="U6" s="1135">
        <v>2023</v>
      </c>
      <c r="V6" s="1136"/>
      <c r="W6" s="1136"/>
      <c r="X6" s="1136"/>
      <c r="Y6" s="1051">
        <v>2024</v>
      </c>
      <c r="Z6" s="1052"/>
      <c r="AA6" s="1052"/>
      <c r="AB6" s="1052"/>
      <c r="AC6" s="334">
        <v>2025</v>
      </c>
      <c r="AD6" s="152"/>
      <c r="AE6" s="152"/>
      <c r="AF6" s="152"/>
      <c r="AG6" s="209"/>
      <c r="AH6" s="209"/>
      <c r="AI6" s="209"/>
      <c r="AJ6" s="209"/>
      <c r="AK6" s="209"/>
      <c r="AL6" s="209"/>
      <c r="AM6" s="209"/>
      <c r="AN6" s="209"/>
      <c r="AO6" s="209"/>
      <c r="AP6" s="209"/>
      <c r="AQ6" s="209"/>
      <c r="AR6" s="209"/>
      <c r="AS6" s="209"/>
      <c r="AT6" s="209"/>
      <c r="AU6" s="209"/>
      <c r="AV6" s="209"/>
      <c r="AW6" s="209"/>
      <c r="AX6" s="209"/>
      <c r="AY6" s="209"/>
      <c r="AZ6" s="209"/>
      <c r="BA6" s="209"/>
      <c r="BB6" s="209"/>
      <c r="BC6" s="209"/>
    </row>
    <row r="7" spans="4:56" x14ac:dyDescent="0.3">
      <c r="D7" s="1087"/>
      <c r="E7" s="1109"/>
      <c r="F7" s="167" t="s">
        <v>413</v>
      </c>
      <c r="G7" s="148" t="s">
        <v>298</v>
      </c>
      <c r="H7" s="155" t="s">
        <v>411</v>
      </c>
      <c r="I7" s="149" t="s">
        <v>412</v>
      </c>
      <c r="J7" s="149" t="s">
        <v>413</v>
      </c>
      <c r="K7" s="149" t="s">
        <v>298</v>
      </c>
      <c r="L7" s="149" t="s">
        <v>411</v>
      </c>
      <c r="M7" s="162" t="s">
        <v>412</v>
      </c>
      <c r="N7" s="149" t="s">
        <v>413</v>
      </c>
      <c r="O7" s="155" t="s">
        <v>298</v>
      </c>
      <c r="P7" s="60" t="s">
        <v>411</v>
      </c>
      <c r="Q7" s="58" t="s">
        <v>412</v>
      </c>
      <c r="R7" s="59" t="s">
        <v>413</v>
      </c>
      <c r="S7" s="59" t="s">
        <v>298</v>
      </c>
      <c r="T7" s="59" t="s">
        <v>411</v>
      </c>
      <c r="U7" s="58" t="s">
        <v>412</v>
      </c>
      <c r="V7" s="59" t="s">
        <v>413</v>
      </c>
      <c r="W7" s="59" t="s">
        <v>298</v>
      </c>
      <c r="X7" s="59" t="s">
        <v>411</v>
      </c>
      <c r="Y7" s="58" t="s">
        <v>412</v>
      </c>
      <c r="Z7" s="468" t="s">
        <v>413</v>
      </c>
      <c r="AA7" s="59" t="s">
        <v>298</v>
      </c>
      <c r="AB7" s="59" t="s">
        <v>411</v>
      </c>
      <c r="AC7" s="61" t="s">
        <v>412</v>
      </c>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row>
    <row r="8" spans="4:56" x14ac:dyDescent="0.3">
      <c r="D8" s="277" t="s">
        <v>647</v>
      </c>
      <c r="E8" s="96"/>
      <c r="F8" s="798"/>
      <c r="G8" s="799"/>
      <c r="H8" s="800"/>
      <c r="I8" s="800"/>
      <c r="J8" s="800"/>
      <c r="K8" s="800"/>
      <c r="L8" s="800"/>
      <c r="M8" s="800"/>
      <c r="N8" s="800"/>
      <c r="O8" s="801"/>
      <c r="P8" s="323"/>
      <c r="Q8" s="324"/>
      <c r="R8" s="324"/>
      <c r="S8" s="323"/>
      <c r="T8" s="324"/>
      <c r="U8" s="324"/>
      <c r="V8" s="324"/>
      <c r="W8" s="323"/>
      <c r="X8" s="324"/>
      <c r="Y8" s="324"/>
      <c r="Z8" s="324"/>
      <c r="AA8" s="324"/>
      <c r="AB8" s="324"/>
      <c r="AC8" s="992"/>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row>
    <row r="9" spans="4:56" s="141" customFormat="1" ht="14.5" x14ac:dyDescent="0.35">
      <c r="D9" s="87" t="s">
        <v>689</v>
      </c>
      <c r="E9" s="605"/>
      <c r="F9" s="802">
        <f t="shared" ref="F9:X9" si="0">SUM(F10:F12)</f>
        <v>3273.3999999999996</v>
      </c>
      <c r="G9" s="610">
        <f t="shared" si="0"/>
        <v>3290</v>
      </c>
      <c r="H9" s="610">
        <f t="shared" si="0"/>
        <v>3332.9</v>
      </c>
      <c r="I9" s="610">
        <f t="shared" si="0"/>
        <v>3380.8</v>
      </c>
      <c r="J9" s="610">
        <f t="shared" si="0"/>
        <v>3111.4</v>
      </c>
      <c r="K9" s="610">
        <f t="shared" si="0"/>
        <v>3257.3</v>
      </c>
      <c r="L9" s="610">
        <f t="shared" si="0"/>
        <v>3379.5</v>
      </c>
      <c r="M9" s="610">
        <f t="shared" si="0"/>
        <v>3536</v>
      </c>
      <c r="N9" s="610">
        <f t="shared" si="0"/>
        <v>3648.3</v>
      </c>
      <c r="O9" s="993">
        <f t="shared" si="0"/>
        <v>0</v>
      </c>
      <c r="P9" s="331">
        <f t="shared" si="0"/>
        <v>0</v>
      </c>
      <c r="Q9" s="331">
        <f t="shared" si="0"/>
        <v>3790.7238057954069</v>
      </c>
      <c r="R9" s="331">
        <f t="shared" si="0"/>
        <v>3840.889887743801</v>
      </c>
      <c r="S9" s="331">
        <f t="shared" si="0"/>
        <v>3887.0163916019224</v>
      </c>
      <c r="T9" s="331">
        <f t="shared" si="0"/>
        <v>3930.0199767154968</v>
      </c>
      <c r="U9" s="331">
        <f t="shared" si="0"/>
        <v>3964.5192614697726</v>
      </c>
      <c r="V9" s="331">
        <f t="shared" si="0"/>
        <v>4003.335054718309</v>
      </c>
      <c r="W9" s="331">
        <f t="shared" si="0"/>
        <v>4041.8237980896938</v>
      </c>
      <c r="X9" s="331">
        <f t="shared" si="0"/>
        <v>4079.4959409347007</v>
      </c>
      <c r="Y9" s="331">
        <f t="shared" ref="Y9" si="1">SUM(Y10:Y12)</f>
        <v>4115.8988989802419</v>
      </c>
      <c r="Z9" s="331">
        <f t="shared" ref="Z9" si="2">SUM(Z10:Z12)</f>
        <v>4151.9534136676202</v>
      </c>
      <c r="AA9" s="331">
        <f t="shared" ref="AA9" si="3">SUM(AA10:AA12)</f>
        <v>4189.6512564334271</v>
      </c>
      <c r="AB9" s="331">
        <f t="shared" ref="AB9" si="4">SUM(AB10:AB12)</f>
        <v>4227.3775725223713</v>
      </c>
      <c r="AC9" s="994">
        <f t="shared" ref="AC9" si="5">SUM(AC10:AC12)</f>
        <v>4266.1932043264842</v>
      </c>
      <c r="AD9" s="332"/>
      <c r="AE9" s="332"/>
      <c r="AF9" s="332"/>
      <c r="AG9" s="332"/>
      <c r="AH9" s="332"/>
      <c r="AI9" s="332"/>
      <c r="AJ9" s="332"/>
      <c r="AK9" s="332"/>
      <c r="AL9" s="332"/>
      <c r="AM9" s="332"/>
      <c r="AN9" s="332"/>
      <c r="AO9" s="332"/>
      <c r="AP9" s="332"/>
      <c r="AQ9" s="332"/>
      <c r="AR9" s="332"/>
      <c r="AS9" s="332"/>
      <c r="AT9" s="332"/>
      <c r="AU9" s="332"/>
      <c r="AV9" s="332"/>
      <c r="AW9" s="332"/>
      <c r="AX9" s="332"/>
      <c r="AY9" s="332"/>
      <c r="AZ9" s="332"/>
      <c r="BA9" s="332"/>
      <c r="BB9" s="332"/>
      <c r="BC9" s="332"/>
    </row>
    <row r="10" spans="4:56" x14ac:dyDescent="0.3">
      <c r="D10" s="144" t="s">
        <v>690</v>
      </c>
      <c r="E10" s="261" t="s">
        <v>165</v>
      </c>
      <c r="F10" s="615">
        <f>'Haver Pivoted'!GQ27</f>
        <v>1701.9</v>
      </c>
      <c r="G10" s="611">
        <f>'Haver Pivoted'!GR27</f>
        <v>1707.8</v>
      </c>
      <c r="H10" s="611">
        <f>'Haver Pivoted'!GS27</f>
        <v>1728.6</v>
      </c>
      <c r="I10" s="611">
        <f>'Haver Pivoted'!GT27</f>
        <v>1737.9</v>
      </c>
      <c r="J10" s="611">
        <f>'Haver Pivoted'!GU27</f>
        <v>1581.5</v>
      </c>
      <c r="K10" s="611">
        <f>'Haver Pivoted'!GV27</f>
        <v>1662.2</v>
      </c>
      <c r="L10" s="611">
        <f>'Haver Pivoted'!GW27</f>
        <v>1736.9</v>
      </c>
      <c r="M10" s="611">
        <f>'Haver Pivoted'!GX27</f>
        <v>1851.9</v>
      </c>
      <c r="N10" s="611">
        <f>'Haver Pivoted'!GY27</f>
        <v>1928.3</v>
      </c>
      <c r="O10" s="990">
        <f>'Haver Pivoted'!GZ27</f>
        <v>0</v>
      </c>
      <c r="P10" s="689">
        <f t="shared" ref="P10" si="6">O10*P71/O71</f>
        <v>0</v>
      </c>
      <c r="Q10" s="689">
        <f>Q71*I63</f>
        <v>2007.5565714689392</v>
      </c>
      <c r="R10" s="689">
        <f t="shared" ref="R10:T10" si="7">Q10*R71/Q71</f>
        <v>2035.5440482689082</v>
      </c>
      <c r="S10" s="689">
        <f t="shared" si="7"/>
        <v>2061.2652824784373</v>
      </c>
      <c r="T10" s="689">
        <f t="shared" si="7"/>
        <v>2085.1537084727474</v>
      </c>
      <c r="U10" s="689">
        <f>U71*J63</f>
        <v>2107.6799121449349</v>
      </c>
      <c r="V10" s="689">
        <f t="shared" ref="V10:X10" si="8">U10*V71/U71</f>
        <v>2129.5250046560614</v>
      </c>
      <c r="W10" s="689">
        <f t="shared" si="8"/>
        <v>2150.7261375240028</v>
      </c>
      <c r="X10" s="689">
        <f t="shared" si="8"/>
        <v>2170.8994117307061</v>
      </c>
      <c r="Y10" s="689">
        <f>Y71*K63</f>
        <v>2190.9364637051976</v>
      </c>
      <c r="Z10" s="689">
        <f t="shared" ref="Z10:AB10" si="9">Y10*Z71/Y71</f>
        <v>2209.8713539826986</v>
      </c>
      <c r="AA10" s="689">
        <f t="shared" si="9"/>
        <v>2230.0074766715261</v>
      </c>
      <c r="AB10" s="325">
        <f t="shared" si="9"/>
        <v>2250.5027306998222</v>
      </c>
      <c r="AC10" s="995">
        <f>AC71*L63</f>
        <v>2271.9515403536038</v>
      </c>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row>
    <row r="11" spans="4:56" x14ac:dyDescent="0.3">
      <c r="D11" s="144" t="s">
        <v>691</v>
      </c>
      <c r="E11" s="97" t="s">
        <v>171</v>
      </c>
      <c r="F11" s="615">
        <f>'Haver Pivoted'!GQ30</f>
        <v>1399.3</v>
      </c>
      <c r="G11" s="611">
        <f>'Haver Pivoted'!GR30</f>
        <v>1406.9</v>
      </c>
      <c r="H11" s="611">
        <f>'Haver Pivoted'!GS30</f>
        <v>1426.4</v>
      </c>
      <c r="I11" s="611">
        <f>'Haver Pivoted'!GT30</f>
        <v>1457.1</v>
      </c>
      <c r="J11" s="611">
        <f>'Haver Pivoted'!GU30</f>
        <v>1391.6</v>
      </c>
      <c r="K11" s="611">
        <f>'Haver Pivoted'!GV30</f>
        <v>1443.8</v>
      </c>
      <c r="L11" s="611">
        <f>'Haver Pivoted'!GW30</f>
        <v>1486</v>
      </c>
      <c r="M11" s="611">
        <f>'Haver Pivoted'!GX30</f>
        <v>1517.9</v>
      </c>
      <c r="N11" s="611">
        <f>'Haver Pivoted'!GY30</f>
        <v>1542.2</v>
      </c>
      <c r="O11" s="990">
        <f>'Haver Pivoted'!GZ30</f>
        <v>0</v>
      </c>
      <c r="P11" s="689">
        <f t="shared" ref="P11:P13" si="10">O11*P74/O74</f>
        <v>0</v>
      </c>
      <c r="Q11" s="689">
        <f>Q74*I64</f>
        <v>1605.858408485956</v>
      </c>
      <c r="R11" s="689">
        <f t="shared" ref="R11:T13" si="11">Q11*R74/Q74</f>
        <v>1625.7708076754996</v>
      </c>
      <c r="S11" s="689">
        <f t="shared" si="11"/>
        <v>1643.6919669460888</v>
      </c>
      <c r="T11" s="689">
        <f t="shared" si="11"/>
        <v>1660.5409201064717</v>
      </c>
      <c r="U11" s="689">
        <f>U74*J64</f>
        <v>1676.1644948551905</v>
      </c>
      <c r="V11" s="689">
        <f t="shared" ref="V11:X13" si="12">U11*V74/U74</f>
        <v>1691.3285526995351</v>
      </c>
      <c r="W11" s="689">
        <f t="shared" si="12"/>
        <v>1706.7989551467958</v>
      </c>
      <c r="X11" s="689">
        <f t="shared" si="12"/>
        <v>1722.5757021969725</v>
      </c>
      <c r="Y11" s="689">
        <f>Y74*K64</f>
        <v>1737.3261948273807</v>
      </c>
      <c r="Z11" s="689">
        <f t="shared" ref="Z11:AB13" si="13">Y11*Z74/Y74</f>
        <v>1752.7965972746415</v>
      </c>
      <c r="AA11" s="689">
        <f t="shared" si="13"/>
        <v>1768.6499304755473</v>
      </c>
      <c r="AB11" s="325">
        <f t="shared" si="13"/>
        <v>1784.288822454412</v>
      </c>
      <c r="AC11" s="995">
        <f>AC74*L64</f>
        <v>1799.9430316634223</v>
      </c>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row>
    <row r="12" spans="4:56" x14ac:dyDescent="0.3">
      <c r="D12" s="144" t="s">
        <v>692</v>
      </c>
      <c r="E12" s="261" t="s">
        <v>167</v>
      </c>
      <c r="F12" s="615">
        <f>'Haver Pivoted'!GQ28</f>
        <v>172.2</v>
      </c>
      <c r="G12" s="611">
        <f>'Haver Pivoted'!GR28</f>
        <v>175.3</v>
      </c>
      <c r="H12" s="611">
        <f>'Haver Pivoted'!GS28</f>
        <v>177.9</v>
      </c>
      <c r="I12" s="611">
        <f>'Haver Pivoted'!GT28</f>
        <v>185.8</v>
      </c>
      <c r="J12" s="611">
        <f>'Haver Pivoted'!GU28</f>
        <v>138.30000000000001</v>
      </c>
      <c r="K12" s="611">
        <f>'Haver Pivoted'!GV28</f>
        <v>151.30000000000001</v>
      </c>
      <c r="L12" s="611">
        <f>'Haver Pivoted'!GW28</f>
        <v>156.6</v>
      </c>
      <c r="M12" s="611">
        <f>'Haver Pivoted'!GX28</f>
        <v>166.2</v>
      </c>
      <c r="N12" s="611">
        <f>'Haver Pivoted'!GY28</f>
        <v>177.8</v>
      </c>
      <c r="O12" s="990">
        <f>'Haver Pivoted'!GZ28</f>
        <v>0</v>
      </c>
      <c r="P12" s="689">
        <f t="shared" si="10"/>
        <v>0</v>
      </c>
      <c r="Q12" s="689">
        <f>Q75*I65</f>
        <v>177.30882584051193</v>
      </c>
      <c r="R12" s="689">
        <f t="shared" si="11"/>
        <v>179.57503179939275</v>
      </c>
      <c r="S12" s="689">
        <f t="shared" si="11"/>
        <v>182.05914217739672</v>
      </c>
      <c r="T12" s="689">
        <f t="shared" si="11"/>
        <v>184.32534813627754</v>
      </c>
      <c r="U12" s="689">
        <f>U75*J65</f>
        <v>180.67485446964741</v>
      </c>
      <c r="V12" s="689">
        <f t="shared" si="12"/>
        <v>182.48149736271273</v>
      </c>
      <c r="W12" s="689">
        <f t="shared" si="12"/>
        <v>184.29870541889539</v>
      </c>
      <c r="X12" s="689">
        <f t="shared" si="12"/>
        <v>186.02082700702198</v>
      </c>
      <c r="Y12" s="689">
        <f>Y75*K65</f>
        <v>187.63624044766337</v>
      </c>
      <c r="Z12" s="689">
        <f t="shared" si="13"/>
        <v>189.28546241028027</v>
      </c>
      <c r="AA12" s="689">
        <f t="shared" si="13"/>
        <v>190.99384928635433</v>
      </c>
      <c r="AB12" s="325">
        <f t="shared" si="13"/>
        <v>192.58601936813761</v>
      </c>
      <c r="AC12" s="995">
        <f>AC75*L65</f>
        <v>194.29863230945855</v>
      </c>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row>
    <row r="13" spans="4:56" s="141" customFormat="1" ht="14.5" x14ac:dyDescent="0.35">
      <c r="D13" s="87" t="s">
        <v>693</v>
      </c>
      <c r="E13" s="606" t="s">
        <v>169</v>
      </c>
      <c r="F13" s="803">
        <f>'Haver Pivoted'!GQ29</f>
        <v>218.9</v>
      </c>
      <c r="G13" s="504">
        <f>'Haver Pivoted'!GR29</f>
        <v>206.5</v>
      </c>
      <c r="H13" s="504">
        <f>'Haver Pivoted'!GS29</f>
        <v>231.4</v>
      </c>
      <c r="I13" s="504">
        <f>'Haver Pivoted'!GT29</f>
        <v>166.7</v>
      </c>
      <c r="J13" s="504">
        <f>'Haver Pivoted'!GU29</f>
        <v>167.4</v>
      </c>
      <c r="K13" s="504">
        <f>'Haver Pivoted'!GV29</f>
        <v>211.7</v>
      </c>
      <c r="L13" s="504">
        <f>'Haver Pivoted'!GW29</f>
        <v>225.1</v>
      </c>
      <c r="M13" s="504">
        <f>'Haver Pivoted'!GX29</f>
        <v>246.4</v>
      </c>
      <c r="N13" s="504">
        <f>'Haver Pivoted'!GY29</f>
        <v>275.10000000000002</v>
      </c>
      <c r="O13" s="996">
        <f>'Haver Pivoted'!GZ29</f>
        <v>0</v>
      </c>
      <c r="P13" s="689">
        <f t="shared" si="10"/>
        <v>0</v>
      </c>
      <c r="Q13" s="689">
        <f>Q76*I66</f>
        <v>331.9957125021694</v>
      </c>
      <c r="R13" s="689">
        <f t="shared" si="11"/>
        <v>337.72752744381148</v>
      </c>
      <c r="S13" s="689">
        <f t="shared" si="11"/>
        <v>339.30096683955634</v>
      </c>
      <c r="T13" s="689">
        <f t="shared" si="11"/>
        <v>339.07618978302133</v>
      </c>
      <c r="U13" s="689">
        <f>U76*J66</f>
        <v>337.39036185900898</v>
      </c>
      <c r="V13" s="689">
        <f t="shared" si="12"/>
        <v>334.46826012405421</v>
      </c>
      <c r="W13" s="689">
        <f t="shared" si="12"/>
        <v>332.67004367177435</v>
      </c>
      <c r="X13" s="689">
        <f t="shared" si="12"/>
        <v>332.67004367177435</v>
      </c>
      <c r="Y13" s="689">
        <f>Y76*K66</f>
        <v>332.1755341473974</v>
      </c>
      <c r="Z13" s="689">
        <f t="shared" si="13"/>
        <v>333.80516780727601</v>
      </c>
      <c r="AA13" s="689">
        <f t="shared" si="13"/>
        <v>335.18754670496617</v>
      </c>
      <c r="AB13" s="325">
        <f t="shared" si="13"/>
        <v>337.08691283268678</v>
      </c>
      <c r="AC13" s="995">
        <f>AC76*L66</f>
        <v>337.99725991165343</v>
      </c>
      <c r="AD13" s="332"/>
      <c r="AE13" s="332"/>
      <c r="AF13" s="332"/>
      <c r="AG13" s="332"/>
      <c r="AH13" s="332"/>
      <c r="AI13" s="332"/>
      <c r="AJ13" s="332"/>
      <c r="AK13" s="332"/>
      <c r="AL13" s="332"/>
      <c r="AM13" s="332"/>
      <c r="AN13" s="332"/>
      <c r="AO13" s="332"/>
      <c r="AP13" s="332"/>
      <c r="AQ13" s="332"/>
      <c r="AR13" s="332"/>
      <c r="AS13" s="332"/>
      <c r="AT13" s="332"/>
      <c r="AU13" s="332"/>
      <c r="AV13" s="332"/>
      <c r="AW13" s="332"/>
      <c r="AX13" s="332"/>
      <c r="AY13" s="332"/>
      <c r="AZ13" s="332"/>
      <c r="BA13" s="332"/>
      <c r="BB13" s="332"/>
      <c r="BC13" s="332"/>
    </row>
    <row r="14" spans="4:56" x14ac:dyDescent="0.3">
      <c r="D14" s="277"/>
      <c r="E14" s="96"/>
      <c r="F14" s="603"/>
      <c r="G14" s="608"/>
      <c r="H14" s="609"/>
      <c r="I14" s="609"/>
      <c r="J14" s="609"/>
      <c r="K14" s="609"/>
      <c r="L14" s="609"/>
      <c r="M14" s="609"/>
      <c r="N14" s="608"/>
      <c r="O14" s="997"/>
      <c r="P14" s="326"/>
      <c r="Q14" s="327"/>
      <c r="R14" s="326"/>
      <c r="S14" s="326"/>
      <c r="T14" s="327"/>
      <c r="U14" s="328"/>
      <c r="V14" s="326"/>
      <c r="W14" s="326"/>
      <c r="X14" s="326"/>
      <c r="Y14" s="326"/>
      <c r="Z14" s="326"/>
      <c r="AA14" s="326"/>
      <c r="AB14" s="326"/>
      <c r="AC14" s="998"/>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row>
    <row r="15" spans="4:56" x14ac:dyDescent="0.3">
      <c r="D15" s="278" t="s">
        <v>662</v>
      </c>
      <c r="E15" s="97"/>
      <c r="F15" s="612"/>
      <c r="G15" s="609"/>
      <c r="H15" s="608"/>
      <c r="I15" s="608"/>
      <c r="J15" s="608"/>
      <c r="K15" s="608"/>
      <c r="L15" s="608"/>
      <c r="M15" s="608"/>
      <c r="N15" s="608"/>
      <c r="O15" s="997"/>
      <c r="P15" s="324"/>
      <c r="Q15" s="324"/>
      <c r="R15" s="324"/>
      <c r="S15" s="324"/>
      <c r="T15" s="324"/>
      <c r="U15" s="324"/>
      <c r="V15" s="324"/>
      <c r="W15" s="324"/>
      <c r="X15" s="324"/>
      <c r="Y15" s="324"/>
      <c r="Z15" s="324"/>
      <c r="AA15" s="324"/>
      <c r="AB15" s="324"/>
      <c r="AC15" s="992"/>
    </row>
    <row r="16" spans="4:56" s="141" customFormat="1" ht="14.5" x14ac:dyDescent="0.35">
      <c r="D16" s="314" t="s">
        <v>689</v>
      </c>
      <c r="E16" s="502"/>
      <c r="F16" s="803">
        <f t="shared" ref="F16:X16" si="14">SUM(F17:F19)</f>
        <v>1890.1</v>
      </c>
      <c r="G16" s="504">
        <f t="shared" si="14"/>
        <v>1889.7999999999997</v>
      </c>
      <c r="H16" s="504">
        <f t="shared" si="14"/>
        <v>1893.3000000000002</v>
      </c>
      <c r="I16" s="504">
        <f t="shared" si="14"/>
        <v>1915.1999999999998</v>
      </c>
      <c r="J16" s="504">
        <f t="shared" si="14"/>
        <v>1858.8000000000002</v>
      </c>
      <c r="K16" s="504">
        <f t="shared" si="14"/>
        <v>1932.2</v>
      </c>
      <c r="L16" s="504">
        <f t="shared" si="14"/>
        <v>1943.7</v>
      </c>
      <c r="M16" s="504">
        <f t="shared" si="14"/>
        <v>1995.3000000000002</v>
      </c>
      <c r="N16" s="504">
        <f t="shared" si="14"/>
        <v>2066.8000000000002</v>
      </c>
      <c r="O16" s="996">
        <f t="shared" si="14"/>
        <v>0</v>
      </c>
      <c r="P16" s="330" t="e">
        <f t="shared" si="14"/>
        <v>#DIV/0!</v>
      </c>
      <c r="Q16" s="330" t="e">
        <f t="shared" si="14"/>
        <v>#DIV/0!</v>
      </c>
      <c r="R16" s="330" t="e">
        <f t="shared" si="14"/>
        <v>#DIV/0!</v>
      </c>
      <c r="S16" s="330" t="e">
        <f t="shared" si="14"/>
        <v>#DIV/0!</v>
      </c>
      <c r="T16" s="330" t="e">
        <f t="shared" si="14"/>
        <v>#DIV/0!</v>
      </c>
      <c r="U16" s="330" t="e">
        <f t="shared" si="14"/>
        <v>#DIV/0!</v>
      </c>
      <c r="V16" s="330" t="e">
        <f t="shared" si="14"/>
        <v>#DIV/0!</v>
      </c>
      <c r="W16" s="330" t="e">
        <f t="shared" si="14"/>
        <v>#DIV/0!</v>
      </c>
      <c r="X16" s="330" t="e">
        <f t="shared" si="14"/>
        <v>#DIV/0!</v>
      </c>
      <c r="Y16" s="330" t="e">
        <f t="shared" ref="Y16" si="15">SUM(Y17:Y19)</f>
        <v>#DIV/0!</v>
      </c>
      <c r="Z16" s="330" t="e">
        <f t="shared" ref="Z16" si="16">SUM(Z17:Z19)</f>
        <v>#DIV/0!</v>
      </c>
      <c r="AA16" s="330" t="e">
        <f t="shared" ref="AA16" si="17">SUM(AA17:AA19)</f>
        <v>#DIV/0!</v>
      </c>
      <c r="AB16" s="330" t="e">
        <f t="shared" ref="AB16" si="18">SUM(AB17:AB19)</f>
        <v>#DIV/0!</v>
      </c>
      <c r="AC16" s="999" t="e">
        <f t="shared" ref="AC16" si="19">SUM(AC17:AC19)</f>
        <v>#DIV/0!</v>
      </c>
    </row>
    <row r="17" spans="4:40" x14ac:dyDescent="0.3">
      <c r="D17" s="144" t="s">
        <v>694</v>
      </c>
      <c r="E17" s="97" t="s">
        <v>695</v>
      </c>
      <c r="F17" s="615">
        <f>'Haver Pivoted'!GQ33</f>
        <v>520.9</v>
      </c>
      <c r="G17" s="611">
        <f>'Haver Pivoted'!GR33</f>
        <v>497.4</v>
      </c>
      <c r="H17" s="611">
        <f>'Haver Pivoted'!GS33</f>
        <v>494.7</v>
      </c>
      <c r="I17" s="611">
        <f>'Haver Pivoted'!GT33</f>
        <v>503.8</v>
      </c>
      <c r="J17" s="611">
        <f>'Haver Pivoted'!GU33</f>
        <v>517.5</v>
      </c>
      <c r="K17" s="611">
        <f>'Haver Pivoted'!GV33</f>
        <v>519.6</v>
      </c>
      <c r="L17" s="611">
        <f>'Haver Pivoted'!GW33</f>
        <v>522.79999999999995</v>
      </c>
      <c r="M17" s="611">
        <f>'Haver Pivoted'!GX33</f>
        <v>560.20000000000005</v>
      </c>
      <c r="N17" s="611">
        <f>'Haver Pivoted'!GY33</f>
        <v>586.4</v>
      </c>
      <c r="O17" s="990">
        <f>'Haver Pivoted'!GZ33</f>
        <v>0</v>
      </c>
      <c r="P17" s="329" t="e">
        <f t="shared" ref="P17:AC17" si="20">P96*P71</f>
        <v>#DIV/0!</v>
      </c>
      <c r="Q17" s="329" t="e">
        <f t="shared" si="20"/>
        <v>#DIV/0!</v>
      </c>
      <c r="R17" s="329" t="e">
        <f t="shared" si="20"/>
        <v>#DIV/0!</v>
      </c>
      <c r="S17" s="329" t="e">
        <f t="shared" si="20"/>
        <v>#DIV/0!</v>
      </c>
      <c r="T17" s="329" t="e">
        <f t="shared" si="20"/>
        <v>#DIV/0!</v>
      </c>
      <c r="U17" s="329" t="e">
        <f t="shared" si="20"/>
        <v>#DIV/0!</v>
      </c>
      <c r="V17" s="329" t="e">
        <f t="shared" si="20"/>
        <v>#DIV/0!</v>
      </c>
      <c r="W17" s="329" t="e">
        <f t="shared" si="20"/>
        <v>#DIV/0!</v>
      </c>
      <c r="X17" s="329" t="e">
        <f t="shared" si="20"/>
        <v>#DIV/0!</v>
      </c>
      <c r="Y17" s="329" t="e">
        <f t="shared" si="20"/>
        <v>#DIV/0!</v>
      </c>
      <c r="Z17" s="329" t="e">
        <f t="shared" si="20"/>
        <v>#DIV/0!</v>
      </c>
      <c r="AA17" s="329" t="e">
        <f t="shared" si="20"/>
        <v>#DIV/0!</v>
      </c>
      <c r="AB17" s="329" t="e">
        <f t="shared" si="20"/>
        <v>#DIV/0!</v>
      </c>
      <c r="AC17" s="1000" t="e">
        <f t="shared" si="20"/>
        <v>#DIV/0!</v>
      </c>
    </row>
    <row r="18" spans="4:40" x14ac:dyDescent="0.3">
      <c r="D18" s="144" t="s">
        <v>691</v>
      </c>
      <c r="E18" s="97" t="s">
        <v>696</v>
      </c>
      <c r="F18" s="615">
        <f>'Haver Pivoted'!GQ36</f>
        <v>20.5</v>
      </c>
      <c r="G18" s="611">
        <f>'Haver Pivoted'!GR36</f>
        <v>20.3</v>
      </c>
      <c r="H18" s="611">
        <f>'Haver Pivoted'!GS36</f>
        <v>20.2</v>
      </c>
      <c r="I18" s="611">
        <f>'Haver Pivoted'!GT36</f>
        <v>20.100000000000001</v>
      </c>
      <c r="J18" s="611">
        <f>'Haver Pivoted'!GU36</f>
        <v>19.100000000000001</v>
      </c>
      <c r="K18" s="611">
        <f>'Haver Pivoted'!GV36</f>
        <v>19.899999999999999</v>
      </c>
      <c r="L18" s="611">
        <f>'Haver Pivoted'!GW36</f>
        <v>20.5</v>
      </c>
      <c r="M18" s="611">
        <f>'Haver Pivoted'!GX36</f>
        <v>21.2</v>
      </c>
      <c r="N18" s="611">
        <f>'Haver Pivoted'!GY36</f>
        <v>21.9</v>
      </c>
      <c r="O18" s="990">
        <f>'Haver Pivoted'!GZ36</f>
        <v>0</v>
      </c>
      <c r="P18" s="329" t="e">
        <f t="shared" ref="P18:AC18" si="21">P97*P74</f>
        <v>#VALUE!</v>
      </c>
      <c r="Q18" s="329" t="e">
        <f t="shared" si="21"/>
        <v>#VALUE!</v>
      </c>
      <c r="R18" s="329" t="e">
        <f t="shared" si="21"/>
        <v>#VALUE!</v>
      </c>
      <c r="S18" s="329" t="e">
        <f t="shared" si="21"/>
        <v>#VALUE!</v>
      </c>
      <c r="T18" s="329" t="e">
        <f t="shared" si="21"/>
        <v>#VALUE!</v>
      </c>
      <c r="U18" s="329" t="e">
        <f t="shared" si="21"/>
        <v>#VALUE!</v>
      </c>
      <c r="V18" s="329" t="e">
        <f t="shared" si="21"/>
        <v>#VALUE!</v>
      </c>
      <c r="W18" s="329" t="e">
        <f t="shared" si="21"/>
        <v>#VALUE!</v>
      </c>
      <c r="X18" s="329" t="e">
        <f t="shared" si="21"/>
        <v>#VALUE!</v>
      </c>
      <c r="Y18" s="329" t="e">
        <f t="shared" si="21"/>
        <v>#VALUE!</v>
      </c>
      <c r="Z18" s="329" t="e">
        <f t="shared" si="21"/>
        <v>#VALUE!</v>
      </c>
      <c r="AA18" s="329" t="e">
        <f t="shared" si="21"/>
        <v>#VALUE!</v>
      </c>
      <c r="AB18" s="329" t="e">
        <f t="shared" si="21"/>
        <v>#VALUE!</v>
      </c>
      <c r="AC18" s="1000" t="e">
        <f t="shared" si="21"/>
        <v>#VALUE!</v>
      </c>
    </row>
    <row r="19" spans="4:40" x14ac:dyDescent="0.3">
      <c r="D19" s="144" t="s">
        <v>692</v>
      </c>
      <c r="E19" s="97" t="s">
        <v>697</v>
      </c>
      <c r="F19" s="615">
        <f>'Haver Pivoted'!GQ34</f>
        <v>1348.7</v>
      </c>
      <c r="G19" s="611">
        <f>'Haver Pivoted'!GR34</f>
        <v>1372.1</v>
      </c>
      <c r="H19" s="611">
        <f>'Haver Pivoted'!GS34</f>
        <v>1378.4</v>
      </c>
      <c r="I19" s="611">
        <f>'Haver Pivoted'!GT34</f>
        <v>1391.3</v>
      </c>
      <c r="J19" s="611">
        <f>'Haver Pivoted'!GU34</f>
        <v>1322.2</v>
      </c>
      <c r="K19" s="611">
        <f>'Haver Pivoted'!GV34</f>
        <v>1392.7</v>
      </c>
      <c r="L19" s="611">
        <f>'Haver Pivoted'!GW34</f>
        <v>1400.4</v>
      </c>
      <c r="M19" s="611">
        <f>'Haver Pivoted'!GX34</f>
        <v>1413.9</v>
      </c>
      <c r="N19" s="611">
        <f>'Haver Pivoted'!GY34</f>
        <v>1458.5</v>
      </c>
      <c r="O19" s="990">
        <f>'Haver Pivoted'!GZ34</f>
        <v>0</v>
      </c>
      <c r="P19" s="329" t="e">
        <f t="shared" ref="P19:AC19" si="22">P98*P75</f>
        <v>#VALUE!</v>
      </c>
      <c r="Q19" s="329" t="e">
        <f t="shared" si="22"/>
        <v>#VALUE!</v>
      </c>
      <c r="R19" s="329" t="e">
        <f t="shared" si="22"/>
        <v>#VALUE!</v>
      </c>
      <c r="S19" s="329" t="e">
        <f t="shared" si="22"/>
        <v>#VALUE!</v>
      </c>
      <c r="T19" s="329" t="e">
        <f t="shared" si="22"/>
        <v>#VALUE!</v>
      </c>
      <c r="U19" s="329" t="e">
        <f t="shared" si="22"/>
        <v>#VALUE!</v>
      </c>
      <c r="V19" s="329" t="e">
        <f t="shared" si="22"/>
        <v>#VALUE!</v>
      </c>
      <c r="W19" s="329" t="e">
        <f t="shared" si="22"/>
        <v>#VALUE!</v>
      </c>
      <c r="X19" s="329" t="e">
        <f t="shared" si="22"/>
        <v>#VALUE!</v>
      </c>
      <c r="Y19" s="329" t="e">
        <f t="shared" si="22"/>
        <v>#VALUE!</v>
      </c>
      <c r="Z19" s="329" t="e">
        <f t="shared" si="22"/>
        <v>#VALUE!</v>
      </c>
      <c r="AA19" s="329" t="e">
        <f t="shared" si="22"/>
        <v>#VALUE!</v>
      </c>
      <c r="AB19" s="329" t="e">
        <f t="shared" si="22"/>
        <v>#VALUE!</v>
      </c>
      <c r="AC19" s="1000" t="e">
        <f t="shared" si="22"/>
        <v>#VALUE!</v>
      </c>
    </row>
    <row r="20" spans="4:40" s="141" customFormat="1" ht="14.5" x14ac:dyDescent="0.35">
      <c r="D20" s="333" t="s">
        <v>693</v>
      </c>
      <c r="E20" s="607" t="s">
        <v>698</v>
      </c>
      <c r="F20" s="804">
        <f>'Haver Pivoted'!GQ35</f>
        <v>72.8</v>
      </c>
      <c r="G20" s="604">
        <f>'Haver Pivoted'!GR35</f>
        <v>73.099999999999994</v>
      </c>
      <c r="H20" s="604">
        <f>'Haver Pivoted'!GS35</f>
        <v>72.400000000000006</v>
      </c>
      <c r="I20" s="604">
        <f>'Haver Pivoted'!GT35</f>
        <v>66.5</v>
      </c>
      <c r="J20" s="604">
        <f>'Haver Pivoted'!GU35</f>
        <v>61.9</v>
      </c>
      <c r="K20" s="604">
        <f>'Haver Pivoted'!GV35</f>
        <v>76.8</v>
      </c>
      <c r="L20" s="604">
        <f>'Haver Pivoted'!GW35</f>
        <v>78.8</v>
      </c>
      <c r="M20" s="604">
        <f>'Haver Pivoted'!GX35</f>
        <v>85.5</v>
      </c>
      <c r="N20" s="604">
        <f>'Haver Pivoted'!GY35</f>
        <v>91.9</v>
      </c>
      <c r="O20" s="613">
        <f>'Haver Pivoted'!GZ35</f>
        <v>0</v>
      </c>
      <c r="P20" s="766" t="e">
        <f t="shared" ref="P20:AC20" si="23">P99*P76</f>
        <v>#VALUE!</v>
      </c>
      <c r="Q20" s="766" t="e">
        <f t="shared" si="23"/>
        <v>#VALUE!</v>
      </c>
      <c r="R20" s="766" t="e">
        <f t="shared" si="23"/>
        <v>#VALUE!</v>
      </c>
      <c r="S20" s="766" t="e">
        <f t="shared" si="23"/>
        <v>#VALUE!</v>
      </c>
      <c r="T20" s="766" t="e">
        <f t="shared" si="23"/>
        <v>#VALUE!</v>
      </c>
      <c r="U20" s="766" t="e">
        <f t="shared" si="23"/>
        <v>#VALUE!</v>
      </c>
      <c r="V20" s="766" t="e">
        <f t="shared" si="23"/>
        <v>#VALUE!</v>
      </c>
      <c r="W20" s="766" t="e">
        <f t="shared" si="23"/>
        <v>#VALUE!</v>
      </c>
      <c r="X20" s="766" t="e">
        <f t="shared" si="23"/>
        <v>#VALUE!</v>
      </c>
      <c r="Y20" s="766" t="e">
        <f t="shared" si="23"/>
        <v>#VALUE!</v>
      </c>
      <c r="Z20" s="766" t="e">
        <f t="shared" si="23"/>
        <v>#VALUE!</v>
      </c>
      <c r="AA20" s="766" t="e">
        <f t="shared" si="23"/>
        <v>#VALUE!</v>
      </c>
      <c r="AB20" s="766" t="e">
        <f t="shared" si="23"/>
        <v>#VALUE!</v>
      </c>
      <c r="AC20" s="767" t="e">
        <f t="shared" si="23"/>
        <v>#VALUE!</v>
      </c>
    </row>
    <row r="21" spans="4:40" s="141" customFormat="1" ht="14.5" x14ac:dyDescent="0.35">
      <c r="D21" s="501"/>
      <c r="E21" s="502"/>
      <c r="F21" s="503"/>
      <c r="G21" s="503"/>
      <c r="H21" s="504"/>
      <c r="I21" s="504"/>
      <c r="J21" s="504"/>
      <c r="K21" s="504"/>
      <c r="L21" s="504"/>
      <c r="M21" s="504"/>
      <c r="N21" s="504"/>
      <c r="O21" s="504"/>
      <c r="P21" s="504"/>
      <c r="Q21" s="504"/>
      <c r="R21" s="504"/>
      <c r="S21" s="504"/>
      <c r="T21" s="504"/>
      <c r="U21" s="504"/>
      <c r="V21" s="504"/>
      <c r="W21" s="504"/>
      <c r="X21" s="504"/>
      <c r="Y21" s="504"/>
    </row>
    <row r="22" spans="4:40" ht="41.5" customHeight="1" x14ac:dyDescent="0.35">
      <c r="D22"/>
      <c r="E22"/>
      <c r="F22" s="370"/>
      <c r="G22" s="370"/>
      <c r="H22" s="315"/>
      <c r="I22" s="315"/>
      <c r="J22" s="315"/>
      <c r="K22" s="315"/>
      <c r="L22" s="315"/>
      <c r="M22" s="39"/>
      <c r="N22" s="39"/>
      <c r="AD22" s="315"/>
      <c r="AE22" s="315"/>
      <c r="AF22" s="315"/>
      <c r="AG22" s="315"/>
      <c r="AH22" s="315"/>
      <c r="AI22" s="315"/>
      <c r="AJ22" s="315"/>
      <c r="AK22" s="315"/>
      <c r="AL22"/>
      <c r="AM22" s="315"/>
      <c r="AN22" s="315"/>
    </row>
    <row r="23" spans="4:40" ht="30.65" customHeight="1" x14ac:dyDescent="0.3">
      <c r="D23" s="1001" t="s">
        <v>699</v>
      </c>
      <c r="E23" s="705">
        <v>2018</v>
      </c>
      <c r="F23" s="752">
        <v>2019</v>
      </c>
      <c r="G23" s="752">
        <v>2020</v>
      </c>
      <c r="H23" s="1002">
        <v>2021</v>
      </c>
      <c r="I23" s="1003">
        <v>2022</v>
      </c>
      <c r="J23" s="1003">
        <v>2023</v>
      </c>
      <c r="K23" s="1003">
        <v>2024</v>
      </c>
      <c r="L23" s="659">
        <v>2025</v>
      </c>
      <c r="N23" s="690"/>
      <c r="O23" s="173"/>
    </row>
    <row r="24" spans="4:40" s="52" customFormat="1" ht="16.5" customHeight="1" x14ac:dyDescent="0.3">
      <c r="D24" s="737" t="s">
        <v>700</v>
      </c>
      <c r="E24" s="728">
        <v>1683.5</v>
      </c>
      <c r="F24" s="729">
        <v>1717.9</v>
      </c>
      <c r="G24" s="735">
        <v>1609</v>
      </c>
      <c r="H24" s="730">
        <v>1951.672</v>
      </c>
      <c r="I24" s="730">
        <v>2327.7150000000001</v>
      </c>
      <c r="J24" s="730">
        <v>2333.6329999999998</v>
      </c>
      <c r="K24" s="730">
        <v>2353.3359999999998</v>
      </c>
      <c r="L24" s="731">
        <v>2383.1750000000002</v>
      </c>
      <c r="M24" s="761" t="s">
        <v>701</v>
      </c>
      <c r="N24" s="566"/>
      <c r="O24" s="280"/>
      <c r="P24" s="563"/>
      <c r="Q24" s="563"/>
      <c r="R24" s="563"/>
      <c r="S24" s="563"/>
      <c r="T24" s="563"/>
      <c r="U24" s="563"/>
      <c r="V24" s="563"/>
      <c r="W24" s="563"/>
      <c r="X24" s="539"/>
      <c r="Y24" s="539"/>
      <c r="Z24" s="564"/>
    </row>
    <row r="25" spans="4:40" s="52" customFormat="1" ht="16.5" customHeight="1" x14ac:dyDescent="0.3">
      <c r="D25" s="737" t="s">
        <v>702</v>
      </c>
      <c r="E25" s="732">
        <v>1170.7</v>
      </c>
      <c r="F25" s="540">
        <v>1243.4000000000001</v>
      </c>
      <c r="G25" s="1004">
        <v>1310</v>
      </c>
      <c r="H25" s="359">
        <v>1345.5429999999999</v>
      </c>
      <c r="I25" s="359">
        <v>1391.2439999999999</v>
      </c>
      <c r="J25" s="359">
        <v>1503.952</v>
      </c>
      <c r="K25" s="359">
        <v>1549.5619999999999</v>
      </c>
      <c r="L25" s="360">
        <v>1588.4880000000001</v>
      </c>
      <c r="M25" s="539"/>
      <c r="N25" s="539"/>
      <c r="O25" s="280"/>
      <c r="P25" s="563"/>
      <c r="Q25" s="563"/>
      <c r="R25" s="563"/>
      <c r="S25" s="563"/>
      <c r="T25" s="563"/>
      <c r="U25" s="563"/>
      <c r="V25" s="563"/>
      <c r="W25" s="563"/>
      <c r="X25" s="539"/>
      <c r="Y25" s="539"/>
      <c r="Z25" s="564"/>
    </row>
    <row r="26" spans="4:40" s="52" customFormat="1" x14ac:dyDescent="0.3">
      <c r="D26" s="41" t="s">
        <v>703</v>
      </c>
      <c r="E26" s="520">
        <f>E27+E28</f>
        <v>136.30000000000001</v>
      </c>
      <c r="F26" s="299">
        <f t="shared" ref="F26:G26" si="24">F27+F28</f>
        <v>170.6</v>
      </c>
      <c r="G26" s="955">
        <f t="shared" si="24"/>
        <v>156</v>
      </c>
      <c r="H26" s="359">
        <f>H27+H28</f>
        <v>156</v>
      </c>
      <c r="I26" s="359">
        <f>I27+I28</f>
        <v>174</v>
      </c>
      <c r="J26" s="359">
        <f>J27+J28</f>
        <v>177</v>
      </c>
      <c r="K26" s="359">
        <f>K27+K28</f>
        <v>181</v>
      </c>
      <c r="L26" s="360">
        <f>L27+L28</f>
        <v>181</v>
      </c>
      <c r="N26" s="181"/>
      <c r="P26" s="567"/>
      <c r="Q26" s="567"/>
      <c r="R26" s="567"/>
      <c r="S26" s="567"/>
      <c r="T26" s="567"/>
      <c r="U26" s="567"/>
      <c r="V26" s="567"/>
      <c r="W26" s="567"/>
    </row>
    <row r="27" spans="4:40" s="52" customFormat="1" ht="16.5" customHeight="1" x14ac:dyDescent="0.3">
      <c r="D27" s="144" t="s">
        <v>704</v>
      </c>
      <c r="E27" s="732">
        <v>95</v>
      </c>
      <c r="F27" s="540">
        <v>99.8</v>
      </c>
      <c r="G27" s="1004">
        <v>87</v>
      </c>
      <c r="H27" s="725">
        <v>75</v>
      </c>
      <c r="I27" s="725">
        <v>86</v>
      </c>
      <c r="J27" s="725">
        <v>88</v>
      </c>
      <c r="K27" s="725">
        <v>91</v>
      </c>
      <c r="L27" s="1005">
        <v>91</v>
      </c>
      <c r="M27" s="539"/>
      <c r="N27" s="539"/>
      <c r="O27" s="565"/>
      <c r="P27" s="563"/>
      <c r="Q27" s="563"/>
      <c r="R27" s="563"/>
      <c r="S27" s="563"/>
      <c r="T27" s="563"/>
      <c r="U27" s="563"/>
      <c r="V27" s="563"/>
      <c r="W27" s="563"/>
      <c r="X27" s="539"/>
      <c r="Y27" s="539"/>
      <c r="Z27" s="564"/>
    </row>
    <row r="28" spans="4:40" s="52" customFormat="1" ht="16.5" customHeight="1" x14ac:dyDescent="0.3">
      <c r="D28" s="144" t="s">
        <v>705</v>
      </c>
      <c r="E28" s="732">
        <v>41.3</v>
      </c>
      <c r="F28" s="540">
        <v>70.8</v>
      </c>
      <c r="G28" s="1004">
        <v>69</v>
      </c>
      <c r="H28" s="725">
        <v>81</v>
      </c>
      <c r="I28" s="725">
        <v>88</v>
      </c>
      <c r="J28" s="725">
        <v>89</v>
      </c>
      <c r="K28" s="725">
        <v>90</v>
      </c>
      <c r="L28" s="1005">
        <v>90</v>
      </c>
      <c r="M28" s="539"/>
      <c r="N28" s="539"/>
      <c r="O28" s="565"/>
      <c r="P28" s="563"/>
      <c r="Q28" s="563"/>
      <c r="R28" s="563"/>
      <c r="S28" s="563"/>
      <c r="T28" s="563"/>
      <c r="U28" s="563"/>
      <c r="V28" s="563"/>
      <c r="W28" s="563"/>
      <c r="X28" s="539"/>
      <c r="Y28" s="539"/>
      <c r="Z28" s="564"/>
    </row>
    <row r="29" spans="4:40" ht="16.5" customHeight="1" x14ac:dyDescent="0.3">
      <c r="D29" s="738" t="s">
        <v>156</v>
      </c>
      <c r="E29" s="733">
        <v>204.7</v>
      </c>
      <c r="F29" s="734">
        <v>230.2</v>
      </c>
      <c r="G29" s="736">
        <v>212</v>
      </c>
      <c r="H29" s="726">
        <v>238.38800000000001</v>
      </c>
      <c r="I29" s="726">
        <v>316.697</v>
      </c>
      <c r="J29" s="726">
        <v>379.19200000000001</v>
      </c>
      <c r="K29" s="726">
        <v>389.55099999999999</v>
      </c>
      <c r="L29" s="727">
        <v>402.43099999999998</v>
      </c>
      <c r="M29" s="316"/>
      <c r="N29" s="316"/>
      <c r="O29" s="209"/>
      <c r="P29" s="540"/>
      <c r="Q29" s="540"/>
      <c r="R29" s="540"/>
      <c r="S29" s="540"/>
      <c r="T29" s="540"/>
      <c r="U29" s="540"/>
      <c r="V29" s="540"/>
      <c r="W29" s="540"/>
      <c r="X29" s="316"/>
      <c r="Y29" s="316"/>
      <c r="Z29" s="281"/>
    </row>
    <row r="30" spans="4:40" ht="16.5" customHeight="1" x14ac:dyDescent="0.3">
      <c r="D30" s="280"/>
      <c r="E30" s="318"/>
      <c r="F30" s="318"/>
      <c r="G30" s="316"/>
      <c r="H30" s="316"/>
      <c r="I30" s="316"/>
      <c r="J30" s="316"/>
      <c r="K30" s="316"/>
      <c r="L30" s="316"/>
      <c r="M30" s="316"/>
      <c r="N30" s="316"/>
      <c r="O30" s="316"/>
      <c r="P30" s="316"/>
      <c r="Q30" s="316"/>
      <c r="R30" s="316"/>
      <c r="S30" s="316"/>
      <c r="T30" s="316"/>
      <c r="U30" s="316"/>
      <c r="V30" s="316"/>
      <c r="W30" s="316"/>
      <c r="X30" s="316"/>
      <c r="Y30" s="316"/>
      <c r="Z30" s="281"/>
    </row>
    <row r="31" spans="4:40" x14ac:dyDescent="0.3">
      <c r="D31" s="346" t="s">
        <v>706</v>
      </c>
      <c r="E31" s="705">
        <v>2018</v>
      </c>
      <c r="F31" s="706">
        <v>2019</v>
      </c>
      <c r="G31" s="707">
        <v>2020</v>
      </c>
      <c r="H31" s="708">
        <v>2021</v>
      </c>
      <c r="I31" s="708">
        <v>2022</v>
      </c>
      <c r="J31" s="708">
        <v>2023</v>
      </c>
      <c r="K31" s="708">
        <v>2024</v>
      </c>
      <c r="L31" s="709">
        <v>2025</v>
      </c>
      <c r="O31" s="34" t="s">
        <v>707</v>
      </c>
    </row>
    <row r="32" spans="4:40" ht="14.5" customHeight="1" x14ac:dyDescent="0.3">
      <c r="D32" s="371" t="s">
        <v>700</v>
      </c>
      <c r="E32" s="43">
        <v>1622</v>
      </c>
      <c r="F32" s="43">
        <v>1687</v>
      </c>
      <c r="G32" s="317">
        <v>1695</v>
      </c>
      <c r="H32" s="710">
        <f>AVERAGE(L10:O10)</f>
        <v>1379.2750000000001</v>
      </c>
      <c r="I32" s="711">
        <f>AVERAGE(P10:S10)</f>
        <v>1526.0914755540712</v>
      </c>
      <c r="J32" s="711">
        <f>AVERAGE(T10:W10)</f>
        <v>2118.2711906994368</v>
      </c>
      <c r="K32" s="711">
        <f>AVERAGE(X10:AA10)</f>
        <v>2200.428676522532</v>
      </c>
      <c r="L32" s="712"/>
    </row>
    <row r="33" spans="4:20" x14ac:dyDescent="0.3">
      <c r="D33" s="371" t="s">
        <v>708</v>
      </c>
      <c r="E33" s="43">
        <v>1332</v>
      </c>
      <c r="F33" s="43">
        <v>1388</v>
      </c>
      <c r="G33" s="317">
        <v>1414</v>
      </c>
      <c r="H33" s="691">
        <f>AVERAGE(L11:O11)</f>
        <v>1136.5250000000001</v>
      </c>
      <c r="I33" s="692">
        <f>AVERAGE(P11:S11)</f>
        <v>1218.830295776886</v>
      </c>
      <c r="J33" s="692">
        <f>AVERAGE(T11:W11)</f>
        <v>1683.7082307019982</v>
      </c>
      <c r="K33" s="692">
        <f>AVERAGE(X11:AA11)</f>
        <v>1745.3371061936355</v>
      </c>
      <c r="L33" s="1006"/>
      <c r="N33" s="390"/>
      <c r="O33" s="1152"/>
      <c r="P33" s="1152"/>
      <c r="Q33" s="1152"/>
      <c r="R33" s="1152"/>
    </row>
    <row r="34" spans="4:20" x14ac:dyDescent="0.3">
      <c r="D34" s="371" t="s">
        <v>155</v>
      </c>
      <c r="E34" s="43">
        <v>150</v>
      </c>
      <c r="F34" s="43">
        <v>175</v>
      </c>
      <c r="G34" s="275">
        <v>160</v>
      </c>
      <c r="H34" s="691">
        <f>AVERAGE(L12:O12)</f>
        <v>125.14999999999999</v>
      </c>
      <c r="I34" s="692">
        <f>AVERAGE(P12:S12)</f>
        <v>134.73574995432534</v>
      </c>
      <c r="J34" s="692">
        <f>AVERAGE(T12:W12)</f>
        <v>182.94510134688329</v>
      </c>
      <c r="K34" s="692">
        <f>AVERAGE(X12:AA12)</f>
        <v>188.48409478783</v>
      </c>
      <c r="L34" s="1006"/>
      <c r="N34" s="390"/>
      <c r="O34" s="1152" t="s">
        <v>709</v>
      </c>
      <c r="P34" s="1152"/>
      <c r="Q34" s="1152"/>
      <c r="R34" s="1152"/>
    </row>
    <row r="35" spans="4:20" x14ac:dyDescent="0.3">
      <c r="D35" s="348" t="s">
        <v>387</v>
      </c>
      <c r="E35" s="145">
        <v>208</v>
      </c>
      <c r="F35" s="145">
        <v>219</v>
      </c>
      <c r="G35" s="319">
        <v>197</v>
      </c>
      <c r="H35" s="713">
        <f>AVERAGE(L13:O13)</f>
        <v>186.65</v>
      </c>
      <c r="I35" s="714">
        <f>AVERAGE(P13:S13)</f>
        <v>252.2560516963843</v>
      </c>
      <c r="J35" s="714">
        <f>AVERAGE(T13:W13)</f>
        <v>335.90121385946475</v>
      </c>
      <c r="K35" s="714">
        <f>AVERAGE(X13:AA13)</f>
        <v>333.45957308285347</v>
      </c>
      <c r="L35" s="715"/>
      <c r="N35" s="390"/>
      <c r="O35" s="276" t="s">
        <v>710</v>
      </c>
      <c r="P35" s="276" t="s">
        <v>711</v>
      </c>
      <c r="Q35" s="276" t="s">
        <v>712</v>
      </c>
      <c r="R35" s="276" t="s">
        <v>713</v>
      </c>
    </row>
    <row r="36" spans="4:20" ht="14.5" x14ac:dyDescent="0.35">
      <c r="D36" s="320"/>
      <c r="E36" s="43"/>
      <c r="F36" s="43"/>
      <c r="G36" s="43"/>
      <c r="N36" s="34" t="s">
        <v>714</v>
      </c>
      <c r="O36">
        <v>2291.1</v>
      </c>
      <c r="P36">
        <v>2308.4</v>
      </c>
      <c r="Q36">
        <v>2338.6999999999998</v>
      </c>
      <c r="R36">
        <v>2350.6</v>
      </c>
    </row>
    <row r="37" spans="4:20" x14ac:dyDescent="0.3">
      <c r="D37" s="55" t="s">
        <v>715</v>
      </c>
      <c r="E37" s="43"/>
      <c r="F37" s="43"/>
      <c r="G37" s="43"/>
      <c r="P37" s="34">
        <f>P36/O36</f>
        <v>1.0075509580550828</v>
      </c>
      <c r="Q37" s="34">
        <f>Q36/P36</f>
        <v>1.0131259747010914</v>
      </c>
      <c r="R37" s="34">
        <f>R36/Q36</f>
        <v>1.0050882969170907</v>
      </c>
    </row>
    <row r="38" spans="4:20" x14ac:dyDescent="0.3">
      <c r="D38" s="1007" t="s">
        <v>716</v>
      </c>
      <c r="E38" s="706">
        <v>2018</v>
      </c>
      <c r="F38" s="706">
        <v>2019</v>
      </c>
      <c r="G38" s="707">
        <v>2020</v>
      </c>
      <c r="H38" s="722">
        <v>2021</v>
      </c>
      <c r="I38" s="723">
        <v>2022</v>
      </c>
      <c r="J38" s="723">
        <v>2023</v>
      </c>
      <c r="K38" s="723">
        <v>2024</v>
      </c>
      <c r="L38" s="724">
        <v>2025</v>
      </c>
    </row>
    <row r="39" spans="4:20" x14ac:dyDescent="0.3">
      <c r="D39" s="371" t="s">
        <v>700</v>
      </c>
      <c r="E39" s="295">
        <f t="shared" ref="E39:G41" si="25">E32/E24</f>
        <v>0.96346896346896349</v>
      </c>
      <c r="F39" s="295">
        <f t="shared" si="25"/>
        <v>0.98201292275452579</v>
      </c>
      <c r="G39" s="295">
        <f t="shared" si="25"/>
        <v>1.0534493474207582</v>
      </c>
      <c r="H39" s="717">
        <f t="shared" ref="H39:K39" si="26">H32/H24</f>
        <v>0.70671455039576325</v>
      </c>
      <c r="I39" s="718">
        <f t="shared" si="26"/>
        <v>0.65561783790286654</v>
      </c>
      <c r="J39" s="718">
        <f t="shared" si="26"/>
        <v>0.90771393389596267</v>
      </c>
      <c r="K39" s="718">
        <f t="shared" si="26"/>
        <v>0.93502529027836745</v>
      </c>
      <c r="L39" s="794"/>
      <c r="T39" s="173"/>
    </row>
    <row r="40" spans="4:20" x14ac:dyDescent="0.3">
      <c r="D40" s="371" t="s">
        <v>708</v>
      </c>
      <c r="E40" s="295">
        <f t="shared" si="25"/>
        <v>1.1377808148970701</v>
      </c>
      <c r="F40" s="295">
        <f t="shared" si="25"/>
        <v>1.1162940324915553</v>
      </c>
      <c r="G40" s="295">
        <f t="shared" si="25"/>
        <v>1.0793893129770993</v>
      </c>
      <c r="H40" s="719">
        <f t="shared" ref="H40:K40" si="27">H33/H25</f>
        <v>0.84465899640516895</v>
      </c>
      <c r="I40" s="716">
        <f t="shared" si="27"/>
        <v>0.87607227472455307</v>
      </c>
      <c r="J40" s="716">
        <f t="shared" si="27"/>
        <v>1.1195225849641466</v>
      </c>
      <c r="K40" s="716">
        <f t="shared" si="27"/>
        <v>1.1263422219915276</v>
      </c>
      <c r="L40" s="1006"/>
    </row>
    <row r="41" spans="4:20" x14ac:dyDescent="0.3">
      <c r="D41" s="371" t="s">
        <v>155</v>
      </c>
      <c r="E41" s="295">
        <f t="shared" si="25"/>
        <v>1.1005135730007336</v>
      </c>
      <c r="F41" s="295">
        <f t="shared" si="25"/>
        <v>1.0257913247362251</v>
      </c>
      <c r="G41" s="295">
        <f t="shared" si="25"/>
        <v>1.0256410256410255</v>
      </c>
      <c r="H41" s="719">
        <f t="shared" ref="H41:K41" si="28">H34/H26</f>
        <v>0.80224358974358967</v>
      </c>
      <c r="I41" s="716">
        <f t="shared" si="28"/>
        <v>0.77434339054209966</v>
      </c>
      <c r="J41" s="716">
        <f t="shared" si="28"/>
        <v>1.0335881432027305</v>
      </c>
      <c r="K41" s="716">
        <f t="shared" si="28"/>
        <v>1.0413485899880111</v>
      </c>
      <c r="L41" s="1006"/>
    </row>
    <row r="42" spans="4:20" x14ac:dyDescent="0.3">
      <c r="D42" s="348" t="s">
        <v>387</v>
      </c>
      <c r="E42" s="306">
        <f>E35/E29</f>
        <v>1.0161211529066927</v>
      </c>
      <c r="F42" s="306">
        <f>F35/F29</f>
        <v>0.95134665508253702</v>
      </c>
      <c r="G42" s="306">
        <f>G35/G29</f>
        <v>0.92924528301886788</v>
      </c>
      <c r="H42" s="720">
        <f t="shared" ref="H42:K42" si="29">H35/H29</f>
        <v>0.78296726345285839</v>
      </c>
      <c r="I42" s="721">
        <f t="shared" si="29"/>
        <v>0.79652175958845306</v>
      </c>
      <c r="J42" s="721">
        <f t="shared" si="29"/>
        <v>0.88583412587677146</v>
      </c>
      <c r="K42" s="721">
        <f t="shared" si="29"/>
        <v>0.85601005537876551</v>
      </c>
      <c r="L42" s="715"/>
    </row>
    <row r="44" spans="4:20" x14ac:dyDescent="0.3">
      <c r="D44" s="320"/>
      <c r="E44" s="43"/>
      <c r="F44" s="43"/>
      <c r="G44" s="43"/>
    </row>
    <row r="45" spans="4:20" x14ac:dyDescent="0.3">
      <c r="D45" s="34" t="s">
        <v>717</v>
      </c>
    </row>
    <row r="46" spans="4:20" x14ac:dyDescent="0.3">
      <c r="D46" s="346" t="s">
        <v>718</v>
      </c>
      <c r="E46" s="705">
        <v>2018</v>
      </c>
      <c r="F46" s="752">
        <v>2019</v>
      </c>
      <c r="G46" s="752">
        <v>2020</v>
      </c>
      <c r="H46" s="753">
        <v>2021</v>
      </c>
      <c r="I46" s="754">
        <v>2022</v>
      </c>
      <c r="J46" s="754">
        <v>2023</v>
      </c>
      <c r="K46" s="754">
        <v>2024</v>
      </c>
      <c r="L46" s="755">
        <v>2025</v>
      </c>
    </row>
    <row r="47" spans="4:20" x14ac:dyDescent="0.3">
      <c r="D47" s="762" t="s">
        <v>719</v>
      </c>
      <c r="E47" s="520">
        <v>14016.099999999999</v>
      </c>
      <c r="F47" s="299">
        <v>14604.2</v>
      </c>
      <c r="G47" s="376">
        <v>14711.300000000001</v>
      </c>
      <c r="H47" s="375">
        <v>15405.2</v>
      </c>
      <c r="I47" s="375">
        <v>16319.2</v>
      </c>
      <c r="J47" s="375">
        <v>17105.099999999999</v>
      </c>
      <c r="K47" s="375">
        <v>17768.5</v>
      </c>
      <c r="L47" s="321">
        <v>18434.599999999999</v>
      </c>
    </row>
    <row r="48" spans="4:20" x14ac:dyDescent="0.3">
      <c r="D48" s="762" t="s">
        <v>720</v>
      </c>
      <c r="E48" s="146">
        <v>8804</v>
      </c>
      <c r="F48" s="43">
        <v>9209</v>
      </c>
      <c r="G48" s="376">
        <v>9300</v>
      </c>
      <c r="H48" s="375">
        <v>9843</v>
      </c>
      <c r="I48" s="375">
        <v>10541</v>
      </c>
      <c r="J48" s="375">
        <v>10992</v>
      </c>
      <c r="K48" s="375">
        <v>11395</v>
      </c>
      <c r="L48" s="321">
        <v>11808</v>
      </c>
    </row>
    <row r="49" spans="4:25" x14ac:dyDescent="0.3">
      <c r="D49" s="762" t="s">
        <v>721</v>
      </c>
      <c r="E49" s="146">
        <v>13844</v>
      </c>
      <c r="F49" s="43">
        <v>14403</v>
      </c>
      <c r="G49" s="376">
        <v>14201</v>
      </c>
      <c r="H49" s="375">
        <v>15238</v>
      </c>
      <c r="I49" s="375">
        <v>16381</v>
      </c>
      <c r="J49" s="375">
        <v>17184</v>
      </c>
      <c r="K49" s="375">
        <v>17840</v>
      </c>
      <c r="L49" s="321">
        <v>18477</v>
      </c>
    </row>
    <row r="50" spans="4:25" x14ac:dyDescent="0.3">
      <c r="D50" s="763" t="s">
        <v>722</v>
      </c>
      <c r="E50" s="683">
        <v>2211</v>
      </c>
      <c r="F50" s="684">
        <v>2243</v>
      </c>
      <c r="G50" s="685">
        <v>2125</v>
      </c>
      <c r="H50" s="686">
        <v>2616</v>
      </c>
      <c r="I50" s="686">
        <v>2996</v>
      </c>
      <c r="J50" s="686">
        <v>2989</v>
      </c>
      <c r="K50" s="686">
        <v>2967</v>
      </c>
      <c r="L50" s="687">
        <v>3017</v>
      </c>
    </row>
    <row r="51" spans="4:25" s="52" customFormat="1" x14ac:dyDescent="0.3"/>
    <row r="53" spans="4:25" x14ac:dyDescent="0.3">
      <c r="D53" s="34" t="s">
        <v>723</v>
      </c>
    </row>
    <row r="54" spans="4:25" x14ac:dyDescent="0.3">
      <c r="D54" s="346" t="s">
        <v>724</v>
      </c>
      <c r="E54" s="252">
        <v>2018</v>
      </c>
      <c r="F54" s="568">
        <v>2019</v>
      </c>
      <c r="G54" s="568">
        <v>2020</v>
      </c>
      <c r="H54" s="748">
        <v>2021</v>
      </c>
      <c r="I54" s="569">
        <v>2022</v>
      </c>
      <c r="J54" s="569">
        <v>2023</v>
      </c>
      <c r="K54" s="569">
        <v>2024</v>
      </c>
      <c r="L54" s="749">
        <v>2025</v>
      </c>
    </row>
    <row r="55" spans="4:25" x14ac:dyDescent="0.3">
      <c r="D55" s="764" t="s">
        <v>700</v>
      </c>
      <c r="E55" s="756">
        <f>E24/E47</f>
        <v>0.12011187134794987</v>
      </c>
      <c r="F55" s="757">
        <f t="shared" ref="F55:L55" si="30">F24/F47</f>
        <v>0.11763054463784391</v>
      </c>
      <c r="G55" s="759">
        <f t="shared" si="30"/>
        <v>0.10937170746297063</v>
      </c>
      <c r="H55" s="681">
        <f t="shared" si="30"/>
        <v>0.12668916989068627</v>
      </c>
      <c r="I55" s="681">
        <f t="shared" si="30"/>
        <v>0.14263658757782244</v>
      </c>
      <c r="J55" s="681">
        <f t="shared" si="30"/>
        <v>0.1364290767081163</v>
      </c>
      <c r="K55" s="681">
        <f t="shared" si="30"/>
        <v>0.13244426935306863</v>
      </c>
      <c r="L55" s="751">
        <f t="shared" si="30"/>
        <v>0.12927728293534985</v>
      </c>
    </row>
    <row r="56" spans="4:25" x14ac:dyDescent="0.3">
      <c r="D56" s="764" t="s">
        <v>702</v>
      </c>
      <c r="E56" s="758">
        <f t="shared" ref="E56:L56" si="31">E25/E48</f>
        <v>0.13297364834166289</v>
      </c>
      <c r="F56" s="374">
        <f t="shared" si="31"/>
        <v>0.13502008904332718</v>
      </c>
      <c r="G56" s="1008">
        <f t="shared" si="31"/>
        <v>0.14086021505376345</v>
      </c>
      <c r="H56" s="378">
        <f t="shared" si="31"/>
        <v>0.13670049781570659</v>
      </c>
      <c r="I56" s="378">
        <f t="shared" si="31"/>
        <v>0.13198406223318471</v>
      </c>
      <c r="J56" s="378">
        <f t="shared" si="31"/>
        <v>0.13682241630276565</v>
      </c>
      <c r="K56" s="378">
        <f t="shared" si="31"/>
        <v>0.13598613426941641</v>
      </c>
      <c r="L56" s="1009">
        <f t="shared" si="31"/>
        <v>0.13452642276422766</v>
      </c>
    </row>
    <row r="57" spans="4:25" x14ac:dyDescent="0.3">
      <c r="D57" s="762" t="s">
        <v>725</v>
      </c>
      <c r="E57" s="758">
        <f t="shared" ref="E57:L57" si="32">E26/E49</f>
        <v>9.8454203987286912E-3</v>
      </c>
      <c r="F57" s="374">
        <f t="shared" si="32"/>
        <v>1.1844754565021176E-2</v>
      </c>
      <c r="G57" s="1008">
        <f t="shared" si="32"/>
        <v>1.0985141891416098E-2</v>
      </c>
      <c r="H57" s="378">
        <f t="shared" si="32"/>
        <v>1.0237563984774906E-2</v>
      </c>
      <c r="I57" s="378">
        <f t="shared" si="32"/>
        <v>1.0622062145168183E-2</v>
      </c>
      <c r="J57" s="378">
        <f t="shared" si="32"/>
        <v>1.0300279329608938E-2</v>
      </c>
      <c r="K57" s="378">
        <f t="shared" si="32"/>
        <v>1.0145739910313901E-2</v>
      </c>
      <c r="L57" s="1009">
        <f t="shared" si="32"/>
        <v>9.7959625480326887E-3</v>
      </c>
    </row>
    <row r="58" spans="4:25" x14ac:dyDescent="0.3">
      <c r="D58" s="765" t="s">
        <v>156</v>
      </c>
      <c r="E58" s="682">
        <f>E29/E50</f>
        <v>9.258254183627318E-2</v>
      </c>
      <c r="F58" s="289">
        <f t="shared" ref="F58:L58" si="33">F29/F50</f>
        <v>0.10263040570664288</v>
      </c>
      <c r="G58" s="760">
        <f t="shared" si="33"/>
        <v>9.9764705882352936E-2</v>
      </c>
      <c r="H58" s="291">
        <f t="shared" si="33"/>
        <v>9.112691131498471E-2</v>
      </c>
      <c r="I58" s="291">
        <f t="shared" si="33"/>
        <v>0.10570660881174899</v>
      </c>
      <c r="J58" s="291">
        <f t="shared" si="33"/>
        <v>0.12686249581799933</v>
      </c>
      <c r="K58" s="291">
        <f t="shared" si="33"/>
        <v>0.13129457364341085</v>
      </c>
      <c r="L58" s="292">
        <f t="shared" si="33"/>
        <v>0.13338780245276766</v>
      </c>
    </row>
    <row r="60" spans="4:25" x14ac:dyDescent="0.3">
      <c r="D60" s="34" t="s">
        <v>726</v>
      </c>
    </row>
    <row r="61" spans="4:25" x14ac:dyDescent="0.3">
      <c r="D61" s="797" t="s">
        <v>493</v>
      </c>
    </row>
    <row r="62" spans="4:25" x14ac:dyDescent="0.3">
      <c r="D62" s="346" t="s">
        <v>727</v>
      </c>
      <c r="E62" s="706">
        <v>2018</v>
      </c>
      <c r="F62" s="752">
        <v>2019</v>
      </c>
      <c r="G62" s="752">
        <v>2020</v>
      </c>
      <c r="H62" s="753">
        <v>2021</v>
      </c>
      <c r="I62" s="754">
        <v>2022</v>
      </c>
      <c r="J62" s="754">
        <v>2023</v>
      </c>
      <c r="K62" s="754">
        <v>2024</v>
      </c>
      <c r="L62" s="755">
        <v>2025</v>
      </c>
    </row>
    <row r="63" spans="4:25" ht="20.149999999999999" customHeight="1" x14ac:dyDescent="0.3">
      <c r="D63" s="372" t="s">
        <v>700</v>
      </c>
      <c r="E63" s="756">
        <f t="shared" ref="E63:G66" si="34">E55*E39</f>
        <v>0.11572406018792676</v>
      </c>
      <c r="F63" s="757">
        <f t="shared" si="34"/>
        <v>0.11551471494501581</v>
      </c>
      <c r="G63" s="757">
        <f t="shared" si="34"/>
        <v>0.11521755385316049</v>
      </c>
      <c r="H63" s="750">
        <f>N82</f>
        <v>0.12383839292021759</v>
      </c>
      <c r="I63" s="681">
        <f>H63</f>
        <v>0.12383839292021759</v>
      </c>
      <c r="J63" s="681">
        <f t="shared" ref="J63:L63" si="35">I63</f>
        <v>0.12383839292021759</v>
      </c>
      <c r="K63" s="681">
        <f t="shared" si="35"/>
        <v>0.12383839292021759</v>
      </c>
      <c r="L63" s="751">
        <f t="shared" si="35"/>
        <v>0.12383839292021759</v>
      </c>
      <c r="M63" s="769"/>
      <c r="N63" s="768"/>
      <c r="O63" s="322"/>
      <c r="P63" s="322"/>
      <c r="Q63" s="322"/>
      <c r="R63" s="322"/>
      <c r="S63" s="322"/>
      <c r="T63" s="322"/>
      <c r="U63" s="322"/>
      <c r="V63" s="322"/>
      <c r="W63" s="322"/>
      <c r="X63" s="322"/>
      <c r="Y63" s="322"/>
    </row>
    <row r="64" spans="4:25" ht="18.649999999999999" customHeight="1" x14ac:dyDescent="0.3">
      <c r="D64" s="372" t="s">
        <v>702</v>
      </c>
      <c r="E64" s="758">
        <f t="shared" si="34"/>
        <v>0.15129486597001363</v>
      </c>
      <c r="F64" s="374">
        <f t="shared" si="34"/>
        <v>0.15072211966554458</v>
      </c>
      <c r="G64" s="374">
        <f t="shared" si="34"/>
        <v>0.1520430107526882</v>
      </c>
      <c r="H64" s="377">
        <f>N83</f>
        <v>0.1531723014580271</v>
      </c>
      <c r="I64" s="378">
        <f>H64</f>
        <v>0.1531723014580271</v>
      </c>
      <c r="J64" s="378">
        <f>I64</f>
        <v>0.1531723014580271</v>
      </c>
      <c r="K64" s="378">
        <f t="shared" ref="K64:L64" si="36">J64</f>
        <v>0.1531723014580271</v>
      </c>
      <c r="L64" s="1009">
        <f t="shared" si="36"/>
        <v>0.1531723014580271</v>
      </c>
      <c r="M64" s="769"/>
      <c r="N64" s="768"/>
      <c r="O64" s="322"/>
      <c r="P64" s="322"/>
      <c r="Q64" s="322"/>
      <c r="R64" s="322"/>
      <c r="S64" s="322"/>
      <c r="T64" s="322"/>
      <c r="U64" s="322"/>
      <c r="V64" s="322"/>
      <c r="W64" s="322"/>
      <c r="X64" s="322"/>
      <c r="Y64" s="322"/>
    </row>
    <row r="65" spans="4:32" ht="19" customHeight="1" x14ac:dyDescent="0.3">
      <c r="D65" s="371" t="s">
        <v>155</v>
      </c>
      <c r="E65" s="758">
        <f t="shared" si="34"/>
        <v>1.0835018780699219E-2</v>
      </c>
      <c r="F65" s="374">
        <f t="shared" si="34"/>
        <v>1.2150246476428523E-2</v>
      </c>
      <c r="G65" s="374">
        <f t="shared" si="34"/>
        <v>1.1266812196324201E-2</v>
      </c>
      <c r="H65" s="377">
        <f>N84</f>
        <v>1.1344639689649452E-2</v>
      </c>
      <c r="I65" s="378">
        <f>AVERAGE($F41:$G41)*I57</f>
        <v>1.0895220956157794E-2</v>
      </c>
      <c r="J65" s="378">
        <f>AVERAGE($F41:$G41)*J57</f>
        <v>1.056516311734094E-2</v>
      </c>
      <c r="K65" s="378">
        <f>J65</f>
        <v>1.056516311734094E-2</v>
      </c>
      <c r="L65" s="1009">
        <f>K65</f>
        <v>1.056516311734094E-2</v>
      </c>
      <c r="M65" s="769"/>
      <c r="N65" s="768"/>
      <c r="O65" s="322"/>
      <c r="P65" s="322"/>
      <c r="Q65" s="322"/>
      <c r="R65" s="322"/>
      <c r="S65" s="322"/>
      <c r="T65" s="322"/>
      <c r="U65" s="322"/>
      <c r="V65" s="322"/>
      <c r="W65" s="322"/>
      <c r="X65" s="322"/>
      <c r="Y65" s="322"/>
    </row>
    <row r="66" spans="4:32" ht="19" customHeight="1" x14ac:dyDescent="0.3">
      <c r="D66" s="373" t="s">
        <v>156</v>
      </c>
      <c r="E66" s="682">
        <f t="shared" si="34"/>
        <v>9.4075079149706017E-2</v>
      </c>
      <c r="F66" s="289">
        <f t="shared" si="34"/>
        <v>9.7637093178778417E-2</v>
      </c>
      <c r="G66" s="289">
        <f t="shared" si="34"/>
        <v>9.2705882352941166E-2</v>
      </c>
      <c r="H66" s="290">
        <f>M85</f>
        <v>0.11817745803357314</v>
      </c>
      <c r="I66" s="291">
        <f>N85</f>
        <v>0.11238852826749134</v>
      </c>
      <c r="J66" s="291">
        <f>I66</f>
        <v>0.11238852826749134</v>
      </c>
      <c r="K66" s="291">
        <f>J66</f>
        <v>0.11238852826749134</v>
      </c>
      <c r="L66" s="292">
        <f>K66</f>
        <v>0.11238852826749134</v>
      </c>
      <c r="M66" s="769"/>
      <c r="N66" s="768"/>
      <c r="O66" s="322"/>
      <c r="P66" s="322"/>
      <c r="Q66" s="322"/>
      <c r="R66" s="322"/>
      <c r="S66" s="322"/>
      <c r="T66" s="322"/>
      <c r="U66" s="322"/>
      <c r="V66" s="322"/>
      <c r="W66" s="322"/>
      <c r="X66" s="322"/>
      <c r="Y66" s="322"/>
    </row>
    <row r="67" spans="4:32" x14ac:dyDescent="0.3">
      <c r="E67" s="688"/>
      <c r="F67" s="688"/>
      <c r="G67" s="688"/>
      <c r="H67" s="688"/>
      <c r="I67" s="688"/>
      <c r="J67" s="688"/>
      <c r="K67" s="688"/>
      <c r="L67" s="688"/>
    </row>
    <row r="68" spans="4:32" x14ac:dyDescent="0.3">
      <c r="D68" s="796" t="s">
        <v>506</v>
      </c>
      <c r="E68" s="322"/>
      <c r="F68" s="322"/>
      <c r="G68" s="322"/>
      <c r="H68" s="322"/>
      <c r="I68" s="322"/>
      <c r="J68" s="322"/>
      <c r="K68" s="322"/>
      <c r="L68" s="374"/>
      <c r="M68" s="322"/>
      <c r="N68" s="322"/>
      <c r="O68" s="322"/>
      <c r="P68" s="322"/>
      <c r="Q68" s="322"/>
      <c r="R68" s="322"/>
      <c r="S68" s="322"/>
      <c r="T68" s="322"/>
      <c r="U68" s="322"/>
      <c r="V68" s="322"/>
      <c r="W68" s="322"/>
      <c r="X68" s="322"/>
      <c r="Y68" s="322"/>
    </row>
    <row r="69" spans="4:32" ht="14.5" customHeight="1" x14ac:dyDescent="0.3">
      <c r="D69" s="1146" t="s">
        <v>728</v>
      </c>
      <c r="E69" s="1147"/>
      <c r="F69" s="1044">
        <v>2019</v>
      </c>
      <c r="G69" s="1045"/>
      <c r="H69" s="1046"/>
      <c r="I69" s="1045">
        <v>2020</v>
      </c>
      <c r="J69" s="1045"/>
      <c r="K69" s="1045"/>
      <c r="L69" s="1045"/>
      <c r="M69" s="1044">
        <v>2021</v>
      </c>
      <c r="N69" s="1045"/>
      <c r="O69" s="1046"/>
      <c r="P69" s="868">
        <v>2021</v>
      </c>
      <c r="Q69" s="1051">
        <v>2022</v>
      </c>
      <c r="R69" s="1052"/>
      <c r="S69" s="1052"/>
      <c r="T69" s="1053"/>
      <c r="U69" s="1135">
        <v>2023</v>
      </c>
      <c r="V69" s="1136"/>
      <c r="W69" s="1136"/>
      <c r="X69" s="1136"/>
      <c r="Y69" s="1051">
        <v>2024</v>
      </c>
      <c r="Z69" s="1052"/>
      <c r="AA69" s="1052"/>
      <c r="AB69" s="1052"/>
      <c r="AC69" s="334">
        <v>2025</v>
      </c>
    </row>
    <row r="70" spans="4:32" x14ac:dyDescent="0.3">
      <c r="D70" s="1153"/>
      <c r="E70" s="1154"/>
      <c r="F70" s="167" t="s">
        <v>413</v>
      </c>
      <c r="G70" s="148" t="s">
        <v>298</v>
      </c>
      <c r="H70" s="155" t="s">
        <v>411</v>
      </c>
      <c r="I70" s="149" t="s">
        <v>412</v>
      </c>
      <c r="J70" s="149" t="s">
        <v>413</v>
      </c>
      <c r="K70" s="149" t="s">
        <v>298</v>
      </c>
      <c r="L70" s="149" t="s">
        <v>411</v>
      </c>
      <c r="M70" s="162" t="s">
        <v>412</v>
      </c>
      <c r="N70" s="149" t="s">
        <v>413</v>
      </c>
      <c r="O70" s="155" t="s">
        <v>298</v>
      </c>
      <c r="P70" s="61" t="s">
        <v>411</v>
      </c>
      <c r="Q70" s="58" t="s">
        <v>412</v>
      </c>
      <c r="R70" s="59" t="s">
        <v>413</v>
      </c>
      <c r="S70" s="59" t="s">
        <v>298</v>
      </c>
      <c r="T70" s="59" t="s">
        <v>411</v>
      </c>
      <c r="U70" s="58" t="s">
        <v>412</v>
      </c>
      <c r="V70" s="59" t="s">
        <v>413</v>
      </c>
      <c r="W70" s="59" t="s">
        <v>298</v>
      </c>
      <c r="X70" s="59" t="s">
        <v>411</v>
      </c>
      <c r="Y70" s="58" t="s">
        <v>412</v>
      </c>
      <c r="Z70" s="468" t="s">
        <v>413</v>
      </c>
      <c r="AA70" s="59" t="s">
        <v>298</v>
      </c>
      <c r="AB70" s="59" t="s">
        <v>411</v>
      </c>
      <c r="AC70" s="61" t="s">
        <v>412</v>
      </c>
    </row>
    <row r="71" spans="4:32" x14ac:dyDescent="0.3">
      <c r="D71" s="1010" t="s">
        <v>719</v>
      </c>
      <c r="E71" s="572"/>
      <c r="F71" s="770">
        <f>F72+F73</f>
        <v>14660.3</v>
      </c>
      <c r="G71" s="771">
        <f t="shared" ref="G71:AC71" si="37">G72+G73</f>
        <v>14748</v>
      </c>
      <c r="H71" s="771">
        <f t="shared" si="37"/>
        <v>14896.1</v>
      </c>
      <c r="I71" s="771">
        <f t="shared" si="37"/>
        <v>15018.7</v>
      </c>
      <c r="J71" s="771">
        <f t="shared" si="37"/>
        <v>14127</v>
      </c>
      <c r="K71" s="771">
        <f t="shared" si="37"/>
        <v>14803.099999999999</v>
      </c>
      <c r="L71" s="771">
        <f t="shared" si="37"/>
        <v>15014.2</v>
      </c>
      <c r="M71" s="771">
        <f t="shared" si="37"/>
        <v>15152.900000000001</v>
      </c>
      <c r="N71" s="771">
        <f t="shared" si="37"/>
        <v>15654.4</v>
      </c>
      <c r="O71" s="772">
        <f t="shared" si="37"/>
        <v>15799.3</v>
      </c>
      <c r="P71" s="782">
        <f t="shared" si="37"/>
        <v>15983.8</v>
      </c>
      <c r="Q71" s="782">
        <f t="shared" si="37"/>
        <v>16211.099999999999</v>
      </c>
      <c r="R71" s="782">
        <f t="shared" si="37"/>
        <v>16437.099999999999</v>
      </c>
      <c r="S71" s="782">
        <f t="shared" si="37"/>
        <v>16644.8</v>
      </c>
      <c r="T71" s="782">
        <f t="shared" si="37"/>
        <v>16837.7</v>
      </c>
      <c r="U71" s="782">
        <f t="shared" si="37"/>
        <v>17019.599999999999</v>
      </c>
      <c r="V71" s="782">
        <f t="shared" si="37"/>
        <v>17196</v>
      </c>
      <c r="W71" s="782">
        <f t="shared" si="37"/>
        <v>17367.2</v>
      </c>
      <c r="X71" s="782">
        <f t="shared" si="37"/>
        <v>17530.099999999999</v>
      </c>
      <c r="Y71" s="782">
        <f t="shared" si="37"/>
        <v>17691.900000000001</v>
      </c>
      <c r="Z71" s="782">
        <f t="shared" si="37"/>
        <v>17844.8</v>
      </c>
      <c r="AA71" s="782">
        <f t="shared" si="37"/>
        <v>18007.400000000001</v>
      </c>
      <c r="AB71" s="782">
        <f t="shared" si="37"/>
        <v>18172.900000000001</v>
      </c>
      <c r="AC71" s="783">
        <f t="shared" si="37"/>
        <v>18346.099999999999</v>
      </c>
    </row>
    <row r="72" spans="4:32" ht="28" x14ac:dyDescent="0.3">
      <c r="D72" s="114" t="s">
        <v>729</v>
      </c>
      <c r="E72" s="571" t="s">
        <v>730</v>
      </c>
      <c r="F72" s="520">
        <v>9274.9</v>
      </c>
      <c r="G72" s="299">
        <v>9311.2999999999993</v>
      </c>
      <c r="H72" s="299">
        <v>9422.5</v>
      </c>
      <c r="I72" s="299">
        <v>9526.1</v>
      </c>
      <c r="J72" s="299">
        <v>8908.7999999999993</v>
      </c>
      <c r="K72" s="299">
        <v>9343.2999999999993</v>
      </c>
      <c r="L72" s="299">
        <v>9546</v>
      </c>
      <c r="M72" s="299">
        <v>9702.2000000000007</v>
      </c>
      <c r="N72" s="299">
        <v>9950.4</v>
      </c>
      <c r="O72" s="955">
        <v>10175.1</v>
      </c>
      <c r="P72" s="359">
        <v>10336.6</v>
      </c>
      <c r="Q72" s="359">
        <v>10484.299999999999</v>
      </c>
      <c r="R72" s="359">
        <v>10614</v>
      </c>
      <c r="S72" s="359">
        <v>10730.6</v>
      </c>
      <c r="T72" s="359">
        <v>10841</v>
      </c>
      <c r="U72" s="359">
        <v>10942.9</v>
      </c>
      <c r="V72" s="359">
        <v>11042.2</v>
      </c>
      <c r="W72" s="359">
        <v>11143.2</v>
      </c>
      <c r="X72" s="359">
        <v>11246.1</v>
      </c>
      <c r="Y72" s="359">
        <v>11342.3</v>
      </c>
      <c r="Z72" s="359">
        <v>11443.3</v>
      </c>
      <c r="AA72" s="359">
        <v>11546.8</v>
      </c>
      <c r="AB72" s="359">
        <v>11648.9</v>
      </c>
      <c r="AC72" s="360">
        <v>11751.1</v>
      </c>
    </row>
    <row r="73" spans="4:32" ht="28" x14ac:dyDescent="0.3">
      <c r="D73" s="114" t="s">
        <v>731</v>
      </c>
      <c r="E73" s="571"/>
      <c r="F73" s="520">
        <v>5385.4</v>
      </c>
      <c r="G73" s="299">
        <v>5436.7</v>
      </c>
      <c r="H73" s="299">
        <v>5473.6</v>
      </c>
      <c r="I73" s="299">
        <v>5492.6</v>
      </c>
      <c r="J73" s="299">
        <v>5218.2</v>
      </c>
      <c r="K73" s="299">
        <v>5459.8</v>
      </c>
      <c r="L73" s="299">
        <v>5468.2</v>
      </c>
      <c r="M73" s="299">
        <v>5450.7</v>
      </c>
      <c r="N73" s="299">
        <v>5704</v>
      </c>
      <c r="O73" s="955">
        <v>5624.2</v>
      </c>
      <c r="P73" s="359">
        <v>5647.2</v>
      </c>
      <c r="Q73" s="359">
        <v>5726.8</v>
      </c>
      <c r="R73" s="359">
        <v>5823.1</v>
      </c>
      <c r="S73" s="359">
        <v>5914.2</v>
      </c>
      <c r="T73" s="359">
        <v>5996.7</v>
      </c>
      <c r="U73" s="359">
        <v>6076.7</v>
      </c>
      <c r="V73" s="359">
        <v>6153.8</v>
      </c>
      <c r="W73" s="359">
        <v>6224</v>
      </c>
      <c r="X73" s="359">
        <v>6284</v>
      </c>
      <c r="Y73" s="359">
        <v>6349.6</v>
      </c>
      <c r="Z73" s="359">
        <v>6401.5</v>
      </c>
      <c r="AA73" s="359">
        <v>6460.6</v>
      </c>
      <c r="AB73" s="359">
        <v>6524</v>
      </c>
      <c r="AC73" s="360">
        <v>6595</v>
      </c>
    </row>
    <row r="74" spans="4:32" s="52" customFormat="1" x14ac:dyDescent="0.3">
      <c r="D74" s="163" t="s">
        <v>720</v>
      </c>
      <c r="E74" s="571"/>
      <c r="F74" s="773"/>
      <c r="G74" s="235"/>
      <c r="H74" s="774"/>
      <c r="I74" s="774"/>
      <c r="J74" s="774"/>
      <c r="K74" s="774"/>
      <c r="L74" s="299"/>
      <c r="M74" s="299">
        <v>9702</v>
      </c>
      <c r="N74" s="299">
        <v>9950</v>
      </c>
      <c r="O74" s="955">
        <v>10175</v>
      </c>
      <c r="P74" s="359">
        <v>10337</v>
      </c>
      <c r="Q74" s="359">
        <v>10484</v>
      </c>
      <c r="R74" s="359">
        <v>10614</v>
      </c>
      <c r="S74" s="359">
        <v>10731</v>
      </c>
      <c r="T74" s="359">
        <v>10841</v>
      </c>
      <c r="U74" s="359">
        <v>10943</v>
      </c>
      <c r="V74" s="359">
        <v>11042</v>
      </c>
      <c r="W74" s="359">
        <v>11143</v>
      </c>
      <c r="X74" s="359">
        <v>11246</v>
      </c>
      <c r="Y74" s="359">
        <v>11342.3</v>
      </c>
      <c r="Z74" s="359">
        <v>11443.3</v>
      </c>
      <c r="AA74" s="359">
        <v>11546.8</v>
      </c>
      <c r="AB74" s="359">
        <v>11648.9</v>
      </c>
      <c r="AC74" s="360">
        <v>11751.1</v>
      </c>
    </row>
    <row r="75" spans="4:32" s="52" customFormat="1" x14ac:dyDescent="0.3">
      <c r="D75" s="163" t="s">
        <v>721</v>
      </c>
      <c r="E75" s="235"/>
      <c r="F75" s="775"/>
      <c r="G75" s="776"/>
      <c r="H75" s="774"/>
      <c r="I75" s="774"/>
      <c r="J75" s="774"/>
      <c r="K75" s="774"/>
      <c r="L75" s="774"/>
      <c r="M75" s="774">
        <v>15041</v>
      </c>
      <c r="N75" s="774">
        <v>15551</v>
      </c>
      <c r="O75" s="376">
        <v>15824</v>
      </c>
      <c r="P75" s="784">
        <v>16056</v>
      </c>
      <c r="Q75" s="784">
        <v>16274</v>
      </c>
      <c r="R75" s="784">
        <v>16482</v>
      </c>
      <c r="S75" s="784">
        <v>16710</v>
      </c>
      <c r="T75" s="784">
        <v>16918</v>
      </c>
      <c r="U75" s="784">
        <v>17101</v>
      </c>
      <c r="V75" s="784">
        <v>17272</v>
      </c>
      <c r="W75" s="784">
        <v>17444</v>
      </c>
      <c r="X75" s="784">
        <v>17607</v>
      </c>
      <c r="Y75" s="784">
        <v>17759.900000000001</v>
      </c>
      <c r="Z75" s="359">
        <v>17916</v>
      </c>
      <c r="AA75" s="359">
        <v>18077.7</v>
      </c>
      <c r="AB75" s="359">
        <v>18228.400000000001</v>
      </c>
      <c r="AC75" s="360">
        <v>18390.5</v>
      </c>
    </row>
    <row r="76" spans="4:32" s="52" customFormat="1" x14ac:dyDescent="0.3">
      <c r="D76" s="777" t="s">
        <v>732</v>
      </c>
      <c r="E76" s="778"/>
      <c r="F76" s="779"/>
      <c r="G76" s="780"/>
      <c r="H76" s="684"/>
      <c r="I76" s="684"/>
      <c r="J76" s="684"/>
      <c r="K76" s="684"/>
      <c r="L76" s="273"/>
      <c r="M76" s="273">
        <v>2374</v>
      </c>
      <c r="N76" s="273">
        <v>2822</v>
      </c>
      <c r="O76" s="786">
        <v>2975</v>
      </c>
      <c r="P76" s="658">
        <v>3009</v>
      </c>
      <c r="Q76" s="658">
        <v>2954</v>
      </c>
      <c r="R76" s="658">
        <v>3005</v>
      </c>
      <c r="S76" s="658">
        <v>3019</v>
      </c>
      <c r="T76" s="658">
        <v>3017</v>
      </c>
      <c r="U76" s="658">
        <v>3002</v>
      </c>
      <c r="V76" s="658">
        <v>2976</v>
      </c>
      <c r="W76" s="658">
        <v>2960</v>
      </c>
      <c r="X76" s="658">
        <v>2960</v>
      </c>
      <c r="Y76" s="658">
        <v>2955.6</v>
      </c>
      <c r="Z76" s="658">
        <v>2970.1</v>
      </c>
      <c r="AA76" s="658">
        <v>2982.4</v>
      </c>
      <c r="AB76" s="658">
        <v>2999.3</v>
      </c>
      <c r="AC76" s="785">
        <v>3007.4</v>
      </c>
    </row>
    <row r="77" spans="4:32" s="52" customFormat="1" x14ac:dyDescent="0.3">
      <c r="D77" s="93"/>
      <c r="E77" s="795"/>
      <c r="F77" s="776"/>
      <c r="G77" s="776"/>
      <c r="H77" s="774"/>
      <c r="I77" s="774"/>
      <c r="J77" s="774"/>
      <c r="K77" s="774"/>
      <c r="L77" s="299"/>
      <c r="M77" s="299"/>
      <c r="N77" s="299"/>
      <c r="O77" s="299"/>
      <c r="P77" s="299"/>
      <c r="Q77" s="299"/>
      <c r="R77" s="299"/>
      <c r="S77" s="299"/>
      <c r="T77" s="299"/>
      <c r="U77" s="299"/>
      <c r="V77" s="299"/>
      <c r="W77" s="299"/>
      <c r="X77" s="299"/>
      <c r="Y77" s="299"/>
      <c r="Z77" s="299"/>
      <c r="AA77" s="299"/>
      <c r="AB77" s="299"/>
      <c r="AC77" s="299"/>
    </row>
    <row r="78" spans="4:32" x14ac:dyDescent="0.3">
      <c r="D78" s="52"/>
    </row>
    <row r="79" spans="4:32" ht="14.5" customHeight="1" x14ac:dyDescent="0.3">
      <c r="D79" s="1146" t="s">
        <v>733</v>
      </c>
      <c r="E79" s="1147"/>
      <c r="F79" s="1044">
        <v>2019</v>
      </c>
      <c r="G79" s="1045"/>
      <c r="H79" s="1046"/>
      <c r="I79" s="1045">
        <v>2020</v>
      </c>
      <c r="J79" s="1045"/>
      <c r="K79" s="1045"/>
      <c r="L79" s="1045"/>
      <c r="M79" s="1044">
        <v>2021</v>
      </c>
      <c r="N79" s="1045"/>
      <c r="O79" s="1046"/>
      <c r="P79" s="868">
        <v>2021</v>
      </c>
      <c r="Q79" s="1051">
        <v>2022</v>
      </c>
      <c r="R79" s="1052"/>
      <c r="S79" s="1052"/>
      <c r="T79" s="1053"/>
      <c r="U79" s="1135">
        <v>2023</v>
      </c>
      <c r="V79" s="1136"/>
      <c r="W79" s="1136"/>
      <c r="X79" s="1136"/>
      <c r="Y79" s="1051">
        <v>2024</v>
      </c>
      <c r="Z79" s="1052"/>
      <c r="AA79" s="1052"/>
      <c r="AB79" s="1052"/>
      <c r="AC79" s="334">
        <v>2025</v>
      </c>
      <c r="AD79" s="53"/>
      <c r="AE79" s="53"/>
      <c r="AF79" s="53"/>
    </row>
    <row r="80" spans="4:32" x14ac:dyDescent="0.3">
      <c r="D80" s="1148"/>
      <c r="E80" s="1149"/>
      <c r="F80" s="167" t="s">
        <v>413</v>
      </c>
      <c r="G80" s="148" t="s">
        <v>298</v>
      </c>
      <c r="H80" s="155" t="s">
        <v>411</v>
      </c>
      <c r="I80" s="149" t="s">
        <v>412</v>
      </c>
      <c r="J80" s="149" t="s">
        <v>413</v>
      </c>
      <c r="K80" s="149" t="s">
        <v>298</v>
      </c>
      <c r="L80" s="149" t="s">
        <v>411</v>
      </c>
      <c r="M80" s="162" t="s">
        <v>412</v>
      </c>
      <c r="N80" s="149" t="s">
        <v>413</v>
      </c>
      <c r="O80" s="155" t="s">
        <v>298</v>
      </c>
      <c r="P80" s="61" t="s">
        <v>411</v>
      </c>
      <c r="Q80" s="58" t="s">
        <v>412</v>
      </c>
      <c r="R80" s="59" t="s">
        <v>413</v>
      </c>
      <c r="S80" s="59" t="s">
        <v>298</v>
      </c>
      <c r="T80" s="59" t="s">
        <v>411</v>
      </c>
      <c r="U80" s="58" t="s">
        <v>412</v>
      </c>
      <c r="V80" s="59" t="s">
        <v>413</v>
      </c>
      <c r="W80" s="59" t="s">
        <v>298</v>
      </c>
      <c r="X80" s="59" t="s">
        <v>411</v>
      </c>
      <c r="Y80" s="58" t="s">
        <v>412</v>
      </c>
      <c r="Z80" s="468" t="s">
        <v>413</v>
      </c>
      <c r="AA80" s="59" t="s">
        <v>298</v>
      </c>
      <c r="AB80" s="59" t="s">
        <v>411</v>
      </c>
      <c r="AC80" s="61" t="s">
        <v>412</v>
      </c>
    </row>
    <row r="81" spans="4:30" x14ac:dyDescent="0.3">
      <c r="D81" s="1150" t="s">
        <v>734</v>
      </c>
      <c r="E81" s="1151"/>
      <c r="F81" s="932"/>
      <c r="G81" s="787"/>
      <c r="H81" s="788"/>
      <c r="I81" s="788"/>
      <c r="J81" s="788"/>
      <c r="K81" s="788"/>
      <c r="L81" s="788"/>
      <c r="M81" s="788"/>
      <c r="N81" s="788"/>
      <c r="O81" s="789"/>
      <c r="P81" s="703"/>
      <c r="Q81" s="703"/>
      <c r="R81" s="703"/>
      <c r="S81" s="703"/>
      <c r="T81" s="703"/>
      <c r="U81" s="703"/>
      <c r="V81" s="703"/>
      <c r="W81" s="703"/>
      <c r="X81" s="703"/>
      <c r="Y81" s="703"/>
      <c r="Z81" s="703"/>
      <c r="AA81" s="703"/>
      <c r="AB81" s="703"/>
      <c r="AC81" s="574"/>
    </row>
    <row r="82" spans="4:30" x14ac:dyDescent="0.3">
      <c r="D82" s="144" t="s">
        <v>690</v>
      </c>
      <c r="F82" s="933"/>
      <c r="G82" s="294"/>
      <c r="H82" s="294">
        <f t="shared" ref="H82:N82" si="38">H10/H87</f>
        <v>0.11700680272108843</v>
      </c>
      <c r="I82" s="294">
        <f t="shared" si="38"/>
        <v>0.11639541892706451</v>
      </c>
      <c r="J82" s="294">
        <f t="shared" si="38"/>
        <v>0.11239828008954905</v>
      </c>
      <c r="K82" s="294">
        <f t="shared" si="38"/>
        <v>0.11278940368591048</v>
      </c>
      <c r="L82" s="294">
        <f t="shared" si="38"/>
        <v>0.11477868971624176</v>
      </c>
      <c r="M82" s="294">
        <f t="shared" si="38"/>
        <v>0.12176423015471204</v>
      </c>
      <c r="N82" s="294">
        <f t="shared" si="38"/>
        <v>0.12383839292021759</v>
      </c>
      <c r="O82" s="1011" t="e">
        <f t="shared" ref="O82" si="39">O10/O87</f>
        <v>#DIV/0!</v>
      </c>
      <c r="P82" s="437"/>
      <c r="Q82" s="437"/>
      <c r="R82" s="437"/>
      <c r="S82" s="437"/>
      <c r="T82" s="437"/>
      <c r="U82" s="437"/>
      <c r="V82" s="437"/>
      <c r="W82" s="437"/>
      <c r="X82" s="437"/>
      <c r="Y82" s="437"/>
      <c r="Z82" s="437"/>
      <c r="AA82" s="437"/>
      <c r="AB82" s="437"/>
      <c r="AC82" s="438"/>
    </row>
    <row r="83" spans="4:30" x14ac:dyDescent="0.3">
      <c r="D83" s="144" t="s">
        <v>691</v>
      </c>
      <c r="F83" s="933"/>
      <c r="G83" s="294"/>
      <c r="H83" s="294">
        <f t="shared" ref="H83:N84" si="40">H11/H92</f>
        <v>0.15069303583502366</v>
      </c>
      <c r="I83" s="294">
        <f t="shared" si="40"/>
        <v>0.15171645443092011</v>
      </c>
      <c r="J83" s="294">
        <f t="shared" si="40"/>
        <v>0.1549838512083751</v>
      </c>
      <c r="K83" s="294">
        <f t="shared" si="40"/>
        <v>0.15342762717447903</v>
      </c>
      <c r="L83" s="294">
        <f t="shared" si="40"/>
        <v>0.15189614637636717</v>
      </c>
      <c r="M83" s="294">
        <f t="shared" si="40"/>
        <v>0.15364604421410641</v>
      </c>
      <c r="N83" s="294">
        <f t="shared" si="40"/>
        <v>0.1531723014580271</v>
      </c>
      <c r="O83" s="1011" t="e">
        <f t="shared" ref="O83" si="41">O11/O92</f>
        <v>#VALUE!</v>
      </c>
      <c r="P83" s="437"/>
      <c r="Q83" s="437"/>
      <c r="R83" s="437"/>
      <c r="S83" s="437"/>
      <c r="T83" s="437"/>
      <c r="U83" s="437"/>
      <c r="V83" s="437"/>
      <c r="W83" s="437"/>
      <c r="X83" s="437"/>
      <c r="Y83" s="437"/>
      <c r="Z83" s="437"/>
      <c r="AA83" s="437"/>
      <c r="AB83" s="437"/>
      <c r="AC83" s="438"/>
    </row>
    <row r="84" spans="4:30" x14ac:dyDescent="0.3">
      <c r="D84" s="144" t="s">
        <v>692</v>
      </c>
      <c r="F84" s="933"/>
      <c r="G84" s="294"/>
      <c r="H84" s="294">
        <f t="shared" si="40"/>
        <v>1.2140112870976327E-2</v>
      </c>
      <c r="I84" s="294">
        <f t="shared" si="40"/>
        <v>1.2867838023145487E-2</v>
      </c>
      <c r="J84" s="294">
        <f t="shared" si="40"/>
        <v>1.0646897156978221E-2</v>
      </c>
      <c r="K84" s="294">
        <f t="shared" si="40"/>
        <v>1.0585008884971108E-2</v>
      </c>
      <c r="L84" s="294">
        <f t="shared" si="40"/>
        <v>1.0824186458016532E-2</v>
      </c>
      <c r="M84" s="294">
        <f t="shared" si="40"/>
        <v>1.1076012635451236E-2</v>
      </c>
      <c r="N84" s="294">
        <f t="shared" si="40"/>
        <v>1.1344639689649452E-2</v>
      </c>
      <c r="O84" s="1011" t="e">
        <f t="shared" ref="O84" si="42">O12/O93</f>
        <v>#VALUE!</v>
      </c>
      <c r="P84" s="437"/>
      <c r="Q84" s="437"/>
      <c r="R84" s="437"/>
      <c r="S84" s="437"/>
      <c r="T84" s="437"/>
      <c r="U84" s="437"/>
      <c r="V84" s="437"/>
      <c r="W84" s="437"/>
      <c r="X84" s="437"/>
      <c r="Y84" s="437"/>
      <c r="Z84" s="437"/>
      <c r="AA84" s="437"/>
      <c r="AB84" s="437"/>
      <c r="AC84" s="438"/>
    </row>
    <row r="85" spans="4:30" x14ac:dyDescent="0.3">
      <c r="D85" s="92" t="s">
        <v>693</v>
      </c>
      <c r="F85" s="933"/>
      <c r="G85" s="294"/>
      <c r="H85" s="294">
        <f t="shared" ref="H85:M85" si="43">H13/H94</f>
        <v>0.12172540768016833</v>
      </c>
      <c r="I85" s="294">
        <f t="shared" si="43"/>
        <v>9.8615712257453844E-2</v>
      </c>
      <c r="J85" s="294">
        <f t="shared" si="43"/>
        <v>0.10910512937495927</v>
      </c>
      <c r="K85" s="294">
        <f t="shared" si="43"/>
        <v>0.10686521958606764</v>
      </c>
      <c r="L85" s="294">
        <f t="shared" si="43"/>
        <v>0.11540630607536528</v>
      </c>
      <c r="M85" s="931">
        <f t="shared" si="43"/>
        <v>0.11817745803357314</v>
      </c>
      <c r="N85" s="930">
        <f>AVERAGE(J85:M85)</f>
        <v>0.11238852826749134</v>
      </c>
      <c r="O85" s="1011" t="s">
        <v>678</v>
      </c>
      <c r="P85" s="437"/>
      <c r="Q85" s="437"/>
      <c r="R85" s="437"/>
      <c r="S85" s="437"/>
      <c r="T85" s="437"/>
      <c r="U85" s="437"/>
      <c r="V85" s="437"/>
      <c r="W85" s="437"/>
      <c r="X85" s="437"/>
      <c r="Y85" s="437"/>
      <c r="Z85" s="437"/>
      <c r="AA85" s="437"/>
      <c r="AB85" s="437"/>
      <c r="AC85" s="438"/>
    </row>
    <row r="86" spans="4:30" x14ac:dyDescent="0.3">
      <c r="D86" s="570" t="s">
        <v>735</v>
      </c>
      <c r="F86" s="146"/>
      <c r="G86" s="43"/>
      <c r="H86" s="43"/>
      <c r="I86" s="43"/>
      <c r="J86" s="43"/>
      <c r="K86" s="43"/>
      <c r="L86" s="43"/>
      <c r="M86" s="43"/>
      <c r="N86" s="43"/>
      <c r="O86" s="275"/>
      <c r="P86" s="437"/>
      <c r="Q86" s="437"/>
      <c r="R86" s="437"/>
      <c r="S86" s="437"/>
      <c r="T86" s="437"/>
      <c r="U86" s="437"/>
      <c r="V86" s="437"/>
      <c r="W86" s="437"/>
      <c r="X86" s="437"/>
      <c r="Y86" s="437"/>
      <c r="Z86" s="437"/>
      <c r="AA86" s="437"/>
      <c r="AB86" s="437"/>
      <c r="AC86" s="438"/>
    </row>
    <row r="87" spans="4:30" x14ac:dyDescent="0.3">
      <c r="D87" s="163" t="s">
        <v>736</v>
      </c>
      <c r="F87" s="934">
        <f>SUM(F88:F91)</f>
        <v>14511.699999999999</v>
      </c>
      <c r="G87" s="805">
        <f t="shared" ref="G87:O87" si="44">SUM(G88:G91)</f>
        <v>14602.099999999999</v>
      </c>
      <c r="H87" s="805">
        <f t="shared" si="44"/>
        <v>14773.5</v>
      </c>
      <c r="I87" s="805">
        <f t="shared" si="44"/>
        <v>14931</v>
      </c>
      <c r="J87" s="805">
        <f t="shared" si="44"/>
        <v>14070.5</v>
      </c>
      <c r="K87" s="805">
        <f t="shared" si="44"/>
        <v>14737.2</v>
      </c>
      <c r="L87" s="805">
        <f t="shared" si="44"/>
        <v>15132.6</v>
      </c>
      <c r="M87" s="805">
        <f t="shared" si="44"/>
        <v>15208.900000000001</v>
      </c>
      <c r="N87" s="805">
        <f t="shared" si="44"/>
        <v>15571.099999999999</v>
      </c>
      <c r="O87" s="1012">
        <f t="shared" si="44"/>
        <v>0</v>
      </c>
      <c r="P87" s="437"/>
      <c r="Q87" s="437"/>
      <c r="R87" s="437"/>
      <c r="S87" s="437"/>
      <c r="T87" s="437"/>
      <c r="U87" s="437"/>
      <c r="V87" s="437"/>
      <c r="W87" s="437"/>
      <c r="X87" s="437"/>
      <c r="Y87" s="437"/>
      <c r="Z87" s="437"/>
      <c r="AA87" s="437"/>
      <c r="AB87" s="437"/>
      <c r="AC87" s="438"/>
    </row>
    <row r="88" spans="4:30" x14ac:dyDescent="0.3">
      <c r="D88" s="781" t="s">
        <v>737</v>
      </c>
      <c r="E88" s="34" t="s">
        <v>738</v>
      </c>
      <c r="F88" s="520">
        <v>9275.4</v>
      </c>
      <c r="G88" s="299">
        <v>9326.7999999999993</v>
      </c>
      <c r="H88" s="299">
        <v>9465.6</v>
      </c>
      <c r="I88" s="299">
        <v>9604.1</v>
      </c>
      <c r="J88" s="299">
        <v>8979</v>
      </c>
      <c r="K88" s="299">
        <v>9410.2999999999993</v>
      </c>
      <c r="L88" s="299">
        <v>9783</v>
      </c>
      <c r="M88" s="299">
        <v>9879.2000000000007</v>
      </c>
      <c r="N88" s="299">
        <v>10068.4</v>
      </c>
      <c r="O88" s="275" t="s">
        <v>678</v>
      </c>
      <c r="P88" s="937" t="s">
        <v>739</v>
      </c>
      <c r="Q88" s="437"/>
      <c r="R88" s="437"/>
      <c r="S88" s="437"/>
      <c r="T88" s="437"/>
      <c r="U88" s="437"/>
      <c r="V88" s="437"/>
      <c r="W88" s="437"/>
      <c r="X88" s="437"/>
      <c r="Y88" s="437"/>
      <c r="Z88" s="437"/>
      <c r="AA88" s="437"/>
      <c r="AB88" s="437"/>
      <c r="AC88" s="438"/>
    </row>
    <row r="89" spans="4:30" x14ac:dyDescent="0.3">
      <c r="D89" s="781" t="s">
        <v>740</v>
      </c>
      <c r="F89" s="520">
        <v>1572.8</v>
      </c>
      <c r="G89" s="299">
        <v>1610.6</v>
      </c>
      <c r="H89" s="299">
        <v>1626.8</v>
      </c>
      <c r="I89" s="299">
        <v>1638.3</v>
      </c>
      <c r="J89" s="299">
        <v>1471.1</v>
      </c>
      <c r="K89" s="299">
        <v>1760.7</v>
      </c>
      <c r="L89" s="299">
        <v>1730</v>
      </c>
      <c r="M89" s="299">
        <v>1714</v>
      </c>
      <c r="N89" s="299">
        <v>1846.9</v>
      </c>
      <c r="O89" s="275" t="s">
        <v>678</v>
      </c>
      <c r="P89" s="437"/>
      <c r="Q89" s="437"/>
      <c r="R89" s="437"/>
      <c r="S89" s="437"/>
      <c r="T89" s="437"/>
      <c r="U89" s="437"/>
      <c r="V89" s="437"/>
      <c r="W89" s="437"/>
      <c r="X89" s="437"/>
      <c r="Y89" s="437"/>
      <c r="Z89" s="437"/>
      <c r="AA89" s="437"/>
      <c r="AB89" s="437"/>
      <c r="AC89" s="438"/>
    </row>
    <row r="90" spans="4:30" x14ac:dyDescent="0.3">
      <c r="D90" s="781" t="s">
        <v>741</v>
      </c>
      <c r="F90" s="520">
        <v>691</v>
      </c>
      <c r="G90" s="299">
        <v>691.5</v>
      </c>
      <c r="H90" s="299">
        <v>699</v>
      </c>
      <c r="I90" s="299">
        <v>712.2</v>
      </c>
      <c r="J90" s="299">
        <v>709.5</v>
      </c>
      <c r="K90" s="299">
        <v>714.5</v>
      </c>
      <c r="L90" s="299">
        <v>710</v>
      </c>
      <c r="M90" s="299">
        <v>716.9</v>
      </c>
      <c r="N90" s="299">
        <v>719</v>
      </c>
      <c r="O90" s="275" t="s">
        <v>678</v>
      </c>
      <c r="P90" s="437"/>
      <c r="Q90" s="437"/>
      <c r="R90" s="437"/>
      <c r="S90" s="437"/>
      <c r="T90" s="437"/>
      <c r="U90" s="437"/>
      <c r="V90" s="437"/>
      <c r="W90" s="437"/>
      <c r="X90" s="437"/>
      <c r="Y90" s="437"/>
      <c r="Z90" s="437"/>
      <c r="AA90" s="437"/>
      <c r="AB90" s="437"/>
      <c r="AC90" s="438"/>
    </row>
    <row r="91" spans="4:30" x14ac:dyDescent="0.3">
      <c r="D91" s="781" t="s">
        <v>742</v>
      </c>
      <c r="F91" s="520">
        <v>2972.5</v>
      </c>
      <c r="G91" s="299">
        <v>2973.2</v>
      </c>
      <c r="H91" s="299">
        <v>2982.1</v>
      </c>
      <c r="I91" s="299">
        <v>2976.4</v>
      </c>
      <c r="J91" s="299">
        <v>2910.9</v>
      </c>
      <c r="K91" s="299">
        <v>2851.7</v>
      </c>
      <c r="L91" s="299">
        <v>2909.6</v>
      </c>
      <c r="M91" s="299">
        <v>2898.8</v>
      </c>
      <c r="N91" s="299">
        <v>2936.8</v>
      </c>
      <c r="O91" s="275" t="s">
        <v>678</v>
      </c>
      <c r="P91" s="437"/>
      <c r="Q91" s="437"/>
      <c r="R91" s="437"/>
      <c r="S91" s="437"/>
      <c r="T91" s="437"/>
      <c r="U91" s="437"/>
      <c r="V91" s="437"/>
      <c r="W91" s="437"/>
      <c r="X91" s="437"/>
      <c r="Y91" s="437"/>
      <c r="Z91" s="437"/>
      <c r="AA91" s="437"/>
      <c r="AB91" s="437"/>
      <c r="AC91" s="438"/>
    </row>
    <row r="92" spans="4:30" x14ac:dyDescent="0.3">
      <c r="D92" s="163" t="s">
        <v>720</v>
      </c>
      <c r="F92" s="934">
        <v>9275.4</v>
      </c>
      <c r="G92" s="805">
        <v>9326.7999999999993</v>
      </c>
      <c r="H92" s="805">
        <v>9465.6</v>
      </c>
      <c r="I92" s="805">
        <v>9604.1</v>
      </c>
      <c r="J92" s="805">
        <v>8979</v>
      </c>
      <c r="K92" s="805">
        <v>9410.2999999999993</v>
      </c>
      <c r="L92" s="805">
        <v>9783</v>
      </c>
      <c r="M92" s="805">
        <v>9879.2000000000007</v>
      </c>
      <c r="N92" s="805">
        <v>10068.4</v>
      </c>
      <c r="O92" s="275" t="s">
        <v>678</v>
      </c>
      <c r="P92" s="437"/>
      <c r="Q92" s="437"/>
      <c r="R92" s="437"/>
      <c r="S92" s="437"/>
      <c r="T92" s="437"/>
      <c r="U92" s="437"/>
      <c r="V92" s="437"/>
      <c r="W92" s="437"/>
      <c r="X92" s="437"/>
      <c r="Y92" s="437"/>
      <c r="Z92" s="437"/>
      <c r="AA92" s="437"/>
      <c r="AB92" s="437"/>
      <c r="AC92" s="438"/>
    </row>
    <row r="93" spans="4:30" x14ac:dyDescent="0.3">
      <c r="D93" s="163" t="s">
        <v>721</v>
      </c>
      <c r="F93" s="934">
        <v>14375.7</v>
      </c>
      <c r="G93" s="805">
        <v>14529.5</v>
      </c>
      <c r="H93" s="805">
        <v>14653.9</v>
      </c>
      <c r="I93" s="805">
        <v>14439.1</v>
      </c>
      <c r="J93" s="805">
        <v>12989.7</v>
      </c>
      <c r="K93" s="805">
        <v>14293.8</v>
      </c>
      <c r="L93" s="805">
        <v>14467.6</v>
      </c>
      <c r="M93" s="805">
        <v>15005.4</v>
      </c>
      <c r="N93" s="805">
        <v>15672.6</v>
      </c>
      <c r="O93" s="275" t="s">
        <v>678</v>
      </c>
      <c r="P93" s="437"/>
      <c r="Q93" s="437"/>
      <c r="R93" s="437"/>
      <c r="S93" s="437"/>
      <c r="T93" s="437"/>
      <c r="U93" s="437"/>
      <c r="V93" s="437"/>
      <c r="W93" s="437"/>
      <c r="X93" s="437"/>
      <c r="Y93" s="437"/>
      <c r="Z93" s="437"/>
      <c r="AA93" s="437"/>
      <c r="AB93" s="437"/>
      <c r="AC93" s="438"/>
    </row>
    <row r="94" spans="4:30" x14ac:dyDescent="0.3">
      <c r="D94" s="163" t="s">
        <v>743</v>
      </c>
      <c r="F94" s="934">
        <v>1858.1</v>
      </c>
      <c r="G94" s="805">
        <v>1859.3</v>
      </c>
      <c r="H94" s="805">
        <v>1901</v>
      </c>
      <c r="I94" s="805">
        <v>1690.4</v>
      </c>
      <c r="J94" s="805">
        <v>1534.3</v>
      </c>
      <c r="K94" s="805">
        <v>1981</v>
      </c>
      <c r="L94" s="805">
        <v>1950.5</v>
      </c>
      <c r="M94" s="805">
        <v>2085</v>
      </c>
      <c r="N94" s="299"/>
      <c r="O94" s="275"/>
      <c r="P94" s="437"/>
      <c r="Q94" s="437"/>
      <c r="R94" s="437"/>
      <c r="S94" s="437"/>
      <c r="T94" s="437"/>
      <c r="U94" s="437"/>
      <c r="V94" s="437"/>
      <c r="W94" s="437"/>
      <c r="X94" s="437"/>
      <c r="Y94" s="437"/>
      <c r="Z94" s="437"/>
      <c r="AA94" s="437"/>
      <c r="AB94" s="437"/>
      <c r="AC94" s="438"/>
    </row>
    <row r="95" spans="4:30" x14ac:dyDescent="0.3">
      <c r="D95" s="570" t="s">
        <v>744</v>
      </c>
      <c r="F95" s="146"/>
      <c r="G95" s="43"/>
      <c r="H95" s="43"/>
      <c r="I95" s="43"/>
      <c r="J95" s="43"/>
      <c r="K95" s="43"/>
      <c r="L95" s="43"/>
      <c r="M95" s="43"/>
      <c r="N95" s="43"/>
      <c r="O95" s="275"/>
      <c r="P95" s="437"/>
      <c r="Q95" s="437"/>
      <c r="R95" s="437"/>
      <c r="S95" s="437"/>
      <c r="T95" s="437"/>
      <c r="U95" s="437"/>
      <c r="V95" s="437"/>
      <c r="W95" s="437"/>
      <c r="X95" s="437"/>
      <c r="Y95" s="437"/>
      <c r="Z95" s="437"/>
      <c r="AA95" s="437"/>
      <c r="AB95" s="437"/>
      <c r="AC95" s="438"/>
    </row>
    <row r="96" spans="4:30" x14ac:dyDescent="0.3">
      <c r="D96" s="762" t="s">
        <v>694</v>
      </c>
      <c r="F96" s="758">
        <f>F17/F87</f>
        <v>3.5895174238717728E-2</v>
      </c>
      <c r="G96" s="374">
        <f t="shared" ref="G96:O96" si="45">G17/G87</f>
        <v>3.4063593592702418E-2</v>
      </c>
      <c r="H96" s="374">
        <f t="shared" si="45"/>
        <v>3.3485633059193824E-2</v>
      </c>
      <c r="I96" s="374">
        <f t="shared" si="45"/>
        <v>3.3741879311499565E-2</v>
      </c>
      <c r="J96" s="374">
        <f t="shared" si="45"/>
        <v>3.6779076791869515E-2</v>
      </c>
      <c r="K96" s="374">
        <f t="shared" si="45"/>
        <v>3.5257715169774446E-2</v>
      </c>
      <c r="L96" s="374">
        <f t="shared" si="45"/>
        <v>3.4547929635356772E-2</v>
      </c>
      <c r="M96" s="374">
        <f t="shared" si="45"/>
        <v>3.6833696059544084E-2</v>
      </c>
      <c r="N96" s="374">
        <f t="shared" si="45"/>
        <v>3.7659510246546492E-2</v>
      </c>
      <c r="O96" s="1011" t="e">
        <f t="shared" si="45"/>
        <v>#DIV/0!</v>
      </c>
      <c r="P96" s="790" t="e">
        <f t="shared" ref="P96:AC98" si="46">O96</f>
        <v>#DIV/0!</v>
      </c>
      <c r="Q96" s="790" t="e">
        <f t="shared" si="46"/>
        <v>#DIV/0!</v>
      </c>
      <c r="R96" s="790" t="e">
        <f t="shared" si="46"/>
        <v>#DIV/0!</v>
      </c>
      <c r="S96" s="790" t="e">
        <f t="shared" si="46"/>
        <v>#DIV/0!</v>
      </c>
      <c r="T96" s="790" t="e">
        <f t="shared" si="46"/>
        <v>#DIV/0!</v>
      </c>
      <c r="U96" s="790" t="e">
        <f t="shared" si="46"/>
        <v>#DIV/0!</v>
      </c>
      <c r="V96" s="790" t="e">
        <f t="shared" si="46"/>
        <v>#DIV/0!</v>
      </c>
      <c r="W96" s="790" t="e">
        <f t="shared" si="46"/>
        <v>#DIV/0!</v>
      </c>
      <c r="X96" s="790" t="e">
        <f t="shared" si="46"/>
        <v>#DIV/0!</v>
      </c>
      <c r="Y96" s="790" t="e">
        <f t="shared" si="46"/>
        <v>#DIV/0!</v>
      </c>
      <c r="Z96" s="790" t="e">
        <f t="shared" si="46"/>
        <v>#DIV/0!</v>
      </c>
      <c r="AA96" s="790" t="e">
        <f t="shared" si="46"/>
        <v>#DIV/0!</v>
      </c>
      <c r="AB96" s="790" t="e">
        <f t="shared" si="46"/>
        <v>#DIV/0!</v>
      </c>
      <c r="AC96" s="1013" t="e">
        <f t="shared" si="46"/>
        <v>#DIV/0!</v>
      </c>
      <c r="AD96" s="793"/>
    </row>
    <row r="97" spans="4:30" x14ac:dyDescent="0.3">
      <c r="D97" s="762" t="s">
        <v>691</v>
      </c>
      <c r="F97" s="758">
        <f>F18/F92</f>
        <v>2.2101472712767107E-3</v>
      </c>
      <c r="G97" s="374">
        <f t="shared" ref="G97:M97" si="47">G18/G92</f>
        <v>2.1765235664965477E-3</v>
      </c>
      <c r="H97" s="374">
        <f t="shared" si="47"/>
        <v>2.1340432724814063E-3</v>
      </c>
      <c r="I97" s="374">
        <f t="shared" si="47"/>
        <v>2.092856176008163E-3</v>
      </c>
      <c r="J97" s="374">
        <f t="shared" si="47"/>
        <v>2.1271856554181982E-3</v>
      </c>
      <c r="K97" s="374">
        <f t="shared" si="47"/>
        <v>2.1147041008256909E-3</v>
      </c>
      <c r="L97" s="374">
        <f t="shared" si="47"/>
        <v>2.0954717366860882E-3</v>
      </c>
      <c r="M97" s="374">
        <f t="shared" si="47"/>
        <v>2.1459227467811154E-3</v>
      </c>
      <c r="N97" s="374">
        <f>N18/N92</f>
        <v>2.1751221643955343E-3</v>
      </c>
      <c r="O97" s="1011" t="e">
        <f>O18/O92</f>
        <v>#VALUE!</v>
      </c>
      <c r="P97" s="790" t="e">
        <f t="shared" si="46"/>
        <v>#VALUE!</v>
      </c>
      <c r="Q97" s="790" t="e">
        <f t="shared" si="46"/>
        <v>#VALUE!</v>
      </c>
      <c r="R97" s="790" t="e">
        <f t="shared" si="46"/>
        <v>#VALUE!</v>
      </c>
      <c r="S97" s="790" t="e">
        <f t="shared" si="46"/>
        <v>#VALUE!</v>
      </c>
      <c r="T97" s="790" t="e">
        <f t="shared" si="46"/>
        <v>#VALUE!</v>
      </c>
      <c r="U97" s="790" t="e">
        <f t="shared" si="46"/>
        <v>#VALUE!</v>
      </c>
      <c r="V97" s="790" t="e">
        <f t="shared" si="46"/>
        <v>#VALUE!</v>
      </c>
      <c r="W97" s="790" t="e">
        <f t="shared" si="46"/>
        <v>#VALUE!</v>
      </c>
      <c r="X97" s="790" t="e">
        <f t="shared" si="46"/>
        <v>#VALUE!</v>
      </c>
      <c r="Y97" s="790" t="e">
        <f t="shared" si="46"/>
        <v>#VALUE!</v>
      </c>
      <c r="Z97" s="790" t="e">
        <f t="shared" si="46"/>
        <v>#VALUE!</v>
      </c>
      <c r="AA97" s="790" t="e">
        <f t="shared" si="46"/>
        <v>#VALUE!</v>
      </c>
      <c r="AB97" s="790" t="e">
        <f t="shared" si="46"/>
        <v>#VALUE!</v>
      </c>
      <c r="AC97" s="1013" t="e">
        <f t="shared" si="46"/>
        <v>#VALUE!</v>
      </c>
      <c r="AD97" s="793"/>
    </row>
    <row r="98" spans="4:30" x14ac:dyDescent="0.3">
      <c r="D98" s="762" t="s">
        <v>692</v>
      </c>
      <c r="F98" s="758">
        <f>F19/F93</f>
        <v>9.3818040165000657E-2</v>
      </c>
      <c r="G98" s="374">
        <f t="shared" ref="G98:M98" si="48">G19/G93</f>
        <v>9.4435458893974325E-2</v>
      </c>
      <c r="H98" s="374">
        <f t="shared" si="48"/>
        <v>9.406369635387167E-2</v>
      </c>
      <c r="I98" s="374">
        <f t="shared" si="48"/>
        <v>9.635642110657866E-2</v>
      </c>
      <c r="J98" s="374">
        <f t="shared" si="48"/>
        <v>0.10178833999245555</v>
      </c>
      <c r="K98" s="374">
        <f t="shared" si="48"/>
        <v>9.7433852439519242E-2</v>
      </c>
      <c r="L98" s="374">
        <f t="shared" si="48"/>
        <v>9.6795598440653607E-2</v>
      </c>
      <c r="M98" s="374">
        <f t="shared" si="48"/>
        <v>9.4226078611699793E-2</v>
      </c>
      <c r="N98" s="374">
        <f>N19/N93</f>
        <v>9.3060500491303294E-2</v>
      </c>
      <c r="O98" s="1011" t="e">
        <f>O19/O93</f>
        <v>#VALUE!</v>
      </c>
      <c r="P98" s="790" t="e">
        <f t="shared" si="46"/>
        <v>#VALUE!</v>
      </c>
      <c r="Q98" s="790" t="e">
        <f t="shared" si="46"/>
        <v>#VALUE!</v>
      </c>
      <c r="R98" s="790" t="e">
        <f t="shared" si="46"/>
        <v>#VALUE!</v>
      </c>
      <c r="S98" s="790" t="e">
        <f t="shared" si="46"/>
        <v>#VALUE!</v>
      </c>
      <c r="T98" s="790" t="e">
        <f t="shared" si="46"/>
        <v>#VALUE!</v>
      </c>
      <c r="U98" s="790" t="e">
        <f t="shared" si="46"/>
        <v>#VALUE!</v>
      </c>
      <c r="V98" s="790" t="e">
        <f t="shared" si="46"/>
        <v>#VALUE!</v>
      </c>
      <c r="W98" s="790" t="e">
        <f t="shared" si="46"/>
        <v>#VALUE!</v>
      </c>
      <c r="X98" s="790" t="e">
        <f t="shared" si="46"/>
        <v>#VALUE!</v>
      </c>
      <c r="Y98" s="790" t="e">
        <f t="shared" si="46"/>
        <v>#VALUE!</v>
      </c>
      <c r="Z98" s="790" t="e">
        <f t="shared" si="46"/>
        <v>#VALUE!</v>
      </c>
      <c r="AA98" s="790" t="e">
        <f t="shared" si="46"/>
        <v>#VALUE!</v>
      </c>
      <c r="AB98" s="790" t="e">
        <f t="shared" si="46"/>
        <v>#VALUE!</v>
      </c>
      <c r="AC98" s="1013" t="e">
        <f t="shared" si="46"/>
        <v>#VALUE!</v>
      </c>
      <c r="AD98" s="793"/>
    </row>
    <row r="99" spans="4:30" x14ac:dyDescent="0.3">
      <c r="D99" s="763" t="s">
        <v>745</v>
      </c>
      <c r="E99" s="42"/>
      <c r="F99" s="682">
        <f>F20/F94</f>
        <v>3.9179807330068352E-2</v>
      </c>
      <c r="G99" s="289">
        <f t="shared" ref="G99:M99" si="49">G20/G94</f>
        <v>3.9315871564567305E-2</v>
      </c>
      <c r="H99" s="289">
        <f t="shared" si="49"/>
        <v>3.8085218306154661E-2</v>
      </c>
      <c r="I99" s="289">
        <f t="shared" si="49"/>
        <v>3.9339801230477991E-2</v>
      </c>
      <c r="J99" s="289">
        <f t="shared" si="49"/>
        <v>4.0344130874014207E-2</v>
      </c>
      <c r="K99" s="289">
        <f t="shared" si="49"/>
        <v>3.8768298838970212E-2</v>
      </c>
      <c r="L99" s="289">
        <f t="shared" si="49"/>
        <v>4.039989746218918E-2</v>
      </c>
      <c r="M99" s="289">
        <f t="shared" si="49"/>
        <v>4.100719424460432E-2</v>
      </c>
      <c r="N99" s="935">
        <f>M99</f>
        <v>4.100719424460432E-2</v>
      </c>
      <c r="O99" s="936" t="s">
        <v>678</v>
      </c>
      <c r="P99" s="791" t="str">
        <f>O99</f>
        <v>?</v>
      </c>
      <c r="Q99" s="791" t="str">
        <f t="shared" ref="Q99:AC99" si="50">P99</f>
        <v>?</v>
      </c>
      <c r="R99" s="791" t="str">
        <f t="shared" si="50"/>
        <v>?</v>
      </c>
      <c r="S99" s="791" t="str">
        <f t="shared" si="50"/>
        <v>?</v>
      </c>
      <c r="T99" s="791" t="str">
        <f t="shared" si="50"/>
        <v>?</v>
      </c>
      <c r="U99" s="791" t="str">
        <f t="shared" si="50"/>
        <v>?</v>
      </c>
      <c r="V99" s="791" t="str">
        <f t="shared" si="50"/>
        <v>?</v>
      </c>
      <c r="W99" s="791" t="str">
        <f t="shared" si="50"/>
        <v>?</v>
      </c>
      <c r="X99" s="791" t="str">
        <f t="shared" si="50"/>
        <v>?</v>
      </c>
      <c r="Y99" s="791" t="str">
        <f t="shared" si="50"/>
        <v>?</v>
      </c>
      <c r="Z99" s="791" t="str">
        <f t="shared" si="50"/>
        <v>?</v>
      </c>
      <c r="AA99" s="791" t="str">
        <f t="shared" si="50"/>
        <v>?</v>
      </c>
      <c r="AB99" s="791" t="str">
        <f t="shared" si="50"/>
        <v>?</v>
      </c>
      <c r="AC99" s="792" t="str">
        <f t="shared" si="50"/>
        <v>?</v>
      </c>
      <c r="AD99" s="793"/>
    </row>
    <row r="101" spans="4:30" ht="18.649999999999999" customHeight="1" x14ac:dyDescent="0.3"/>
  </sheetData>
  <mergeCells count="28">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 ref="D81:E81"/>
    <mergeCell ref="Q79:T79"/>
    <mergeCell ref="U79:X79"/>
    <mergeCell ref="O33:R33"/>
    <mergeCell ref="I69:L69"/>
    <mergeCell ref="Q69:T69"/>
    <mergeCell ref="U69:X69"/>
    <mergeCell ref="M69:O69"/>
    <mergeCell ref="Y79:AB79"/>
    <mergeCell ref="F79:H79"/>
    <mergeCell ref="I79:L79"/>
    <mergeCell ref="D79:E80"/>
    <mergeCell ref="M79:O79"/>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0"/>
  <sheetViews>
    <sheetView zoomScale="110" workbookViewId="0">
      <pane xSplit="1" ySplit="1" topLeftCell="GO2" activePane="bottomRight" state="frozen"/>
      <selection pane="topRight" activeCell="B1" sqref="B1"/>
      <selection pane="bottomLeft" activeCell="A2" sqref="A2"/>
      <selection pane="bottomRight" activeCell="GY2" sqref="GY2"/>
    </sheetView>
  </sheetViews>
  <sheetFormatPr defaultColWidth="10.81640625" defaultRowHeight="14.5" x14ac:dyDescent="0.35"/>
  <sheetData>
    <row r="1" spans="1:208" x14ac:dyDescent="0.35">
      <c r="A1" t="s">
        <v>230</v>
      </c>
      <c r="B1" t="s">
        <v>746</v>
      </c>
      <c r="C1" t="s">
        <v>747</v>
      </c>
      <c r="D1" t="s">
        <v>748</v>
      </c>
      <c r="E1" t="s">
        <v>749</v>
      </c>
      <c r="F1" t="s">
        <v>750</v>
      </c>
      <c r="G1" t="s">
        <v>751</v>
      </c>
      <c r="H1" t="s">
        <v>752</v>
      </c>
      <c r="I1" t="s">
        <v>753</v>
      </c>
      <c r="J1" t="s">
        <v>754</v>
      </c>
      <c r="K1" t="s">
        <v>755</v>
      </c>
      <c r="L1" t="s">
        <v>756</v>
      </c>
      <c r="M1" t="s">
        <v>757</v>
      </c>
      <c r="N1" t="s">
        <v>758</v>
      </c>
      <c r="O1" t="s">
        <v>759</v>
      </c>
      <c r="P1" t="s">
        <v>760</v>
      </c>
      <c r="Q1" t="s">
        <v>761</v>
      </c>
      <c r="R1" t="s">
        <v>762</v>
      </c>
      <c r="S1" t="s">
        <v>763</v>
      </c>
      <c r="T1" t="s">
        <v>764</v>
      </c>
      <c r="U1" t="s">
        <v>765</v>
      </c>
      <c r="V1" t="s">
        <v>766</v>
      </c>
      <c r="W1" t="s">
        <v>767</v>
      </c>
      <c r="X1" t="s">
        <v>768</v>
      </c>
      <c r="Y1" t="s">
        <v>769</v>
      </c>
      <c r="Z1" t="s">
        <v>770</v>
      </c>
      <c r="AA1" t="s">
        <v>771</v>
      </c>
      <c r="AB1" t="s">
        <v>772</v>
      </c>
      <c r="AC1" t="s">
        <v>773</v>
      </c>
      <c r="AD1" t="s">
        <v>774</v>
      </c>
      <c r="AE1" t="s">
        <v>775</v>
      </c>
      <c r="AF1" t="s">
        <v>776</v>
      </c>
      <c r="AG1" t="s">
        <v>777</v>
      </c>
      <c r="AH1" t="s">
        <v>778</v>
      </c>
      <c r="AI1" t="s">
        <v>779</v>
      </c>
      <c r="AJ1" t="s">
        <v>780</v>
      </c>
      <c r="AK1" t="s">
        <v>781</v>
      </c>
      <c r="AL1" t="s">
        <v>782</v>
      </c>
      <c r="AM1" t="s">
        <v>783</v>
      </c>
      <c r="AN1" t="s">
        <v>784</v>
      </c>
      <c r="AO1" t="s">
        <v>785</v>
      </c>
      <c r="AP1" t="s">
        <v>786</v>
      </c>
      <c r="AQ1" t="s">
        <v>787</v>
      </c>
      <c r="AR1" t="s">
        <v>788</v>
      </c>
      <c r="AS1" t="s">
        <v>789</v>
      </c>
      <c r="AT1" t="s">
        <v>790</v>
      </c>
      <c r="AU1" t="s">
        <v>791</v>
      </c>
      <c r="AV1" t="s">
        <v>792</v>
      </c>
      <c r="AW1" t="s">
        <v>793</v>
      </c>
      <c r="AX1" t="s">
        <v>794</v>
      </c>
      <c r="AY1" t="s">
        <v>795</v>
      </c>
      <c r="AZ1" t="s">
        <v>796</v>
      </c>
      <c r="BA1" t="s">
        <v>797</v>
      </c>
      <c r="BB1" t="s">
        <v>798</v>
      </c>
      <c r="BC1" t="s">
        <v>799</v>
      </c>
      <c r="BD1" t="s">
        <v>800</v>
      </c>
      <c r="BE1" t="s">
        <v>801</v>
      </c>
      <c r="BF1" t="s">
        <v>802</v>
      </c>
      <c r="BG1" t="s">
        <v>803</v>
      </c>
      <c r="BH1" t="s">
        <v>804</v>
      </c>
      <c r="BI1" t="s">
        <v>805</v>
      </c>
      <c r="BJ1" t="s">
        <v>806</v>
      </c>
      <c r="BK1" t="s">
        <v>807</v>
      </c>
      <c r="BL1" t="s">
        <v>808</v>
      </c>
      <c r="BM1" t="s">
        <v>809</v>
      </c>
      <c r="BN1" t="s">
        <v>810</v>
      </c>
      <c r="BO1" t="s">
        <v>811</v>
      </c>
      <c r="BP1" t="s">
        <v>812</v>
      </c>
      <c r="BQ1" t="s">
        <v>813</v>
      </c>
      <c r="BR1" t="s">
        <v>814</v>
      </c>
      <c r="BS1" t="s">
        <v>815</v>
      </c>
      <c r="BT1" t="s">
        <v>816</v>
      </c>
      <c r="BU1" t="s">
        <v>817</v>
      </c>
      <c r="BV1" t="s">
        <v>818</v>
      </c>
      <c r="BW1" t="s">
        <v>819</v>
      </c>
      <c r="BX1" t="s">
        <v>820</v>
      </c>
      <c r="BY1" t="s">
        <v>821</v>
      </c>
      <c r="BZ1" t="s">
        <v>822</v>
      </c>
      <c r="CA1" t="s">
        <v>823</v>
      </c>
      <c r="CB1" t="s">
        <v>824</v>
      </c>
      <c r="CC1" t="s">
        <v>825</v>
      </c>
      <c r="CD1" t="s">
        <v>826</v>
      </c>
      <c r="CE1" t="s">
        <v>827</v>
      </c>
      <c r="CF1" t="s">
        <v>828</v>
      </c>
      <c r="CG1" t="s">
        <v>829</v>
      </c>
      <c r="CH1" t="s">
        <v>830</v>
      </c>
      <c r="CI1" t="s">
        <v>831</v>
      </c>
      <c r="CJ1" t="s">
        <v>832</v>
      </c>
      <c r="CK1" t="s">
        <v>833</v>
      </c>
      <c r="CL1" t="s">
        <v>834</v>
      </c>
      <c r="CM1" t="s">
        <v>835</v>
      </c>
      <c r="CN1" t="s">
        <v>836</v>
      </c>
      <c r="CO1" t="s">
        <v>837</v>
      </c>
      <c r="CP1" t="s">
        <v>838</v>
      </c>
      <c r="CQ1" t="s">
        <v>839</v>
      </c>
      <c r="CR1" t="s">
        <v>840</v>
      </c>
      <c r="CS1" t="s">
        <v>841</v>
      </c>
      <c r="CT1" t="s">
        <v>842</v>
      </c>
      <c r="CU1" t="s">
        <v>843</v>
      </c>
      <c r="CV1" t="s">
        <v>844</v>
      </c>
      <c r="CW1" t="s">
        <v>845</v>
      </c>
      <c r="CX1" t="s">
        <v>846</v>
      </c>
      <c r="CY1" t="s">
        <v>847</v>
      </c>
      <c r="CZ1" t="s">
        <v>848</v>
      </c>
      <c r="DA1" t="s">
        <v>849</v>
      </c>
      <c r="DB1" t="s">
        <v>850</v>
      </c>
      <c r="DC1" t="s">
        <v>851</v>
      </c>
      <c r="DD1" t="s">
        <v>852</v>
      </c>
      <c r="DE1" t="s">
        <v>853</v>
      </c>
      <c r="DF1" t="s">
        <v>854</v>
      </c>
      <c r="DG1" t="s">
        <v>855</v>
      </c>
      <c r="DH1" t="s">
        <v>856</v>
      </c>
      <c r="DI1" t="s">
        <v>857</v>
      </c>
      <c r="DJ1" t="s">
        <v>858</v>
      </c>
      <c r="DK1" t="s">
        <v>859</v>
      </c>
      <c r="DL1" t="s">
        <v>860</v>
      </c>
      <c r="DM1" t="s">
        <v>861</v>
      </c>
      <c r="DN1" t="s">
        <v>862</v>
      </c>
      <c r="DO1" t="s">
        <v>863</v>
      </c>
      <c r="DP1" t="s">
        <v>864</v>
      </c>
      <c r="DQ1" t="s">
        <v>865</v>
      </c>
      <c r="DR1" t="s">
        <v>866</v>
      </c>
      <c r="DS1" t="s">
        <v>867</v>
      </c>
      <c r="DT1" t="s">
        <v>868</v>
      </c>
      <c r="DU1" t="s">
        <v>869</v>
      </c>
      <c r="DV1" t="s">
        <v>870</v>
      </c>
      <c r="DW1" t="s">
        <v>871</v>
      </c>
      <c r="DX1" t="s">
        <v>872</v>
      </c>
      <c r="DY1" t="s">
        <v>873</v>
      </c>
      <c r="DZ1" t="s">
        <v>874</v>
      </c>
      <c r="EA1" t="s">
        <v>875</v>
      </c>
      <c r="EB1" t="s">
        <v>876</v>
      </c>
      <c r="EC1" t="s">
        <v>877</v>
      </c>
      <c r="ED1" t="s">
        <v>878</v>
      </c>
      <c r="EE1" t="s">
        <v>879</v>
      </c>
      <c r="EF1" t="s">
        <v>880</v>
      </c>
      <c r="EG1" t="s">
        <v>881</v>
      </c>
      <c r="EH1" t="s">
        <v>882</v>
      </c>
      <c r="EI1" t="s">
        <v>883</v>
      </c>
      <c r="EJ1" t="s">
        <v>884</v>
      </c>
      <c r="EK1" t="s">
        <v>885</v>
      </c>
      <c r="EL1" t="s">
        <v>886</v>
      </c>
      <c r="EM1" t="s">
        <v>887</v>
      </c>
      <c r="EN1" t="s">
        <v>888</v>
      </c>
      <c r="EO1" t="s">
        <v>889</v>
      </c>
      <c r="EP1" t="s">
        <v>890</v>
      </c>
      <c r="EQ1" t="s">
        <v>891</v>
      </c>
      <c r="ER1" t="s">
        <v>892</v>
      </c>
      <c r="ES1" t="s">
        <v>893</v>
      </c>
      <c r="ET1" t="s">
        <v>894</v>
      </c>
      <c r="EU1" t="s">
        <v>895</v>
      </c>
      <c r="EV1" t="s">
        <v>896</v>
      </c>
      <c r="EW1" t="s">
        <v>897</v>
      </c>
      <c r="EX1" t="s">
        <v>898</v>
      </c>
      <c r="EY1" t="s">
        <v>899</v>
      </c>
      <c r="EZ1" t="s">
        <v>900</v>
      </c>
      <c r="FA1" t="s">
        <v>901</v>
      </c>
      <c r="FB1" t="s">
        <v>902</v>
      </c>
      <c r="FC1" t="s">
        <v>903</v>
      </c>
      <c r="FD1" t="s">
        <v>904</v>
      </c>
      <c r="FE1" t="s">
        <v>905</v>
      </c>
      <c r="FF1" t="s">
        <v>906</v>
      </c>
      <c r="FG1" t="s">
        <v>907</v>
      </c>
      <c r="FH1" t="s">
        <v>908</v>
      </c>
      <c r="FI1" t="s">
        <v>909</v>
      </c>
      <c r="FJ1" t="s">
        <v>910</v>
      </c>
      <c r="FK1" t="s">
        <v>911</v>
      </c>
      <c r="FL1" t="s">
        <v>912</v>
      </c>
      <c r="FM1" t="s">
        <v>913</v>
      </c>
      <c r="FN1" t="s">
        <v>914</v>
      </c>
      <c r="FO1" t="s">
        <v>915</v>
      </c>
      <c r="FP1" t="s">
        <v>916</v>
      </c>
      <c r="FQ1" t="s">
        <v>917</v>
      </c>
      <c r="FR1" t="s">
        <v>918</v>
      </c>
      <c r="FS1" t="s">
        <v>919</v>
      </c>
      <c r="FT1" t="s">
        <v>920</v>
      </c>
      <c r="FU1" t="s">
        <v>921</v>
      </c>
      <c r="FV1" t="s">
        <v>922</v>
      </c>
      <c r="FW1" t="s">
        <v>923</v>
      </c>
      <c r="FX1" t="s">
        <v>924</v>
      </c>
      <c r="FY1" t="s">
        <v>925</v>
      </c>
      <c r="FZ1" t="s">
        <v>926</v>
      </c>
      <c r="GA1" t="s">
        <v>927</v>
      </c>
      <c r="GB1" t="s">
        <v>928</v>
      </c>
      <c r="GC1" t="s">
        <v>929</v>
      </c>
      <c r="GD1" t="s">
        <v>930</v>
      </c>
      <c r="GE1" t="s">
        <v>931</v>
      </c>
      <c r="GF1" t="s">
        <v>932</v>
      </c>
      <c r="GG1" t="s">
        <v>933</v>
      </c>
      <c r="GH1" t="s">
        <v>934</v>
      </c>
      <c r="GI1" t="s">
        <v>935</v>
      </c>
      <c r="GJ1" t="s">
        <v>936</v>
      </c>
      <c r="GK1" t="s">
        <v>937</v>
      </c>
      <c r="GL1" t="s">
        <v>938</v>
      </c>
      <c r="GM1" t="s">
        <v>939</v>
      </c>
      <c r="GN1" t="s">
        <v>940</v>
      </c>
      <c r="GO1" t="s">
        <v>941</v>
      </c>
      <c r="GP1" t="s">
        <v>942</v>
      </c>
      <c r="GQ1" t="s">
        <v>943</v>
      </c>
      <c r="GR1" t="s">
        <v>944</v>
      </c>
      <c r="GS1" t="s">
        <v>945</v>
      </c>
      <c r="GT1" t="s">
        <v>946</v>
      </c>
      <c r="GU1" t="s">
        <v>376</v>
      </c>
      <c r="GV1" t="s">
        <v>377</v>
      </c>
      <c r="GW1" t="s">
        <v>378</v>
      </c>
      <c r="GX1" t="s">
        <v>379</v>
      </c>
      <c r="GY1" t="s">
        <v>380</v>
      </c>
      <c r="GZ1" t="s">
        <v>232</v>
      </c>
    </row>
    <row r="2" spans="1:208" x14ac:dyDescent="0.35">
      <c r="A2" t="s">
        <v>947</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row>
    <row r="3" spans="1:208" x14ac:dyDescent="0.35">
      <c r="A3" t="s">
        <v>948</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row>
    <row r="4" spans="1:208" x14ac:dyDescent="0.35">
      <c r="A4" t="s">
        <v>949</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row>
    <row r="5" spans="1:208" x14ac:dyDescent="0.35">
      <c r="A5" t="s">
        <v>950</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row>
    <row r="6" spans="1:208" x14ac:dyDescent="0.35">
      <c r="A6" t="s">
        <v>951</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row>
    <row r="7" spans="1:208" x14ac:dyDescent="0.35">
      <c r="A7" t="s">
        <v>952</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row>
    <row r="8" spans="1:208" x14ac:dyDescent="0.35">
      <c r="A8" t="s">
        <v>953</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row>
    <row r="9" spans="1:208" x14ac:dyDescent="0.35">
      <c r="A9" t="s">
        <v>954</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row>
    <row r="10" spans="1:208" x14ac:dyDescent="0.35">
      <c r="A10" t="s">
        <v>955</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row>
    <row r="11" spans="1:208" x14ac:dyDescent="0.35">
      <c r="A11" t="s">
        <v>956</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row>
    <row r="12" spans="1:208" x14ac:dyDescent="0.35">
      <c r="A12" t="s">
        <v>625</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row>
    <row r="13" spans="1:208" x14ac:dyDescent="0.35">
      <c r="A13" t="s">
        <v>595</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row>
    <row r="14" spans="1:208" x14ac:dyDescent="0.35">
      <c r="A14" t="s">
        <v>414</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row>
    <row r="15" spans="1:208" x14ac:dyDescent="0.35">
      <c r="A15" t="s">
        <v>957</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row>
    <row r="16" spans="1:208" x14ac:dyDescent="0.35">
      <c r="A16" t="s">
        <v>958</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row>
    <row r="17" spans="1:207" x14ac:dyDescent="0.35">
      <c r="A17" t="s">
        <v>959</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row>
    <row r="18" spans="1:207" x14ac:dyDescent="0.35">
      <c r="A18" t="s">
        <v>960</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row>
    <row r="19" spans="1:207" x14ac:dyDescent="0.35">
      <c r="A19" t="s">
        <v>961</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row>
    <row r="20" spans="1:207" x14ac:dyDescent="0.35">
      <c r="A20" t="s">
        <v>962</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row>
    <row r="21" spans="1:207" x14ac:dyDescent="0.35">
      <c r="A21" t="s">
        <v>963</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row>
    <row r="22" spans="1:207" x14ac:dyDescent="0.35">
      <c r="A22" t="s">
        <v>964</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row>
    <row r="23" spans="1:207" x14ac:dyDescent="0.35">
      <c r="A23" t="s">
        <v>530</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row>
    <row r="24" spans="1:207" x14ac:dyDescent="0.35">
      <c r="A24" t="s">
        <v>540</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row>
    <row r="25" spans="1:207" x14ac:dyDescent="0.35">
      <c r="A25" t="s">
        <v>965</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row>
    <row r="26" spans="1:207" x14ac:dyDescent="0.35">
      <c r="A26" t="s">
        <v>966</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row>
    <row r="27" spans="1:207" x14ac:dyDescent="0.35">
      <c r="A27" t="s">
        <v>165</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row>
    <row r="28" spans="1:207" x14ac:dyDescent="0.35">
      <c r="A28" t="s">
        <v>167</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row>
    <row r="29" spans="1:207" x14ac:dyDescent="0.35">
      <c r="A29" t="s">
        <v>169</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row>
    <row r="30" spans="1:207" x14ac:dyDescent="0.35">
      <c r="A30" t="s">
        <v>171</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row>
    <row r="31" spans="1:207" x14ac:dyDescent="0.35">
      <c r="A31" t="s">
        <v>649</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row>
    <row r="32" spans="1:207" x14ac:dyDescent="0.35">
      <c r="A32" t="s">
        <v>478</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row>
    <row r="33" spans="1:207" x14ac:dyDescent="0.35">
      <c r="A33" t="s">
        <v>695</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row>
    <row r="34" spans="1:207" x14ac:dyDescent="0.35">
      <c r="A34" t="s">
        <v>697</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row>
    <row r="35" spans="1:207" x14ac:dyDescent="0.35">
      <c r="A35" t="s">
        <v>698</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row>
    <row r="36" spans="1:207" x14ac:dyDescent="0.35">
      <c r="A36" t="s">
        <v>696</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row>
    <row r="37" spans="1:207" x14ac:dyDescent="0.35">
      <c r="A37" t="s">
        <v>663</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row>
    <row r="38" spans="1:207" x14ac:dyDescent="0.35">
      <c r="A38" t="s">
        <v>967</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row>
    <row r="39" spans="1:207" x14ac:dyDescent="0.35">
      <c r="A39" t="s">
        <v>968</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row>
    <row r="40" spans="1:207" x14ac:dyDescent="0.35">
      <c r="A40" t="s">
        <v>479</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row>
    <row r="41" spans="1:207" x14ac:dyDescent="0.35">
      <c r="A41" t="s">
        <v>526</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row>
    <row r="42" spans="1:207" x14ac:dyDescent="0.35">
      <c r="A42" t="s">
        <v>969</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row>
    <row r="43" spans="1:207" x14ac:dyDescent="0.35">
      <c r="A43" t="s">
        <v>970</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row>
    <row r="44" spans="1:207" x14ac:dyDescent="0.35">
      <c r="A44" t="s">
        <v>971</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row>
    <row r="45" spans="1:207" x14ac:dyDescent="0.35">
      <c r="A45" t="s">
        <v>640</v>
      </c>
      <c r="GU45">
        <v>1078.0999999999999</v>
      </c>
      <c r="GV45">
        <v>15.6</v>
      </c>
      <c r="GW45">
        <v>5</v>
      </c>
      <c r="GX45">
        <v>1933.7</v>
      </c>
      <c r="GY45">
        <v>290.10000000000002</v>
      </c>
    </row>
    <row r="46" spans="1:207" x14ac:dyDescent="0.35">
      <c r="A46" t="s">
        <v>972</v>
      </c>
      <c r="GU46">
        <v>9.6</v>
      </c>
      <c r="GV46">
        <v>14.4</v>
      </c>
      <c r="GW46">
        <v>14.3</v>
      </c>
      <c r="GX46">
        <v>14.2</v>
      </c>
      <c r="GY46">
        <v>14.1</v>
      </c>
    </row>
    <row r="47" spans="1:207" x14ac:dyDescent="0.35">
      <c r="A47" t="s">
        <v>460</v>
      </c>
      <c r="GU47">
        <v>57.2</v>
      </c>
      <c r="GV47">
        <v>81.2</v>
      </c>
      <c r="GW47">
        <v>24.4</v>
      </c>
      <c r="GX47">
        <v>10.8</v>
      </c>
      <c r="GY47">
        <v>24.7</v>
      </c>
    </row>
    <row r="48" spans="1:207" x14ac:dyDescent="0.35">
      <c r="A48" t="s">
        <v>438</v>
      </c>
      <c r="GT48">
        <v>1.5</v>
      </c>
      <c r="GU48">
        <v>160.9</v>
      </c>
      <c r="GV48">
        <v>58.4</v>
      </c>
      <c r="GW48">
        <v>34.5</v>
      </c>
      <c r="GX48">
        <v>42.8</v>
      </c>
      <c r="GY48">
        <v>26.6</v>
      </c>
    </row>
    <row r="49" spans="1:207" x14ac:dyDescent="0.35">
      <c r="A49" t="s">
        <v>462</v>
      </c>
      <c r="GU49">
        <v>576.9</v>
      </c>
      <c r="GV49">
        <v>819.5</v>
      </c>
      <c r="GW49">
        <v>246.3</v>
      </c>
      <c r="GX49">
        <v>184.6</v>
      </c>
      <c r="GY49">
        <v>427.2</v>
      </c>
    </row>
    <row r="50" spans="1:207" x14ac:dyDescent="0.35">
      <c r="A50" t="s">
        <v>574</v>
      </c>
      <c r="GU50">
        <v>63.8</v>
      </c>
      <c r="GV50">
        <v>15</v>
      </c>
      <c r="GW50">
        <v>0.1</v>
      </c>
      <c r="GX50">
        <v>38</v>
      </c>
      <c r="GY50">
        <v>47.3</v>
      </c>
    </row>
    <row r="51" spans="1:207" x14ac:dyDescent="0.35">
      <c r="A51" t="s">
        <v>573</v>
      </c>
      <c r="GU51">
        <v>73.3</v>
      </c>
      <c r="GV51">
        <v>73.3</v>
      </c>
      <c r="GW51">
        <v>73.3</v>
      </c>
      <c r="GX51">
        <v>62.9</v>
      </c>
      <c r="GY51">
        <v>62.9</v>
      </c>
    </row>
    <row r="52" spans="1:207" x14ac:dyDescent="0.35">
      <c r="A52" t="s">
        <v>576</v>
      </c>
      <c r="GU52">
        <v>22</v>
      </c>
      <c r="GV52">
        <v>25.3</v>
      </c>
      <c r="GW52">
        <v>11.8</v>
      </c>
      <c r="GX52">
        <v>9.8000000000000007</v>
      </c>
      <c r="GY52">
        <v>12.3</v>
      </c>
    </row>
    <row r="53" spans="1:207" x14ac:dyDescent="0.35">
      <c r="A53" t="s">
        <v>572</v>
      </c>
      <c r="GU53">
        <v>16.899999999999999</v>
      </c>
      <c r="GV53">
        <v>18.399999999999999</v>
      </c>
      <c r="GW53">
        <v>46.2</v>
      </c>
      <c r="GX53">
        <v>0.9</v>
      </c>
      <c r="GY53">
        <v>14.3</v>
      </c>
    </row>
    <row r="54" spans="1:207" x14ac:dyDescent="0.35">
      <c r="A54" t="s">
        <v>442</v>
      </c>
      <c r="GU54">
        <v>96.6</v>
      </c>
      <c r="GV54">
        <v>35.1</v>
      </c>
      <c r="GW54">
        <v>20.7</v>
      </c>
      <c r="GX54">
        <v>25.7</v>
      </c>
      <c r="GY54">
        <v>16</v>
      </c>
    </row>
    <row r="55" spans="1:207" x14ac:dyDescent="0.35">
      <c r="A55" t="s">
        <v>577</v>
      </c>
      <c r="GU55">
        <v>140</v>
      </c>
      <c r="GV55">
        <v>140</v>
      </c>
      <c r="GW55">
        <v>140</v>
      </c>
      <c r="GX55">
        <v>8</v>
      </c>
      <c r="GY55">
        <v>8</v>
      </c>
    </row>
    <row r="56" spans="1:207" x14ac:dyDescent="0.35">
      <c r="A56" t="s">
        <v>481</v>
      </c>
      <c r="GU56">
        <v>597.9</v>
      </c>
      <c r="GV56">
        <v>0</v>
      </c>
      <c r="GW56">
        <v>0</v>
      </c>
      <c r="GX56">
        <v>0</v>
      </c>
      <c r="GY56">
        <v>785.9</v>
      </c>
    </row>
    <row r="57" spans="1:207" x14ac:dyDescent="0.35">
      <c r="A57" t="s">
        <v>482</v>
      </c>
      <c r="GU57">
        <v>28.4</v>
      </c>
      <c r="GV57">
        <v>15.8</v>
      </c>
      <c r="GW57">
        <v>15.2</v>
      </c>
      <c r="GX57">
        <v>28.9</v>
      </c>
      <c r="GY57">
        <v>67.599999999999994</v>
      </c>
    </row>
    <row r="58" spans="1:207" x14ac:dyDescent="0.35">
      <c r="A58" t="s">
        <v>440</v>
      </c>
      <c r="GU58">
        <v>64.400000000000006</v>
      </c>
      <c r="GV58">
        <v>23.4</v>
      </c>
      <c r="GW58">
        <v>13.8</v>
      </c>
      <c r="GX58">
        <v>17.100000000000001</v>
      </c>
      <c r="GY58">
        <v>10.6</v>
      </c>
    </row>
    <row r="59" spans="1:207" x14ac:dyDescent="0.35">
      <c r="A59" t="s">
        <v>421</v>
      </c>
      <c r="GU59">
        <v>6.3</v>
      </c>
      <c r="GV59">
        <v>26.7</v>
      </c>
      <c r="GW59">
        <v>82.1</v>
      </c>
      <c r="GX59">
        <v>97.8</v>
      </c>
      <c r="GY59">
        <v>104.5</v>
      </c>
    </row>
    <row r="60" spans="1:207" x14ac:dyDescent="0.35">
      <c r="A60" t="s">
        <v>423</v>
      </c>
      <c r="GU60">
        <v>74.400000000000006</v>
      </c>
      <c r="GV60">
        <v>138.30000000000001</v>
      </c>
      <c r="GW60">
        <v>106.8</v>
      </c>
      <c r="GX60">
        <v>95.3</v>
      </c>
      <c r="GY60">
        <v>82.1</v>
      </c>
    </row>
    <row r="61" spans="1:207" x14ac:dyDescent="0.35">
      <c r="A61" t="s">
        <v>425</v>
      </c>
      <c r="GU61">
        <v>698.9</v>
      </c>
      <c r="GV61">
        <v>413.9</v>
      </c>
      <c r="GW61">
        <v>14.7</v>
      </c>
      <c r="GX61">
        <v>286.89999999999998</v>
      </c>
      <c r="GY61">
        <v>237.2</v>
      </c>
    </row>
    <row r="62" spans="1:207" x14ac:dyDescent="0.35">
      <c r="A62" t="s">
        <v>973</v>
      </c>
      <c r="GU62">
        <v>779.6</v>
      </c>
      <c r="GV62">
        <v>582.4</v>
      </c>
      <c r="GW62">
        <v>216.6</v>
      </c>
      <c r="GX62">
        <v>505</v>
      </c>
      <c r="GY62">
        <v>429.7</v>
      </c>
    </row>
    <row r="63" spans="1:207" x14ac:dyDescent="0.35">
      <c r="A63" t="s">
        <v>417</v>
      </c>
      <c r="GU63">
        <v>0.1</v>
      </c>
      <c r="GV63">
        <v>3.7</v>
      </c>
      <c r="GW63">
        <v>12.9</v>
      </c>
      <c r="GX63">
        <v>25</v>
      </c>
      <c r="GY63">
        <v>5.8</v>
      </c>
    </row>
    <row r="64" spans="1:207" x14ac:dyDescent="0.35">
      <c r="A64" t="s">
        <v>426</v>
      </c>
      <c r="GV64">
        <v>106.2</v>
      </c>
      <c r="GW64">
        <v>35.9</v>
      </c>
      <c r="GX64">
        <v>1.6</v>
      </c>
      <c r="GY64">
        <v>0.6</v>
      </c>
    </row>
    <row r="65" spans="1:207" x14ac:dyDescent="0.35">
      <c r="A65" t="s">
        <v>974</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row>
    <row r="66" spans="1:207" x14ac:dyDescent="0.35">
      <c r="A66" t="s">
        <v>686</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row>
    <row r="67" spans="1:207" x14ac:dyDescent="0.35">
      <c r="A67" t="s">
        <v>975</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row>
    <row r="68" spans="1:207" x14ac:dyDescent="0.35">
      <c r="A68" t="s">
        <v>976</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row>
    <row r="69" spans="1:207" x14ac:dyDescent="0.35">
      <c r="A69" t="s">
        <v>977</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row>
    <row r="70" spans="1:207" x14ac:dyDescent="0.35">
      <c r="A70" t="s">
        <v>978</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row>
    <row r="71" spans="1:207" x14ac:dyDescent="0.35">
      <c r="A71" t="s">
        <v>979</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row>
    <row r="72" spans="1:207" x14ac:dyDescent="0.35">
      <c r="A72" t="s">
        <v>549</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row>
    <row r="73" spans="1:207" x14ac:dyDescent="0.35">
      <c r="A73" t="s">
        <v>551</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row>
    <row r="74" spans="1:207" x14ac:dyDescent="0.35">
      <c r="A74" t="s">
        <v>553</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317506.66666666698</v>
      </c>
    </row>
    <row r="75" spans="1:207" x14ac:dyDescent="0.35">
      <c r="A75" t="s">
        <v>980</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row>
    <row r="76" spans="1:207" x14ac:dyDescent="0.35">
      <c r="A76" t="s">
        <v>981</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row>
    <row r="77" spans="1:207" x14ac:dyDescent="0.35">
      <c r="A77" t="s">
        <v>982</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row>
    <row r="78" spans="1:207" x14ac:dyDescent="0.35">
      <c r="A78" t="s">
        <v>983</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row>
    <row r="79" spans="1:207" x14ac:dyDescent="0.35">
      <c r="A79" t="s">
        <v>984</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row>
    <row r="80" spans="1:207" x14ac:dyDescent="0.35">
      <c r="A80" t="s">
        <v>985</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9" t="s">
        <v>986</v>
      </c>
      <c r="B3" s="196"/>
    </row>
    <row r="4" spans="1:17" x14ac:dyDescent="0.35">
      <c r="A4" s="210" t="s">
        <v>987</v>
      </c>
      <c r="B4" s="211"/>
      <c r="C4" s="211"/>
    </row>
    <row r="7" spans="1:17" x14ac:dyDescent="0.35">
      <c r="A7" s="1159" t="s">
        <v>988</v>
      </c>
      <c r="B7" s="1160"/>
      <c r="C7" s="1160"/>
      <c r="D7" s="1160"/>
      <c r="E7" s="1160"/>
      <c r="F7" s="1160"/>
      <c r="G7" s="1160"/>
      <c r="H7" s="1160"/>
      <c r="I7" s="1160"/>
      <c r="J7" s="1160"/>
      <c r="K7" s="1160"/>
      <c r="L7" s="1160"/>
      <c r="M7" s="1160"/>
      <c r="N7" s="1160"/>
      <c r="O7" s="1160"/>
      <c r="P7" s="1160"/>
    </row>
    <row r="8" spans="1:17" x14ac:dyDescent="0.35">
      <c r="A8" s="201" t="s">
        <v>989</v>
      </c>
      <c r="B8" s="201"/>
      <c r="C8" s="202"/>
      <c r="D8" s="203"/>
      <c r="E8" s="202"/>
      <c r="F8" s="202"/>
      <c r="G8" s="202"/>
      <c r="H8" s="202"/>
      <c r="I8" s="202"/>
      <c r="J8" s="202"/>
      <c r="K8" s="202"/>
      <c r="L8" s="202"/>
      <c r="M8" s="202"/>
      <c r="N8" s="202"/>
      <c r="O8" s="202"/>
      <c r="P8" s="202"/>
    </row>
    <row r="9" spans="1:17" x14ac:dyDescent="0.35">
      <c r="A9" s="197"/>
      <c r="B9" s="197"/>
      <c r="C9" s="197"/>
      <c r="D9" s="204"/>
      <c r="E9" s="197"/>
      <c r="F9" s="197"/>
      <c r="G9" s="197"/>
      <c r="H9" s="197"/>
      <c r="I9" s="197"/>
      <c r="J9" s="197"/>
      <c r="K9" s="197"/>
      <c r="L9" s="197"/>
      <c r="M9" s="197"/>
      <c r="N9" s="197"/>
      <c r="O9" s="197"/>
      <c r="P9" s="197"/>
    </row>
    <row r="10" spans="1:17" x14ac:dyDescent="0.35">
      <c r="A10" s="197"/>
      <c r="B10" s="197"/>
      <c r="C10" s="197"/>
      <c r="D10" s="204"/>
      <c r="E10" s="197"/>
      <c r="F10" s="197"/>
      <c r="G10" s="197"/>
      <c r="H10" s="197"/>
      <c r="I10" s="197"/>
      <c r="J10" s="197"/>
      <c r="K10" s="197"/>
      <c r="L10" s="197"/>
      <c r="M10" s="197"/>
      <c r="N10" s="197"/>
      <c r="O10" s="1161" t="s">
        <v>445</v>
      </c>
      <c r="P10" s="1161"/>
    </row>
    <row r="11" spans="1:17" x14ac:dyDescent="0.35">
      <c r="A11" s="197"/>
      <c r="B11" s="197"/>
      <c r="C11" s="195"/>
      <c r="D11" s="198"/>
      <c r="E11" s="195"/>
      <c r="F11" s="195"/>
      <c r="G11" s="195"/>
      <c r="H11" s="195"/>
      <c r="I11" s="195"/>
      <c r="J11" s="195"/>
      <c r="K11" s="195"/>
      <c r="L11" s="195"/>
      <c r="M11" s="195"/>
      <c r="N11" s="195"/>
      <c r="O11" s="193" t="s">
        <v>990</v>
      </c>
      <c r="P11" s="193" t="s">
        <v>990</v>
      </c>
    </row>
    <row r="12" spans="1:17" x14ac:dyDescent="0.35">
      <c r="A12" s="202"/>
      <c r="B12" s="202"/>
      <c r="C12" s="202"/>
      <c r="D12" s="203">
        <v>2020</v>
      </c>
      <c r="E12" s="203">
        <v>2021</v>
      </c>
      <c r="F12" s="203">
        <v>2022</v>
      </c>
      <c r="G12" s="203">
        <v>2023</v>
      </c>
      <c r="H12" s="203">
        <v>2024</v>
      </c>
      <c r="I12" s="203">
        <v>2025</v>
      </c>
      <c r="J12" s="203">
        <v>2026</v>
      </c>
      <c r="K12" s="203">
        <v>2027</v>
      </c>
      <c r="L12" s="203">
        <v>2028</v>
      </c>
      <c r="M12" s="203">
        <v>2029</v>
      </c>
      <c r="N12" s="203">
        <v>2030</v>
      </c>
      <c r="O12" s="194">
        <v>2025</v>
      </c>
      <c r="P12" s="194">
        <v>2030</v>
      </c>
    </row>
    <row r="13" spans="1:17" x14ac:dyDescent="0.35">
      <c r="A13" s="195" t="s">
        <v>991</v>
      </c>
      <c r="B13" s="195"/>
      <c r="C13" s="195"/>
      <c r="D13" s="1014">
        <v>540.56299999999999</v>
      </c>
      <c r="E13" s="1014">
        <v>0</v>
      </c>
      <c r="F13" s="1014">
        <v>0</v>
      </c>
      <c r="G13" s="1014">
        <v>0</v>
      </c>
      <c r="H13" s="1014">
        <v>0</v>
      </c>
      <c r="I13" s="1014">
        <v>0</v>
      </c>
      <c r="J13" s="1014">
        <v>0</v>
      </c>
      <c r="K13" s="1014">
        <v>0</v>
      </c>
      <c r="L13" s="1014">
        <v>0</v>
      </c>
      <c r="M13" s="1014">
        <v>0</v>
      </c>
      <c r="N13" s="1014">
        <v>0</v>
      </c>
      <c r="O13" s="1014">
        <v>0</v>
      </c>
      <c r="P13" s="1014">
        <v>0</v>
      </c>
      <c r="Q13" t="s">
        <v>74</v>
      </c>
    </row>
    <row r="14" spans="1:17" x14ac:dyDescent="0.35">
      <c r="A14" s="197" t="s">
        <v>992</v>
      </c>
      <c r="B14" s="197"/>
      <c r="C14" s="197"/>
      <c r="D14" s="198"/>
      <c r="E14" s="195"/>
      <c r="F14" s="195"/>
      <c r="G14" s="195"/>
      <c r="H14" s="195"/>
      <c r="I14" s="195"/>
      <c r="J14" s="195"/>
      <c r="K14" s="195"/>
      <c r="L14" s="195"/>
      <c r="M14" s="195"/>
      <c r="N14" s="195"/>
      <c r="O14" s="195"/>
      <c r="P14" s="195"/>
      <c r="Q14" t="s">
        <v>993</v>
      </c>
    </row>
    <row r="15" spans="1:17" x14ac:dyDescent="0.35">
      <c r="A15" s="197"/>
      <c r="B15" s="197" t="s">
        <v>994</v>
      </c>
      <c r="C15" s="197"/>
      <c r="D15" s="198">
        <v>285.56</v>
      </c>
      <c r="E15" s="198">
        <v>5</v>
      </c>
      <c r="F15" s="198">
        <v>0</v>
      </c>
      <c r="G15" s="198">
        <v>0</v>
      </c>
      <c r="H15" s="198">
        <v>0</v>
      </c>
      <c r="I15" s="198">
        <v>0</v>
      </c>
      <c r="J15" s="198">
        <v>0</v>
      </c>
      <c r="K15" s="198">
        <v>0</v>
      </c>
      <c r="L15" s="198">
        <v>0</v>
      </c>
      <c r="M15" s="198">
        <v>0</v>
      </c>
      <c r="N15" s="198">
        <v>0</v>
      </c>
      <c r="O15" s="198">
        <v>5</v>
      </c>
      <c r="P15" s="198">
        <v>5</v>
      </c>
    </row>
    <row r="16" spans="1:17" x14ac:dyDescent="0.35">
      <c r="A16" s="195"/>
      <c r="B16" s="197" t="s">
        <v>995</v>
      </c>
      <c r="C16" s="195"/>
      <c r="D16" s="198">
        <v>67.209999999999994</v>
      </c>
      <c r="E16" s="198">
        <v>13.68</v>
      </c>
      <c r="F16" s="198">
        <v>0</v>
      </c>
      <c r="G16" s="198">
        <v>0</v>
      </c>
      <c r="H16" s="198">
        <v>0</v>
      </c>
      <c r="I16" s="198">
        <v>0</v>
      </c>
      <c r="J16" s="198">
        <v>0</v>
      </c>
      <c r="K16" s="198">
        <v>0</v>
      </c>
      <c r="L16" s="198">
        <v>0</v>
      </c>
      <c r="M16" s="198">
        <v>0</v>
      </c>
      <c r="N16" s="198">
        <v>0</v>
      </c>
      <c r="O16" s="198">
        <v>13.68</v>
      </c>
      <c r="P16" s="198">
        <v>13.68</v>
      </c>
    </row>
    <row r="17" spans="1:17" x14ac:dyDescent="0.35">
      <c r="A17" s="195"/>
      <c r="B17" s="197" t="s">
        <v>996</v>
      </c>
      <c r="C17" s="195"/>
      <c r="D17" s="198">
        <v>11.12</v>
      </c>
      <c r="E17" s="198">
        <v>47.8</v>
      </c>
      <c r="F17" s="198">
        <v>0</v>
      </c>
      <c r="G17" s="198">
        <v>0</v>
      </c>
      <c r="H17" s="198">
        <v>0</v>
      </c>
      <c r="I17" s="198">
        <v>0</v>
      </c>
      <c r="J17" s="198">
        <v>0</v>
      </c>
      <c r="K17" s="198">
        <v>0</v>
      </c>
      <c r="L17" s="198">
        <v>0</v>
      </c>
      <c r="M17" s="198">
        <v>0</v>
      </c>
      <c r="N17" s="198">
        <v>0</v>
      </c>
      <c r="O17" s="198">
        <v>47.8</v>
      </c>
      <c r="P17" s="198">
        <v>47.8</v>
      </c>
    </row>
    <row r="18" spans="1:17" x14ac:dyDescent="0.35">
      <c r="A18" s="195"/>
      <c r="B18" s="197" t="s">
        <v>997</v>
      </c>
      <c r="C18" s="195"/>
      <c r="D18" s="198">
        <v>6.2149999999999999</v>
      </c>
      <c r="E18" s="198">
        <v>5.0049999999999999</v>
      </c>
      <c r="F18" s="198">
        <v>0</v>
      </c>
      <c r="G18" s="198">
        <v>0</v>
      </c>
      <c r="H18" s="198">
        <v>0</v>
      </c>
      <c r="I18" s="198">
        <v>0</v>
      </c>
      <c r="J18" s="198">
        <v>0</v>
      </c>
      <c r="K18" s="198">
        <v>0</v>
      </c>
      <c r="L18" s="198">
        <v>0</v>
      </c>
      <c r="M18" s="198">
        <v>0</v>
      </c>
      <c r="N18" s="198">
        <v>0</v>
      </c>
      <c r="O18" s="198">
        <v>5.0049999999999999</v>
      </c>
      <c r="P18" s="198">
        <v>5.0049999999999999</v>
      </c>
    </row>
    <row r="19" spans="1:17" x14ac:dyDescent="0.35">
      <c r="A19" s="195"/>
      <c r="B19" s="197"/>
      <c r="C19" s="195"/>
      <c r="D19" s="198" t="s">
        <v>998</v>
      </c>
      <c r="E19" s="198" t="s">
        <v>998</v>
      </c>
      <c r="F19" s="198" t="s">
        <v>998</v>
      </c>
      <c r="G19" s="198" t="s">
        <v>998</v>
      </c>
      <c r="H19" s="198" t="s">
        <v>998</v>
      </c>
      <c r="I19" s="198" t="s">
        <v>998</v>
      </c>
      <c r="J19" s="198" t="s">
        <v>998</v>
      </c>
      <c r="K19" s="198" t="s">
        <v>998</v>
      </c>
      <c r="L19" s="198" t="s">
        <v>998</v>
      </c>
      <c r="M19" s="198" t="s">
        <v>998</v>
      </c>
      <c r="N19" s="198" t="s">
        <v>998</v>
      </c>
      <c r="O19" s="198" t="s">
        <v>998</v>
      </c>
      <c r="P19" s="198" t="s">
        <v>998</v>
      </c>
    </row>
    <row r="20" spans="1:17" x14ac:dyDescent="0.35">
      <c r="A20" s="195"/>
      <c r="B20" s="197"/>
      <c r="C20" s="195" t="s">
        <v>999</v>
      </c>
      <c r="D20" s="198">
        <v>370.10500000000002</v>
      </c>
      <c r="E20" s="198">
        <v>71.484999999999999</v>
      </c>
      <c r="F20" s="198">
        <v>0</v>
      </c>
      <c r="G20" s="198">
        <v>0</v>
      </c>
      <c r="H20" s="198">
        <v>0</v>
      </c>
      <c r="I20" s="198">
        <v>0</v>
      </c>
      <c r="J20" s="198">
        <v>0</v>
      </c>
      <c r="K20" s="198">
        <v>0</v>
      </c>
      <c r="L20" s="198">
        <v>0</v>
      </c>
      <c r="M20" s="198">
        <v>0</v>
      </c>
      <c r="N20" s="198">
        <v>0</v>
      </c>
      <c r="O20" s="198">
        <v>71.484999999999999</v>
      </c>
      <c r="P20" s="198">
        <v>71.484999999999999</v>
      </c>
    </row>
    <row r="21" spans="1:17" x14ac:dyDescent="0.35">
      <c r="A21" s="195"/>
      <c r="B21" s="197"/>
      <c r="C21" s="195"/>
      <c r="D21" s="198"/>
      <c r="E21" s="198"/>
      <c r="F21" s="198"/>
      <c r="G21" s="198"/>
      <c r="H21" s="198"/>
      <c r="I21" s="198"/>
      <c r="J21" s="198"/>
      <c r="K21" s="198"/>
      <c r="L21" s="198"/>
      <c r="M21" s="198"/>
      <c r="N21" s="198"/>
      <c r="O21" s="198"/>
      <c r="P21" s="198"/>
    </row>
    <row r="22" spans="1:17" ht="17" x14ac:dyDescent="0.35">
      <c r="A22" s="195" t="s">
        <v>1000</v>
      </c>
      <c r="B22" s="197"/>
      <c r="C22" s="195"/>
      <c r="D22" s="198">
        <v>271.98399999999998</v>
      </c>
      <c r="E22" s="198">
        <v>9.327</v>
      </c>
      <c r="F22" s="198">
        <v>0</v>
      </c>
      <c r="G22" s="198">
        <v>0</v>
      </c>
      <c r="H22" s="198">
        <v>0</v>
      </c>
      <c r="I22" s="198">
        <v>0</v>
      </c>
      <c r="J22" s="198">
        <v>0</v>
      </c>
      <c r="K22" s="198">
        <v>0</v>
      </c>
      <c r="L22" s="198">
        <v>0</v>
      </c>
      <c r="M22" s="198">
        <v>0</v>
      </c>
      <c r="N22" s="198">
        <v>0</v>
      </c>
      <c r="O22" s="198">
        <v>9.327</v>
      </c>
      <c r="P22" s="198">
        <v>9.327</v>
      </c>
      <c r="Q22" t="s">
        <v>1001</v>
      </c>
    </row>
    <row r="23" spans="1:17" x14ac:dyDescent="0.35">
      <c r="A23" s="195" t="s">
        <v>199</v>
      </c>
      <c r="B23" s="197"/>
      <c r="C23" s="197"/>
      <c r="D23" s="198">
        <v>149.97300000000001</v>
      </c>
      <c r="E23" s="198">
        <v>2.5999999999999999E-2</v>
      </c>
      <c r="F23" s="198">
        <v>0</v>
      </c>
      <c r="G23" s="198">
        <v>0</v>
      </c>
      <c r="H23" s="198">
        <v>0</v>
      </c>
      <c r="I23" s="198">
        <v>0</v>
      </c>
      <c r="J23" s="198">
        <v>0</v>
      </c>
      <c r="K23" s="198">
        <v>0</v>
      </c>
      <c r="L23" s="198">
        <v>0</v>
      </c>
      <c r="M23" s="198">
        <v>0</v>
      </c>
      <c r="N23" s="198">
        <v>0</v>
      </c>
      <c r="O23" s="198">
        <v>2.5999999999999999E-2</v>
      </c>
      <c r="P23" s="198">
        <v>2.5999999999999999E-2</v>
      </c>
      <c r="Q23" t="s">
        <v>75</v>
      </c>
    </row>
    <row r="24" spans="1:17" x14ac:dyDescent="0.35">
      <c r="A24" s="195" t="s">
        <v>1002</v>
      </c>
      <c r="B24" s="197"/>
      <c r="C24" s="197"/>
      <c r="D24" s="198">
        <v>135.41999999999999</v>
      </c>
      <c r="E24" s="198">
        <v>72.537999999999997</v>
      </c>
      <c r="F24" s="198">
        <v>10.331</v>
      </c>
      <c r="G24" s="198">
        <v>4.2670000000000003</v>
      </c>
      <c r="H24" s="198">
        <v>1.347</v>
      </c>
      <c r="I24" s="198">
        <v>0.67400000000000004</v>
      </c>
      <c r="J24" s="198">
        <v>0</v>
      </c>
      <c r="K24" s="198">
        <v>0</v>
      </c>
      <c r="L24" s="198">
        <v>0</v>
      </c>
      <c r="M24" s="198">
        <v>0</v>
      </c>
      <c r="N24" s="198">
        <v>0</v>
      </c>
      <c r="O24" s="198">
        <v>89.156999999999996</v>
      </c>
      <c r="P24" s="198">
        <v>89.156999999999996</v>
      </c>
      <c r="Q24" t="s">
        <v>1003</v>
      </c>
    </row>
    <row r="25" spans="1:17" x14ac:dyDescent="0.35">
      <c r="A25" s="195" t="s">
        <v>1004</v>
      </c>
      <c r="B25" s="197"/>
      <c r="C25" s="197"/>
      <c r="D25" s="198"/>
      <c r="E25" s="198"/>
      <c r="F25" s="198"/>
      <c r="G25" s="198"/>
      <c r="H25" s="198"/>
      <c r="I25" s="198"/>
      <c r="J25" s="198"/>
      <c r="K25" s="198"/>
      <c r="L25" s="198"/>
      <c r="M25" s="198"/>
      <c r="N25" s="198"/>
      <c r="O25" s="198"/>
      <c r="P25" s="198"/>
    </row>
    <row r="26" spans="1:17" x14ac:dyDescent="0.35">
      <c r="A26" s="195" t="s">
        <v>1005</v>
      </c>
      <c r="B26" s="197"/>
      <c r="C26" s="197"/>
      <c r="D26" s="198">
        <v>40.831000000000003</v>
      </c>
      <c r="E26" s="198">
        <v>79.391999999999996</v>
      </c>
      <c r="F26" s="198">
        <v>47.442999999999998</v>
      </c>
      <c r="G26" s="198">
        <v>4.7220000000000004</v>
      </c>
      <c r="H26" s="198">
        <v>0</v>
      </c>
      <c r="I26" s="198">
        <v>0</v>
      </c>
      <c r="J26" s="198">
        <v>0</v>
      </c>
      <c r="K26" s="198">
        <v>0</v>
      </c>
      <c r="L26" s="198">
        <v>0</v>
      </c>
      <c r="M26" s="198">
        <v>0</v>
      </c>
      <c r="N26" s="198">
        <v>0</v>
      </c>
      <c r="O26" s="198">
        <v>131.55699999999999</v>
      </c>
      <c r="P26" s="198">
        <v>131.55699999999999</v>
      </c>
      <c r="Q26" t="s">
        <v>183</v>
      </c>
    </row>
    <row r="27" spans="1:17" x14ac:dyDescent="0.35">
      <c r="A27" s="195" t="s">
        <v>1006</v>
      </c>
      <c r="B27" s="197"/>
      <c r="C27" s="197"/>
      <c r="D27" s="198">
        <v>58.054000000000002</v>
      </c>
      <c r="E27" s="198">
        <v>14.755000000000001</v>
      </c>
      <c r="F27" s="198">
        <v>3.4750000000000001</v>
      </c>
      <c r="G27" s="198">
        <v>3.9249999999999998</v>
      </c>
      <c r="H27" s="198">
        <v>4.375</v>
      </c>
      <c r="I27" s="198">
        <v>4.375</v>
      </c>
      <c r="J27" s="198">
        <v>4.5</v>
      </c>
      <c r="K27" s="198">
        <v>4.5</v>
      </c>
      <c r="L27" s="198">
        <v>4.5</v>
      </c>
      <c r="M27" s="198">
        <v>4.5</v>
      </c>
      <c r="N27" s="198">
        <v>4.5</v>
      </c>
      <c r="O27" s="198">
        <v>30.905000000000001</v>
      </c>
      <c r="P27" s="198">
        <v>53.405000000000001</v>
      </c>
    </row>
    <row r="28" spans="1:17" x14ac:dyDescent="0.35">
      <c r="A28" s="195" t="s">
        <v>1007</v>
      </c>
      <c r="B28" s="197"/>
      <c r="C28" s="197"/>
      <c r="D28" s="198">
        <v>47.372999999999998</v>
      </c>
      <c r="E28" s="198">
        <v>-46.081000000000003</v>
      </c>
      <c r="F28" s="198">
        <v>0</v>
      </c>
      <c r="G28" s="198">
        <v>0</v>
      </c>
      <c r="H28" s="198">
        <v>0</v>
      </c>
      <c r="I28" s="198">
        <v>0</v>
      </c>
      <c r="J28" s="198">
        <v>0</v>
      </c>
      <c r="K28" s="198">
        <v>0</v>
      </c>
      <c r="L28" s="198">
        <v>0</v>
      </c>
      <c r="M28" s="198">
        <v>0</v>
      </c>
      <c r="N28" s="198">
        <v>0</v>
      </c>
      <c r="O28" s="198">
        <v>-46.081000000000003</v>
      </c>
      <c r="P28" s="198">
        <v>-46.081000000000003</v>
      </c>
      <c r="Q28" t="s">
        <v>80</v>
      </c>
    </row>
    <row r="29" spans="1:17" x14ac:dyDescent="0.35">
      <c r="A29" s="195" t="s">
        <v>1008</v>
      </c>
      <c r="B29" s="197"/>
      <c r="C29" s="197"/>
      <c r="D29" s="198">
        <v>24.475000000000001</v>
      </c>
      <c r="E29" s="198">
        <v>32.784999999999997</v>
      </c>
      <c r="F29" s="198">
        <v>8.4600000000000009</v>
      </c>
      <c r="G29" s="198">
        <v>0</v>
      </c>
      <c r="H29" s="198">
        <v>0</v>
      </c>
      <c r="I29" s="198">
        <v>0</v>
      </c>
      <c r="J29" s="198">
        <v>0</v>
      </c>
      <c r="K29" s="198">
        <v>0</v>
      </c>
      <c r="L29" s="198">
        <v>0</v>
      </c>
      <c r="M29" s="198">
        <v>0</v>
      </c>
      <c r="N29" s="198">
        <v>0</v>
      </c>
      <c r="O29" s="198">
        <v>41.244999999999997</v>
      </c>
      <c r="P29" s="198">
        <v>41.244999999999997</v>
      </c>
      <c r="Q29" t="s">
        <v>1009</v>
      </c>
    </row>
    <row r="30" spans="1:17" x14ac:dyDescent="0.35">
      <c r="A30" s="195" t="s">
        <v>1010</v>
      </c>
      <c r="B30" s="197"/>
      <c r="C30" s="197"/>
      <c r="D30" s="198">
        <v>27.5</v>
      </c>
      <c r="E30" s="198">
        <v>0.86</v>
      </c>
      <c r="F30" s="198">
        <v>-0.22</v>
      </c>
      <c r="G30" s="198">
        <v>-0.49</v>
      </c>
      <c r="H30" s="198">
        <v>-0.56000000000000005</v>
      </c>
      <c r="I30" s="198">
        <v>-0.98</v>
      </c>
      <c r="J30" s="198">
        <v>-0.76</v>
      </c>
      <c r="K30" s="198">
        <v>-0.74</v>
      </c>
      <c r="L30" s="198">
        <v>-0.72</v>
      </c>
      <c r="M30" s="198">
        <v>-0.7</v>
      </c>
      <c r="N30" s="198">
        <v>-0.69</v>
      </c>
      <c r="O30" s="198">
        <v>-1.39</v>
      </c>
      <c r="P30" s="198">
        <v>-5</v>
      </c>
      <c r="Q30" t="s">
        <v>77</v>
      </c>
    </row>
    <row r="31" spans="1:17" x14ac:dyDescent="0.35">
      <c r="A31" s="195" t="s">
        <v>200</v>
      </c>
      <c r="B31" s="197"/>
      <c r="C31" s="197"/>
      <c r="D31" s="198">
        <v>11.407999999999999</v>
      </c>
      <c r="E31" s="198">
        <v>10.763</v>
      </c>
      <c r="F31" s="198">
        <v>5.7809999999999997</v>
      </c>
      <c r="G31" s="198">
        <v>0.92300000000000004</v>
      </c>
      <c r="H31" s="198">
        <v>0.52300000000000002</v>
      </c>
      <c r="I31" s="198">
        <v>0.43099999999999999</v>
      </c>
      <c r="J31" s="198">
        <v>0.246</v>
      </c>
      <c r="K31" s="198">
        <v>0</v>
      </c>
      <c r="L31" s="198">
        <v>0</v>
      </c>
      <c r="M31" s="198">
        <v>0</v>
      </c>
      <c r="N31" s="198">
        <v>0</v>
      </c>
      <c r="O31" s="198">
        <v>18.420999999999999</v>
      </c>
      <c r="P31" s="198">
        <v>18.667000000000002</v>
      </c>
      <c r="Q31" t="s">
        <v>1011</v>
      </c>
    </row>
    <row r="32" spans="1:17" x14ac:dyDescent="0.35">
      <c r="A32" s="195" t="s">
        <v>1012</v>
      </c>
      <c r="B32" s="197"/>
      <c r="C32" s="197"/>
      <c r="D32" s="198">
        <v>99.444000000000003</v>
      </c>
      <c r="E32" s="198">
        <v>61.634</v>
      </c>
      <c r="F32" s="198">
        <v>23.815000000000001</v>
      </c>
      <c r="G32" s="198">
        <v>7.35</v>
      </c>
      <c r="H32" s="198">
        <v>4.4029999999999996</v>
      </c>
      <c r="I32" s="198">
        <v>1.663</v>
      </c>
      <c r="J32" s="198">
        <v>0.74399999999999999</v>
      </c>
      <c r="K32" s="198">
        <v>0.65500000000000003</v>
      </c>
      <c r="L32" s="198">
        <v>0.68799999999999994</v>
      </c>
      <c r="M32" s="198">
        <v>10.603</v>
      </c>
      <c r="N32" s="198">
        <v>-35.328000000000003</v>
      </c>
      <c r="O32" s="198">
        <v>98.864999999999995</v>
      </c>
      <c r="P32" s="198">
        <v>76.227000000000004</v>
      </c>
      <c r="Q32" t="s">
        <v>1013</v>
      </c>
    </row>
    <row r="33" spans="1:16" x14ac:dyDescent="0.35">
      <c r="A33" s="195"/>
      <c r="B33" s="197"/>
      <c r="C33" s="197"/>
      <c r="D33" s="198"/>
      <c r="E33" s="198"/>
      <c r="F33" s="198"/>
      <c r="G33" s="198"/>
      <c r="H33" s="198"/>
      <c r="I33" s="198"/>
      <c r="J33" s="198"/>
      <c r="K33" s="198"/>
      <c r="L33" s="198"/>
      <c r="M33" s="198"/>
      <c r="N33" s="198"/>
      <c r="O33" s="198"/>
      <c r="P33" s="198"/>
    </row>
    <row r="34" spans="1:16" x14ac:dyDescent="0.35">
      <c r="A34" s="199"/>
      <c r="B34" s="199"/>
      <c r="C34" s="199" t="s">
        <v>445</v>
      </c>
      <c r="D34" s="200">
        <v>1777.13</v>
      </c>
      <c r="E34" s="200">
        <v>307.48399999999998</v>
      </c>
      <c r="F34" s="200">
        <v>99.084999999999994</v>
      </c>
      <c r="G34" s="200">
        <v>20.696999999999999</v>
      </c>
      <c r="H34" s="200">
        <v>10.087999999999999</v>
      </c>
      <c r="I34" s="200">
        <v>6.1630000000000003</v>
      </c>
      <c r="J34" s="200">
        <v>4.7300000000000004</v>
      </c>
      <c r="K34" s="200">
        <v>4.415</v>
      </c>
      <c r="L34" s="200">
        <v>4.468</v>
      </c>
      <c r="M34" s="200">
        <v>14.403</v>
      </c>
      <c r="N34" s="200">
        <v>-31.518000000000001</v>
      </c>
      <c r="O34" s="200">
        <v>443.517</v>
      </c>
      <c r="P34" s="200">
        <v>440.01499999999999</v>
      </c>
    </row>
    <row r="35" spans="1:16" x14ac:dyDescent="0.35">
      <c r="A35" s="197"/>
      <c r="B35" s="197"/>
      <c r="C35" s="197"/>
      <c r="D35" s="219"/>
      <c r="E35" s="215"/>
      <c r="F35" s="195"/>
      <c r="G35" s="195"/>
      <c r="H35" s="195"/>
      <c r="I35" s="195"/>
      <c r="J35" s="195"/>
      <c r="K35" s="195"/>
      <c r="L35" s="195"/>
      <c r="M35" s="195"/>
      <c r="N35" s="195"/>
      <c r="O35" s="195"/>
      <c r="P35" s="195"/>
    </row>
    <row r="36" spans="1:16" x14ac:dyDescent="0.35">
      <c r="A36" s="205" t="s">
        <v>1014</v>
      </c>
      <c r="B36" s="205"/>
      <c r="C36" s="205"/>
      <c r="D36" s="206"/>
      <c r="E36" s="205"/>
      <c r="F36" s="205"/>
      <c r="G36" s="205"/>
      <c r="H36" s="205"/>
      <c r="I36" s="205"/>
      <c r="J36" s="205"/>
      <c r="K36" s="205"/>
      <c r="L36" s="205"/>
      <c r="M36" s="205"/>
      <c r="N36" s="205"/>
      <c r="O36" s="205"/>
      <c r="P36" s="205"/>
    </row>
    <row r="37" spans="1:16" x14ac:dyDescent="0.35">
      <c r="A37" s="205"/>
      <c r="B37" s="205"/>
      <c r="C37" s="205"/>
      <c r="D37" s="206"/>
      <c r="E37" s="205"/>
      <c r="F37" s="205"/>
      <c r="G37" s="205"/>
      <c r="H37" s="205"/>
      <c r="I37" s="205"/>
      <c r="J37" s="205"/>
      <c r="K37" s="205"/>
      <c r="L37" s="205"/>
      <c r="M37" s="205"/>
      <c r="N37" s="205"/>
      <c r="O37" s="205"/>
      <c r="P37" s="205"/>
    </row>
    <row r="38" spans="1:16" x14ac:dyDescent="0.35">
      <c r="A38" s="1164" t="s">
        <v>1015</v>
      </c>
      <c r="B38" s="1164"/>
      <c r="C38" s="1164"/>
      <c r="D38" s="1164"/>
      <c r="E38" s="1164"/>
      <c r="F38" s="1164"/>
      <c r="G38" s="1164"/>
      <c r="H38" s="1164"/>
      <c r="I38" s="1164"/>
      <c r="J38" s="1164"/>
      <c r="K38" s="1164"/>
      <c r="L38" s="1164"/>
      <c r="M38" s="1164"/>
      <c r="N38" s="1164"/>
      <c r="O38" s="1164"/>
      <c r="P38" s="1164"/>
    </row>
    <row r="39" spans="1:16" x14ac:dyDescent="0.35">
      <c r="A39" s="1164"/>
      <c r="B39" s="1164"/>
      <c r="C39" s="1164"/>
      <c r="D39" s="1164"/>
      <c r="E39" s="1164"/>
      <c r="F39" s="1164"/>
      <c r="G39" s="1164"/>
      <c r="H39" s="1164"/>
      <c r="I39" s="1164"/>
      <c r="J39" s="1164"/>
      <c r="K39" s="1164"/>
      <c r="L39" s="1164"/>
      <c r="M39" s="1164"/>
      <c r="N39" s="1164"/>
      <c r="O39" s="1164"/>
      <c r="P39" s="1164"/>
    </row>
    <row r="40" spans="1:16" x14ac:dyDescent="0.35">
      <c r="A40" s="1164"/>
      <c r="B40" s="1164"/>
      <c r="C40" s="1164"/>
      <c r="D40" s="1164"/>
      <c r="E40" s="1164"/>
      <c r="F40" s="1164"/>
      <c r="G40" s="1164"/>
      <c r="H40" s="1164"/>
      <c r="I40" s="1164"/>
      <c r="J40" s="1164"/>
      <c r="K40" s="1164"/>
      <c r="L40" s="1164"/>
      <c r="M40" s="1164"/>
      <c r="N40" s="1164"/>
      <c r="O40" s="1164"/>
      <c r="P40" s="1164"/>
    </row>
    <row r="41" spans="1:16" x14ac:dyDescent="0.35">
      <c r="A41" s="1164"/>
      <c r="B41" s="1164"/>
      <c r="C41" s="1164"/>
      <c r="D41" s="1164"/>
      <c r="E41" s="1164"/>
      <c r="F41" s="1164"/>
      <c r="G41" s="1164"/>
      <c r="H41" s="1164"/>
      <c r="I41" s="1164"/>
      <c r="J41" s="1164"/>
      <c r="K41" s="1164"/>
      <c r="L41" s="1164"/>
      <c r="M41" s="1164"/>
      <c r="N41" s="1164"/>
      <c r="O41" s="1164"/>
      <c r="P41" s="1164"/>
    </row>
    <row r="42" spans="1:16" x14ac:dyDescent="0.35">
      <c r="A42" s="1164"/>
      <c r="B42" s="1164"/>
      <c r="C42" s="1164"/>
      <c r="D42" s="1164"/>
      <c r="E42" s="1164"/>
      <c r="F42" s="1164"/>
      <c r="G42" s="1164"/>
      <c r="H42" s="1164"/>
      <c r="I42" s="1164"/>
      <c r="J42" s="1164"/>
      <c r="K42" s="1164"/>
      <c r="L42" s="1164"/>
      <c r="M42" s="1164"/>
      <c r="N42" s="1164"/>
      <c r="O42" s="1164"/>
      <c r="P42" s="1164"/>
    </row>
    <row r="43" spans="1:16" x14ac:dyDescent="0.35">
      <c r="A43" s="212"/>
      <c r="B43" s="212"/>
      <c r="C43" s="212"/>
      <c r="D43" s="212"/>
      <c r="E43" s="212"/>
      <c r="F43" s="212"/>
      <c r="G43" s="212"/>
      <c r="H43" s="212"/>
      <c r="I43" s="212"/>
      <c r="J43" s="212"/>
      <c r="K43" s="212"/>
      <c r="L43" s="212"/>
      <c r="M43" s="212"/>
      <c r="N43" s="212"/>
      <c r="O43" s="212"/>
      <c r="P43" s="212"/>
    </row>
    <row r="44" spans="1:16" x14ac:dyDescent="0.35">
      <c r="A44" s="1165" t="s">
        <v>1016</v>
      </c>
      <c r="B44" s="1165"/>
      <c r="C44" s="1165"/>
      <c r="D44" s="1165"/>
      <c r="E44" s="1165"/>
      <c r="F44" s="1165"/>
      <c r="G44" s="1165"/>
      <c r="H44" s="1165"/>
      <c r="I44" s="1165"/>
      <c r="J44" s="1165"/>
      <c r="K44" s="1165"/>
      <c r="L44" s="1165"/>
      <c r="M44" s="1165"/>
      <c r="N44" s="1165"/>
      <c r="O44" s="1165"/>
      <c r="P44" s="1165"/>
    </row>
    <row r="45" spans="1:16" x14ac:dyDescent="0.35">
      <c r="A45" s="1165"/>
      <c r="B45" s="1165"/>
      <c r="C45" s="1165"/>
      <c r="D45" s="1165"/>
      <c r="E45" s="1165"/>
      <c r="F45" s="1165"/>
      <c r="G45" s="1165"/>
      <c r="H45" s="1165"/>
      <c r="I45" s="1165"/>
      <c r="J45" s="1165"/>
      <c r="K45" s="1165"/>
      <c r="L45" s="1165"/>
      <c r="M45" s="1165"/>
      <c r="N45" s="1165"/>
      <c r="O45" s="1165"/>
      <c r="P45" s="1165"/>
    </row>
    <row r="46" spans="1:16" x14ac:dyDescent="0.35">
      <c r="A46" s="1165"/>
      <c r="B46" s="1165"/>
      <c r="C46" s="1165"/>
      <c r="D46" s="1165"/>
      <c r="E46" s="1165"/>
      <c r="F46" s="1165"/>
      <c r="G46" s="1165"/>
      <c r="H46" s="1165"/>
      <c r="I46" s="1165"/>
      <c r="J46" s="1165"/>
      <c r="K46" s="1165"/>
      <c r="L46" s="1165"/>
      <c r="M46" s="1165"/>
      <c r="N46" s="1165"/>
      <c r="O46" s="1165"/>
      <c r="P46" s="1165"/>
    </row>
    <row r="47" spans="1:16" x14ac:dyDescent="0.35">
      <c r="A47" s="205"/>
      <c r="B47" s="205"/>
      <c r="C47" s="205"/>
      <c r="D47" s="206"/>
      <c r="E47" s="205"/>
      <c r="F47" s="205"/>
      <c r="G47" s="205"/>
      <c r="H47" s="205"/>
      <c r="I47" s="205"/>
      <c r="J47" s="205"/>
      <c r="K47" s="205"/>
      <c r="L47" s="205"/>
      <c r="M47" s="205"/>
      <c r="N47" s="205"/>
      <c r="O47" s="205"/>
      <c r="P47" s="205"/>
    </row>
    <row r="48" spans="1:16" x14ac:dyDescent="0.35">
      <c r="A48" s="1162" t="s">
        <v>1017</v>
      </c>
      <c r="B48" s="1163"/>
      <c r="C48" s="1163"/>
      <c r="D48" s="1163"/>
      <c r="E48" s="1163"/>
      <c r="F48" s="1163"/>
      <c r="G48" s="1163"/>
      <c r="H48" s="1163"/>
      <c r="I48" s="1163"/>
      <c r="J48" s="1163"/>
      <c r="K48" s="1163"/>
      <c r="L48" s="1163"/>
      <c r="M48" s="1163"/>
      <c r="N48" s="1163"/>
      <c r="O48" s="1163"/>
      <c r="P48" s="1163"/>
    </row>
    <row r="49" spans="1:16" x14ac:dyDescent="0.35">
      <c r="A49" s="1163"/>
      <c r="B49" s="1163"/>
      <c r="C49" s="1163"/>
      <c r="D49" s="1163"/>
      <c r="E49" s="1163"/>
      <c r="F49" s="1163"/>
      <c r="G49" s="1163"/>
      <c r="H49" s="1163"/>
      <c r="I49" s="1163"/>
      <c r="J49" s="1163"/>
      <c r="K49" s="1163"/>
      <c r="L49" s="1163"/>
      <c r="M49" s="1163"/>
      <c r="N49" s="1163"/>
      <c r="O49" s="1163"/>
      <c r="P49" s="1163"/>
    </row>
    <row r="50" spans="1:16" x14ac:dyDescent="0.35">
      <c r="A50" s="205"/>
      <c r="B50" s="205"/>
      <c r="C50" s="205"/>
      <c r="D50" s="206"/>
      <c r="E50" s="205"/>
      <c r="F50" s="205"/>
      <c r="G50" s="205"/>
      <c r="H50" s="205"/>
      <c r="I50" s="205"/>
      <c r="J50" s="205"/>
      <c r="K50" s="205"/>
      <c r="L50" s="205"/>
      <c r="M50" s="205"/>
      <c r="N50" s="205"/>
      <c r="O50" s="205"/>
      <c r="P50" s="205"/>
    </row>
    <row r="51" spans="1:16" x14ac:dyDescent="0.35">
      <c r="A51" s="1158" t="s">
        <v>1018</v>
      </c>
      <c r="B51" s="1158"/>
      <c r="C51" s="1158"/>
      <c r="D51" s="1158"/>
      <c r="E51" s="1158"/>
      <c r="F51" s="1158"/>
      <c r="G51" s="1158"/>
      <c r="H51" s="1158"/>
      <c r="I51" s="1158"/>
      <c r="J51" s="1158"/>
      <c r="K51" s="1158"/>
      <c r="L51" s="1158"/>
      <c r="M51" s="1158"/>
      <c r="N51" s="1158"/>
      <c r="O51" s="1158"/>
      <c r="P51" s="1158"/>
    </row>
    <row r="52" spans="1:16" x14ac:dyDescent="0.35">
      <c r="A52" s="1158"/>
      <c r="B52" s="1158"/>
      <c r="C52" s="1158"/>
      <c r="D52" s="1158"/>
      <c r="E52" s="1158"/>
      <c r="F52" s="1158"/>
      <c r="G52" s="1158"/>
      <c r="H52" s="1158"/>
      <c r="I52" s="1158"/>
      <c r="J52" s="1158"/>
      <c r="K52" s="1158"/>
      <c r="L52" s="1158"/>
      <c r="M52" s="1158"/>
      <c r="N52" s="1158"/>
      <c r="O52" s="1158"/>
      <c r="P52" s="1158"/>
    </row>
    <row r="53" spans="1:16" x14ac:dyDescent="0.35">
      <c r="A53" s="1158"/>
      <c r="B53" s="1158"/>
      <c r="C53" s="1158"/>
      <c r="D53" s="1158"/>
      <c r="E53" s="1158"/>
      <c r="F53" s="1158"/>
      <c r="G53" s="1158"/>
      <c r="H53" s="1158"/>
      <c r="I53" s="1158"/>
      <c r="J53" s="1158"/>
      <c r="K53" s="1158"/>
      <c r="L53" s="1158"/>
      <c r="M53" s="1158"/>
      <c r="N53" s="1158"/>
      <c r="O53" s="1158"/>
      <c r="P53" s="1158"/>
    </row>
    <row r="54" spans="1:16" x14ac:dyDescent="0.35">
      <c r="A54" s="207"/>
      <c r="B54" s="207"/>
      <c r="C54" s="207"/>
      <c r="D54" s="208"/>
      <c r="E54" s="207"/>
      <c r="F54" s="207"/>
      <c r="G54" s="207"/>
      <c r="H54" s="207"/>
      <c r="I54" s="207"/>
      <c r="J54" s="207"/>
      <c r="K54" s="207"/>
      <c r="L54" s="207"/>
      <c r="M54" s="207"/>
      <c r="N54" s="207"/>
      <c r="O54" s="207"/>
      <c r="P54" s="207"/>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A36" sqref="A36"/>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1019</v>
      </c>
    </row>
    <row r="2" spans="1:6" ht="20" x14ac:dyDescent="0.4">
      <c r="A2" s="99" t="s">
        <v>1020</v>
      </c>
      <c r="B2" s="99" t="s">
        <v>1021</v>
      </c>
      <c r="C2" s="99" t="s">
        <v>1022</v>
      </c>
      <c r="D2" s="99" t="s">
        <v>1023</v>
      </c>
    </row>
    <row r="3" spans="1:6" x14ac:dyDescent="0.3">
      <c r="A3" s="101" t="s">
        <v>1024</v>
      </c>
      <c r="B3" s="100">
        <f>SUM(B4:B7)</f>
        <v>325</v>
      </c>
      <c r="E3" s="1166" t="s">
        <v>1025</v>
      </c>
      <c r="F3" s="1166"/>
    </row>
    <row r="4" spans="1:6" x14ac:dyDescent="0.3">
      <c r="A4" s="93" t="s">
        <v>1026</v>
      </c>
      <c r="B4" s="100">
        <v>284</v>
      </c>
      <c r="E4" s="52" t="s">
        <v>75</v>
      </c>
      <c r="F4" s="52" t="s">
        <v>1027</v>
      </c>
    </row>
    <row r="5" spans="1:6" x14ac:dyDescent="0.3">
      <c r="A5" s="93" t="s">
        <v>578</v>
      </c>
      <c r="B5" s="100">
        <v>20</v>
      </c>
      <c r="E5" s="34" t="s">
        <v>200</v>
      </c>
      <c r="F5" s="34">
        <f>SUM(B11:B16)</f>
        <v>82</v>
      </c>
    </row>
    <row r="6" spans="1:6" x14ac:dyDescent="0.3">
      <c r="A6" s="93" t="s">
        <v>585</v>
      </c>
      <c r="B6" s="100">
        <v>15</v>
      </c>
      <c r="E6" s="34" t="s">
        <v>73</v>
      </c>
      <c r="F6" s="34">
        <f>B23</f>
        <v>3</v>
      </c>
    </row>
    <row r="7" spans="1:6" x14ac:dyDescent="0.3">
      <c r="A7" s="93" t="s">
        <v>586</v>
      </c>
      <c r="B7" s="100">
        <v>6</v>
      </c>
      <c r="E7" s="34" t="s">
        <v>483</v>
      </c>
      <c r="F7" s="34">
        <f>B27-B28</f>
        <v>29</v>
      </c>
    </row>
    <row r="8" spans="1:6" x14ac:dyDescent="0.3">
      <c r="A8" s="52" t="s">
        <v>1028</v>
      </c>
      <c r="B8" s="100">
        <v>121</v>
      </c>
      <c r="E8" s="34" t="s">
        <v>501</v>
      </c>
      <c r="F8" s="34">
        <f>B42</f>
        <v>2</v>
      </c>
    </row>
    <row r="9" spans="1:6" x14ac:dyDescent="0.3">
      <c r="A9" s="102" t="s">
        <v>1029</v>
      </c>
      <c r="B9" s="100">
        <v>166</v>
      </c>
      <c r="E9" s="34" t="s">
        <v>1030</v>
      </c>
      <c r="F9" s="34">
        <f>B18+B20+B21</f>
        <v>34</v>
      </c>
    </row>
    <row r="10" spans="1:6" x14ac:dyDescent="0.3">
      <c r="A10" s="94" t="s">
        <v>1031</v>
      </c>
      <c r="B10" s="100">
        <v>82</v>
      </c>
      <c r="E10" s="52" t="s">
        <v>1032</v>
      </c>
      <c r="F10" s="52" t="s">
        <v>1033</v>
      </c>
    </row>
    <row r="11" spans="1:6" x14ac:dyDescent="0.3">
      <c r="A11" s="93" t="s">
        <v>1034</v>
      </c>
      <c r="B11" s="100">
        <v>54</v>
      </c>
      <c r="E11" s="34" t="s">
        <v>449</v>
      </c>
      <c r="F11" s="34">
        <f>B4</f>
        <v>284</v>
      </c>
    </row>
    <row r="12" spans="1:6" x14ac:dyDescent="0.3">
      <c r="A12" s="93" t="s">
        <v>1035</v>
      </c>
      <c r="B12" s="100">
        <v>20</v>
      </c>
      <c r="E12" s="34" t="s">
        <v>1036</v>
      </c>
      <c r="F12" s="34">
        <f>B5</f>
        <v>20</v>
      </c>
    </row>
    <row r="13" spans="1:6" x14ac:dyDescent="0.3">
      <c r="A13" s="93" t="s">
        <v>1037</v>
      </c>
      <c r="B13" s="100">
        <v>4</v>
      </c>
      <c r="E13" s="34" t="s">
        <v>585</v>
      </c>
      <c r="F13" s="34">
        <f>B6</f>
        <v>15</v>
      </c>
    </row>
    <row r="14" spans="1:6" ht="28" x14ac:dyDescent="0.3">
      <c r="A14" s="93" t="s">
        <v>1038</v>
      </c>
      <c r="B14" s="100">
        <v>2</v>
      </c>
      <c r="E14" s="39" t="s">
        <v>586</v>
      </c>
      <c r="F14" s="34">
        <f>B7</f>
        <v>6</v>
      </c>
    </row>
    <row r="15" spans="1:6" ht="28" x14ac:dyDescent="0.3">
      <c r="A15" s="93" t="s">
        <v>1039</v>
      </c>
      <c r="B15" s="100">
        <v>1</v>
      </c>
      <c r="E15" s="39" t="s">
        <v>1040</v>
      </c>
      <c r="F15" s="34">
        <f>B28</f>
        <v>15</v>
      </c>
    </row>
    <row r="16" spans="1:6" x14ac:dyDescent="0.3">
      <c r="A16" s="93" t="s">
        <v>1041</v>
      </c>
      <c r="B16" s="100">
        <v>1</v>
      </c>
      <c r="E16" s="34" t="s">
        <v>1042</v>
      </c>
      <c r="F16" s="34">
        <f>B37</f>
        <v>12</v>
      </c>
    </row>
    <row r="17" spans="1:6" x14ac:dyDescent="0.3">
      <c r="A17" s="52" t="s">
        <v>1043</v>
      </c>
      <c r="B17" s="100">
        <v>72</v>
      </c>
      <c r="E17" s="34" t="s">
        <v>1044</v>
      </c>
      <c r="F17" s="34">
        <f>B38</f>
        <v>10</v>
      </c>
    </row>
    <row r="18" spans="1:6" x14ac:dyDescent="0.3">
      <c r="A18" s="93" t="s">
        <v>1045</v>
      </c>
      <c r="B18" s="100">
        <v>22</v>
      </c>
      <c r="C18" s="34" t="s">
        <v>1046</v>
      </c>
    </row>
    <row r="19" spans="1:6" x14ac:dyDescent="0.3">
      <c r="A19" s="93" t="s">
        <v>1047</v>
      </c>
      <c r="B19" s="100">
        <v>20</v>
      </c>
      <c r="C19" s="34" t="s">
        <v>159</v>
      </c>
    </row>
    <row r="20" spans="1:6" x14ac:dyDescent="0.3">
      <c r="A20" s="93" t="s">
        <v>1048</v>
      </c>
      <c r="B20" s="100">
        <v>8</v>
      </c>
      <c r="C20" s="34" t="s">
        <v>1046</v>
      </c>
    </row>
    <row r="21" spans="1:6" x14ac:dyDescent="0.3">
      <c r="A21" s="93" t="s">
        <v>1049</v>
      </c>
      <c r="B21" s="100">
        <v>4</v>
      </c>
      <c r="C21" s="34" t="s">
        <v>75</v>
      </c>
    </row>
    <row r="22" spans="1:6" x14ac:dyDescent="0.3">
      <c r="A22" s="93" t="s">
        <v>1050</v>
      </c>
      <c r="B22" s="100">
        <v>4</v>
      </c>
      <c r="C22" s="34" t="s">
        <v>159</v>
      </c>
    </row>
    <row r="23" spans="1:6" x14ac:dyDescent="0.3">
      <c r="A23" s="93" t="s">
        <v>1051</v>
      </c>
      <c r="B23" s="100">
        <v>3</v>
      </c>
      <c r="C23" s="34" t="s">
        <v>1052</v>
      </c>
    </row>
    <row r="24" spans="1:6" x14ac:dyDescent="0.3">
      <c r="A24" s="93" t="s">
        <v>1053</v>
      </c>
      <c r="B24" s="100">
        <v>3</v>
      </c>
      <c r="C24" s="34" t="s">
        <v>1054</v>
      </c>
    </row>
    <row r="25" spans="1:6" x14ac:dyDescent="0.3">
      <c r="A25" s="103" t="s">
        <v>1055</v>
      </c>
      <c r="B25" s="100">
        <v>3</v>
      </c>
      <c r="C25" s="34" t="s">
        <v>80</v>
      </c>
    </row>
    <row r="26" spans="1:6" x14ac:dyDescent="0.3">
      <c r="A26" s="93" t="s">
        <v>1056</v>
      </c>
      <c r="B26" s="100">
        <v>4</v>
      </c>
      <c r="C26" s="34" t="s">
        <v>1057</v>
      </c>
    </row>
    <row r="27" spans="1:6" x14ac:dyDescent="0.3">
      <c r="A27" s="52" t="s">
        <v>483</v>
      </c>
      <c r="B27" s="100">
        <v>44</v>
      </c>
    </row>
    <row r="28" spans="1:6" x14ac:dyDescent="0.3">
      <c r="A28" s="118" t="s">
        <v>1040</v>
      </c>
      <c r="B28" s="119">
        <v>15</v>
      </c>
    </row>
    <row r="29" spans="1:6" x14ac:dyDescent="0.3">
      <c r="A29" s="93" t="s">
        <v>1058</v>
      </c>
      <c r="B29" s="100">
        <v>14</v>
      </c>
    </row>
    <row r="30" spans="1:6" x14ac:dyDescent="0.3">
      <c r="A30" s="93" t="s">
        <v>1059</v>
      </c>
      <c r="B30" s="100">
        <v>10</v>
      </c>
    </row>
    <row r="31" spans="1:6" x14ac:dyDescent="0.3">
      <c r="A31" s="93" t="s">
        <v>1060</v>
      </c>
      <c r="B31" s="100">
        <v>2</v>
      </c>
    </row>
    <row r="32" spans="1:6" x14ac:dyDescent="0.3">
      <c r="A32" s="93" t="s">
        <v>1061</v>
      </c>
      <c r="B32" s="100">
        <v>2</v>
      </c>
    </row>
    <row r="33" spans="1:6" x14ac:dyDescent="0.3">
      <c r="A33" s="93" t="s">
        <v>1062</v>
      </c>
      <c r="B33" s="100">
        <v>1</v>
      </c>
    </row>
    <row r="34" spans="1:6" x14ac:dyDescent="0.3">
      <c r="A34" s="52" t="s">
        <v>1063</v>
      </c>
      <c r="B34" s="100">
        <v>88</v>
      </c>
    </row>
    <row r="35" spans="1:6" x14ac:dyDescent="0.3">
      <c r="A35" s="103" t="s">
        <v>1064</v>
      </c>
      <c r="B35" s="100">
        <v>26</v>
      </c>
    </row>
    <row r="36" spans="1:6" x14ac:dyDescent="0.3">
      <c r="A36" s="93" t="s">
        <v>1065</v>
      </c>
      <c r="B36" s="100">
        <v>25</v>
      </c>
    </row>
    <row r="37" spans="1:6" x14ac:dyDescent="0.3">
      <c r="A37" s="93" t="s">
        <v>1042</v>
      </c>
      <c r="B37" s="100">
        <v>12</v>
      </c>
      <c r="C37" s="34" t="s">
        <v>1066</v>
      </c>
      <c r="E37" s="34" t="s">
        <v>1067</v>
      </c>
      <c r="F37" s="34" t="s">
        <v>1068</v>
      </c>
    </row>
    <row r="38" spans="1:6" x14ac:dyDescent="0.3">
      <c r="A38" s="93" t="s">
        <v>1044</v>
      </c>
      <c r="B38" s="100">
        <v>10</v>
      </c>
      <c r="C38" s="34" t="s">
        <v>1066</v>
      </c>
      <c r="E38" s="34" t="s">
        <v>1069</v>
      </c>
      <c r="F38" s="34" t="s">
        <v>1070</v>
      </c>
    </row>
    <row r="39" spans="1:6" x14ac:dyDescent="0.3">
      <c r="A39" s="93" t="s">
        <v>1071</v>
      </c>
      <c r="B39" s="100">
        <v>7</v>
      </c>
      <c r="C39" s="34" t="s">
        <v>1057</v>
      </c>
      <c r="E39" s="34" t="s">
        <v>1072</v>
      </c>
      <c r="F39" s="34" t="s">
        <v>1073</v>
      </c>
    </row>
    <row r="40" spans="1:6" x14ac:dyDescent="0.3">
      <c r="A40" s="93" t="s">
        <v>1074</v>
      </c>
      <c r="B40" s="100">
        <v>5</v>
      </c>
      <c r="C40" s="34" t="s">
        <v>159</v>
      </c>
      <c r="E40" s="34" t="s">
        <v>1075</v>
      </c>
    </row>
    <row r="41" spans="1:6" x14ac:dyDescent="0.3">
      <c r="A41" s="93" t="s">
        <v>1076</v>
      </c>
      <c r="B41" s="100">
        <v>2</v>
      </c>
      <c r="C41" s="34" t="s">
        <v>1057</v>
      </c>
      <c r="E41" s="34" t="s">
        <v>1077</v>
      </c>
    </row>
    <row r="42" spans="1:6" x14ac:dyDescent="0.3">
      <c r="A42" s="93" t="s">
        <v>1078</v>
      </c>
      <c r="B42" s="100">
        <v>2</v>
      </c>
      <c r="C42" s="34" t="s">
        <v>1046</v>
      </c>
      <c r="E42" s="126" t="s">
        <v>1079</v>
      </c>
    </row>
    <row r="43" spans="1:6" x14ac:dyDescent="0.3">
      <c r="A43" s="93" t="s">
        <v>1080</v>
      </c>
      <c r="B43" s="100">
        <v>0</v>
      </c>
      <c r="E43" s="34" t="s">
        <v>1081</v>
      </c>
    </row>
    <row r="44" spans="1:6" x14ac:dyDescent="0.3">
      <c r="A44" s="52" t="s">
        <v>1082</v>
      </c>
      <c r="B44" s="100">
        <v>40</v>
      </c>
    </row>
    <row r="45" spans="1:6" x14ac:dyDescent="0.3">
      <c r="A45" s="103" t="s">
        <v>1083</v>
      </c>
      <c r="B45" s="104">
        <v>21</v>
      </c>
    </row>
    <row r="46" spans="1:6" x14ac:dyDescent="0.3">
      <c r="A46" s="93" t="s">
        <v>1084</v>
      </c>
      <c r="B46" s="100">
        <v>6</v>
      </c>
    </row>
    <row r="47" spans="1:6" x14ac:dyDescent="0.3">
      <c r="A47" s="103" t="s">
        <v>1085</v>
      </c>
      <c r="B47" s="104">
        <v>4</v>
      </c>
    </row>
    <row r="48" spans="1:6" x14ac:dyDescent="0.3">
      <c r="A48" s="93" t="s">
        <v>1086</v>
      </c>
      <c r="B48" s="100">
        <v>4</v>
      </c>
    </row>
    <row r="49" spans="1:2" x14ac:dyDescent="0.3">
      <c r="A49" s="103" t="s">
        <v>1087</v>
      </c>
      <c r="B49" s="104">
        <v>3</v>
      </c>
    </row>
    <row r="50" spans="1:2" x14ac:dyDescent="0.3">
      <c r="A50" s="93" t="s">
        <v>1088</v>
      </c>
      <c r="B50" s="100">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167"/>
      <c r="J1" s="1167"/>
      <c r="K1" s="1167"/>
    </row>
    <row r="2" spans="1:62" s="1" customFormat="1" ht="13" customHeight="1" x14ac:dyDescent="0.35">
      <c r="A2" s="228"/>
      <c r="O2" s="1168" t="s">
        <v>1089</v>
      </c>
      <c r="P2" s="1168"/>
      <c r="Q2" s="1168"/>
      <c r="R2" s="1168"/>
      <c r="S2" s="1168"/>
      <c r="T2" s="227"/>
      <c r="U2" s="227"/>
      <c r="V2" s="227"/>
      <c r="W2" s="227"/>
      <c r="X2" s="227"/>
      <c r="Y2" s="1169" t="s">
        <v>1090</v>
      </c>
      <c r="Z2" s="1170"/>
      <c r="AA2" s="1170"/>
      <c r="AB2" s="1170"/>
      <c r="AC2" s="1170"/>
      <c r="AD2" s="1170"/>
      <c r="AE2" s="227"/>
      <c r="AF2" s="227"/>
      <c r="AG2" s="1171" t="s">
        <v>1091</v>
      </c>
      <c r="AH2" s="1170"/>
      <c r="AI2" s="1170"/>
      <c r="AJ2" s="1173" t="s">
        <v>1092</v>
      </c>
      <c r="AK2" s="1173"/>
      <c r="AL2" s="1173"/>
      <c r="AM2" s="1173"/>
      <c r="AN2" s="1173"/>
      <c r="AO2" s="1173"/>
      <c r="AP2" s="1173"/>
      <c r="AQ2" s="1173"/>
      <c r="AR2" s="1173"/>
      <c r="AS2" s="1173"/>
      <c r="AT2" s="538"/>
      <c r="AU2" s="1172" t="s">
        <v>527</v>
      </c>
      <c r="AV2" s="1172"/>
      <c r="AW2" s="1172"/>
      <c r="AX2" s="1172"/>
      <c r="AY2" s="1172"/>
      <c r="AZ2" s="1172"/>
      <c r="BA2" s="1172"/>
      <c r="BB2" s="418"/>
      <c r="BC2" s="418"/>
      <c r="BD2" s="418"/>
      <c r="BE2" s="418"/>
      <c r="BF2" s="418"/>
      <c r="BG2" s="418"/>
      <c r="BH2" s="418"/>
      <c r="BI2" s="418"/>
      <c r="BJ2" s="425" t="s">
        <v>1093</v>
      </c>
    </row>
    <row r="3" spans="1:62" ht="43.5" x14ac:dyDescent="0.35">
      <c r="A3" s="229"/>
      <c r="B3" s="229"/>
      <c r="C3" s="229"/>
      <c r="D3" s="229"/>
      <c r="E3" s="229"/>
      <c r="F3" s="229"/>
      <c r="G3" s="229"/>
      <c r="H3" s="229"/>
      <c r="I3" s="229"/>
      <c r="J3" s="229"/>
      <c r="K3" s="229"/>
      <c r="L3" s="229"/>
      <c r="M3" s="229"/>
      <c r="N3" s="229"/>
      <c r="O3" s="3" t="s">
        <v>1094</v>
      </c>
      <c r="P3" s="3" t="s">
        <v>1095</v>
      </c>
      <c r="Q3" s="3" t="s">
        <v>1096</v>
      </c>
      <c r="R3" s="3" t="s">
        <v>1097</v>
      </c>
      <c r="S3" s="3" t="s">
        <v>1098</v>
      </c>
      <c r="T3" s="3" t="s">
        <v>1099</v>
      </c>
      <c r="U3" s="3" t="s">
        <v>1100</v>
      </c>
      <c r="V3" s="3" t="s">
        <v>1101</v>
      </c>
      <c r="W3" s="3" t="s">
        <v>1102</v>
      </c>
      <c r="X3" s="3" t="s">
        <v>1103</v>
      </c>
      <c r="Y3" s="3" t="s">
        <v>1104</v>
      </c>
      <c r="Z3" s="3"/>
      <c r="AA3" s="3"/>
      <c r="AB3" s="3"/>
      <c r="AC3" s="3" t="s">
        <v>1105</v>
      </c>
      <c r="AD3" s="3" t="s">
        <v>1106</v>
      </c>
      <c r="AE3" s="3" t="s">
        <v>1107</v>
      </c>
      <c r="AF3" s="3" t="s">
        <v>1108</v>
      </c>
      <c r="AG3" s="3" t="s">
        <v>1109</v>
      </c>
      <c r="AH3" s="3" t="s">
        <v>1110</v>
      </c>
      <c r="AI3" s="3" t="s">
        <v>1111</v>
      </c>
      <c r="AJ3" s="3" t="s">
        <v>1112</v>
      </c>
      <c r="AK3" s="3" t="s">
        <v>1113</v>
      </c>
      <c r="AL3" s="3" t="s">
        <v>1114</v>
      </c>
      <c r="AM3" s="3" t="s">
        <v>1115</v>
      </c>
      <c r="AN3" s="3" t="s">
        <v>1116</v>
      </c>
      <c r="AO3" s="3" t="s">
        <v>1117</v>
      </c>
      <c r="AP3" s="3" t="s">
        <v>1118</v>
      </c>
      <c r="AQ3" s="4" t="s">
        <v>1119</v>
      </c>
      <c r="AR3" s="3" t="s">
        <v>1120</v>
      </c>
      <c r="AS3" s="3" t="s">
        <v>1121</v>
      </c>
      <c r="AT3" s="3" t="s">
        <v>1122</v>
      </c>
      <c r="AU3" s="3" t="s">
        <v>1123</v>
      </c>
      <c r="AV3" s="3" t="s">
        <v>1124</v>
      </c>
      <c r="AW3" s="3" t="s">
        <v>1125</v>
      </c>
      <c r="AX3" s="3" t="s">
        <v>1126</v>
      </c>
      <c r="AY3" s="3" t="s">
        <v>1127</v>
      </c>
      <c r="AZ3" s="3" t="s">
        <v>1128</v>
      </c>
      <c r="BA3" s="3" t="s">
        <v>1105</v>
      </c>
      <c r="BB3" s="426" t="s">
        <v>1129</v>
      </c>
      <c r="BC3" s="426" t="s">
        <v>1130</v>
      </c>
      <c r="BD3" s="426" t="s">
        <v>1131</v>
      </c>
      <c r="BE3" s="426" t="s">
        <v>1132</v>
      </c>
      <c r="BF3" s="426" t="s">
        <v>1133</v>
      </c>
      <c r="BG3" s="426" t="s">
        <v>1134</v>
      </c>
      <c r="BH3" s="426" t="s">
        <v>1135</v>
      </c>
      <c r="BI3" s="426" t="s">
        <v>1136</v>
      </c>
      <c r="BJ3" s="420" t="s">
        <v>1137</v>
      </c>
    </row>
    <row r="4" spans="1:62" s="1" customFormat="1" ht="63" customHeight="1" x14ac:dyDescent="0.35">
      <c r="A4" s="429" t="s">
        <v>1138</v>
      </c>
      <c r="B4" s="228" t="s">
        <v>81</v>
      </c>
      <c r="C4" s="228" t="s">
        <v>1139</v>
      </c>
      <c r="D4" s="228" t="s">
        <v>1009</v>
      </c>
      <c r="E4" s="228" t="s">
        <v>1140</v>
      </c>
      <c r="F4" s="228" t="s">
        <v>1141</v>
      </c>
      <c r="G4" s="228" t="s">
        <v>1142</v>
      </c>
      <c r="H4" s="228" t="s">
        <v>181</v>
      </c>
      <c r="I4" s="244" t="s">
        <v>489</v>
      </c>
      <c r="J4" s="244" t="s">
        <v>200</v>
      </c>
      <c r="K4" s="244" t="s">
        <v>1143</v>
      </c>
      <c r="L4" s="236" t="s">
        <v>209</v>
      </c>
      <c r="M4" s="228" t="s">
        <v>159</v>
      </c>
      <c r="N4" s="228" t="s">
        <v>1144</v>
      </c>
      <c r="O4" s="426" t="s">
        <v>1145</v>
      </c>
      <c r="P4" s="426" t="s">
        <v>1146</v>
      </c>
      <c r="Q4" s="426" t="s">
        <v>1147</v>
      </c>
      <c r="R4" s="426" t="s">
        <v>1148</v>
      </c>
      <c r="S4" s="426" t="s">
        <v>1149</v>
      </c>
      <c r="T4" s="426" t="s">
        <v>1150</v>
      </c>
      <c r="U4" s="426" t="s">
        <v>1151</v>
      </c>
      <c r="V4" s="426" t="s">
        <v>1152</v>
      </c>
      <c r="W4" s="426" t="s">
        <v>1153</v>
      </c>
      <c r="X4" s="426" t="s">
        <v>1154</v>
      </c>
      <c r="Y4" s="426" t="s">
        <v>1155</v>
      </c>
      <c r="Z4" s="426" t="s">
        <v>1156</v>
      </c>
      <c r="AA4" s="426" t="s">
        <v>1157</v>
      </c>
      <c r="AB4" s="426" t="s">
        <v>1158</v>
      </c>
      <c r="AC4" s="426" t="s">
        <v>1159</v>
      </c>
      <c r="AD4" s="426" t="s">
        <v>1160</v>
      </c>
      <c r="AE4" s="426" t="s">
        <v>1161</v>
      </c>
      <c r="AF4" s="426" t="s">
        <v>1162</v>
      </c>
      <c r="AG4" s="426" t="s">
        <v>262</v>
      </c>
      <c r="AH4" s="426" t="s">
        <v>263</v>
      </c>
      <c r="AI4" s="426" t="s">
        <v>1163</v>
      </c>
      <c r="AJ4" s="426" t="s">
        <v>1164</v>
      </c>
      <c r="AK4" s="426" t="s">
        <v>1165</v>
      </c>
      <c r="AL4" s="426" t="s">
        <v>1166</v>
      </c>
      <c r="AM4" s="426" t="s">
        <v>1167</v>
      </c>
      <c r="AN4" s="426" t="s">
        <v>1168</v>
      </c>
      <c r="AO4" s="426" t="s">
        <v>1169</v>
      </c>
      <c r="AP4" s="426" t="s">
        <v>1170</v>
      </c>
      <c r="AQ4" s="427" t="s">
        <v>1171</v>
      </c>
      <c r="AR4" s="426" t="s">
        <v>1172</v>
      </c>
      <c r="AS4" s="426" t="s">
        <v>1173</v>
      </c>
      <c r="AT4" s="426" t="s">
        <v>1174</v>
      </c>
      <c r="AU4" s="426" t="s">
        <v>1175</v>
      </c>
      <c r="AV4" s="426" t="s">
        <v>1176</v>
      </c>
      <c r="AW4" s="426" t="s">
        <v>1177</v>
      </c>
      <c r="AX4" s="426" t="s">
        <v>1178</v>
      </c>
      <c r="AY4" s="426" t="s">
        <v>1179</v>
      </c>
      <c r="AZ4" s="426" t="s">
        <v>1180</v>
      </c>
      <c r="BA4" s="426"/>
      <c r="BB4" s="426" t="s">
        <v>590</v>
      </c>
      <c r="BC4" s="426" t="s">
        <v>1181</v>
      </c>
      <c r="BD4" s="426" t="s">
        <v>1182</v>
      </c>
      <c r="BE4" s="426" t="s">
        <v>1183</v>
      </c>
      <c r="BF4" s="426" t="s">
        <v>1184</v>
      </c>
      <c r="BG4" s="426" t="s">
        <v>1185</v>
      </c>
      <c r="BH4" s="426" t="s">
        <v>1186</v>
      </c>
      <c r="BI4" s="426" t="s">
        <v>1187</v>
      </c>
      <c r="BJ4" s="428" t="s">
        <v>1188</v>
      </c>
    </row>
    <row r="5" spans="1:62" x14ac:dyDescent="0.35">
      <c r="A5" s="230">
        <v>2021</v>
      </c>
      <c r="B5" s="232">
        <f>Q5</f>
        <v>394.202</v>
      </c>
      <c r="C5" s="232">
        <f>SUM(Y5:AB5)</f>
        <v>195.7</v>
      </c>
      <c r="D5" s="232">
        <f>T5</f>
        <v>18.823</v>
      </c>
      <c r="E5" s="232">
        <f t="shared" ref="E5:E15" si="0">SUM(O5:S5)-B5</f>
        <v>50.77600000000001</v>
      </c>
      <c r="F5" s="232">
        <f t="shared" ref="F5:F15" si="1">SUM(T5:AF5)-C5-L5-D5</f>
        <v>47.722000000000016</v>
      </c>
      <c r="G5" s="232">
        <f>SUM(BB5:BI5)-BC5</f>
        <v>81.642999999999986</v>
      </c>
      <c r="H5" s="232">
        <f>SUM(AG5:AI5)</f>
        <v>7.798</v>
      </c>
      <c r="I5" s="232">
        <f>AJ5</f>
        <v>283.95749999999998</v>
      </c>
      <c r="J5" s="232">
        <f>AL5</f>
        <v>12.347</v>
      </c>
      <c r="K5" s="232">
        <f>SUM(AM5:AT5)</f>
        <v>29.628</v>
      </c>
      <c r="L5" s="247">
        <f>103/4</f>
        <v>25.75</v>
      </c>
      <c r="M5" s="232">
        <f t="shared" ref="M5:M16" si="2">SUM(AU5:BA5)</f>
        <v>31.939</v>
      </c>
      <c r="N5" s="232">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21">
        <v>1.1599999999999999</v>
      </c>
    </row>
    <row r="6" spans="1:62" x14ac:dyDescent="0.35">
      <c r="A6" s="230">
        <v>2022</v>
      </c>
      <c r="B6" s="232">
        <f t="shared" ref="B6:B15" si="3">Q6</f>
        <v>17.465</v>
      </c>
      <c r="C6" s="232">
        <f t="shared" ref="C6:C15" si="4">SUM(Y6:AB6)</f>
        <v>10.1</v>
      </c>
      <c r="D6" s="232">
        <f t="shared" ref="D6:D15" si="5">T6</f>
        <v>2.5950000000000002</v>
      </c>
      <c r="E6" s="232">
        <f t="shared" si="0"/>
        <v>74.718999999999994</v>
      </c>
      <c r="F6" s="232">
        <f t="shared" si="1"/>
        <v>52.756999999999998</v>
      </c>
      <c r="G6" s="232">
        <f t="shared" ref="G6:G16" si="6">SUM(BB6:BI6)-BC6</f>
        <v>110.24799999999999</v>
      </c>
      <c r="H6" s="232">
        <f t="shared" ref="H6:H15" si="7">SUM(AG6:AI6)</f>
        <v>7.9489999999999998</v>
      </c>
      <c r="I6" s="232">
        <f t="shared" ref="I6:I15" si="8">AJ6</f>
        <v>77.092500000000001</v>
      </c>
      <c r="J6" s="232">
        <f t="shared" ref="J6:J15" si="9">AL6</f>
        <v>46.79</v>
      </c>
      <c r="K6" s="232">
        <f t="shared" ref="K6:K16" si="10">SUM(AM6:AT6)</f>
        <v>35.671000000000006</v>
      </c>
      <c r="L6" s="247">
        <v>0</v>
      </c>
      <c r="M6" s="232">
        <f t="shared" si="2"/>
        <v>56.412999999999997</v>
      </c>
      <c r="N6" s="232">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21">
        <v>4.2</v>
      </c>
    </row>
    <row r="7" spans="1:62" x14ac:dyDescent="0.35">
      <c r="A7" s="230">
        <v>2023</v>
      </c>
      <c r="B7" s="232">
        <f t="shared" si="3"/>
        <v>0.48599999999999999</v>
      </c>
      <c r="C7" s="232">
        <f t="shared" si="4"/>
        <v>0</v>
      </c>
      <c r="D7" s="232">
        <f t="shared" si="5"/>
        <v>0.93700000000000006</v>
      </c>
      <c r="E7" s="232">
        <f t="shared" si="0"/>
        <v>2.1159999999999997</v>
      </c>
      <c r="F7" s="232">
        <f t="shared" si="1"/>
        <v>12</v>
      </c>
      <c r="G7" s="232">
        <f t="shared" si="6"/>
        <v>12.726000000000001</v>
      </c>
      <c r="H7" s="232">
        <f t="shared" si="7"/>
        <v>4.7519999999999998</v>
      </c>
      <c r="I7" s="232">
        <f t="shared" si="8"/>
        <v>1</v>
      </c>
      <c r="J7" s="232">
        <f t="shared" si="9"/>
        <v>38.595999999999997</v>
      </c>
      <c r="K7" s="232">
        <f t="shared" si="10"/>
        <v>24.216000000000001</v>
      </c>
      <c r="L7" s="247">
        <v>0</v>
      </c>
      <c r="M7" s="232">
        <f t="shared" si="2"/>
        <v>15.652999999999999</v>
      </c>
      <c r="N7" s="232">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21">
        <v>2.7</v>
      </c>
    </row>
    <row r="8" spans="1:62" x14ac:dyDescent="0.35">
      <c r="A8" s="230">
        <v>2024</v>
      </c>
      <c r="B8" s="232">
        <f t="shared" si="3"/>
        <v>0</v>
      </c>
      <c r="C8" s="232">
        <f t="shared" si="4"/>
        <v>0</v>
      </c>
      <c r="D8" s="232">
        <f t="shared" si="5"/>
        <v>0.16</v>
      </c>
      <c r="E8" s="232">
        <f t="shared" si="0"/>
        <v>2.1789999999999998</v>
      </c>
      <c r="F8" s="232">
        <f t="shared" si="1"/>
        <v>4.2219999999999995</v>
      </c>
      <c r="G8" s="232">
        <f t="shared" si="6"/>
        <v>1.365</v>
      </c>
      <c r="H8" s="232">
        <f t="shared" si="7"/>
        <v>4.637999999999999</v>
      </c>
      <c r="I8" s="232">
        <f t="shared" si="8"/>
        <v>0</v>
      </c>
      <c r="J8" s="232">
        <f t="shared" si="9"/>
        <v>31.911000000000001</v>
      </c>
      <c r="K8" s="232">
        <f t="shared" si="10"/>
        <v>9.6430000000000007</v>
      </c>
      <c r="L8" s="247">
        <v>0</v>
      </c>
      <c r="M8" s="232">
        <f t="shared" si="2"/>
        <v>3.9320000000000004</v>
      </c>
      <c r="N8" s="232">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22">
        <v>0.87</v>
      </c>
    </row>
    <row r="9" spans="1:62" x14ac:dyDescent="0.35">
      <c r="A9" s="230">
        <v>2025</v>
      </c>
      <c r="B9" s="232">
        <f t="shared" si="3"/>
        <v>0</v>
      </c>
      <c r="C9" s="232">
        <f t="shared" si="4"/>
        <v>0</v>
      </c>
      <c r="D9" s="232">
        <f t="shared" si="5"/>
        <v>3.3000000000000002E-2</v>
      </c>
      <c r="E9" s="232">
        <f t="shared" si="0"/>
        <v>2.33</v>
      </c>
      <c r="F9" s="232">
        <f t="shared" si="1"/>
        <v>2.3719999999999999</v>
      </c>
      <c r="G9" s="232">
        <f t="shared" si="6"/>
        <v>-0.90100000000000025</v>
      </c>
      <c r="H9" s="232">
        <f t="shared" si="7"/>
        <v>1.8800000000000001</v>
      </c>
      <c r="I9" s="232">
        <f t="shared" si="8"/>
        <v>0</v>
      </c>
      <c r="J9" s="232">
        <f t="shared" si="9"/>
        <v>23.099</v>
      </c>
      <c r="K9" s="232">
        <f t="shared" si="10"/>
        <v>4.5789999999999997</v>
      </c>
      <c r="L9" s="247">
        <v>0</v>
      </c>
      <c r="M9" s="232">
        <f t="shared" si="2"/>
        <v>-0.74299999999999988</v>
      </c>
      <c r="N9" s="232">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3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22">
        <v>0.33</v>
      </c>
    </row>
    <row r="10" spans="1:62" x14ac:dyDescent="0.35">
      <c r="A10" s="230">
        <v>2026</v>
      </c>
      <c r="B10" s="232">
        <f t="shared" si="3"/>
        <v>0</v>
      </c>
      <c r="C10" s="232">
        <f t="shared" si="4"/>
        <v>0</v>
      </c>
      <c r="D10" s="232">
        <f t="shared" si="5"/>
        <v>3.2000000000000001E-2</v>
      </c>
      <c r="E10" s="232">
        <f t="shared" si="0"/>
        <v>2.371</v>
      </c>
      <c r="F10" s="232">
        <f t="shared" si="1"/>
        <v>0.49</v>
      </c>
      <c r="G10" s="232">
        <f t="shared" si="6"/>
        <v>-2.1500000000000004</v>
      </c>
      <c r="H10" s="232">
        <f t="shared" si="7"/>
        <v>1.446</v>
      </c>
      <c r="I10" s="232">
        <f t="shared" si="8"/>
        <v>0</v>
      </c>
      <c r="J10" s="232">
        <f t="shared" si="9"/>
        <v>10.766999999999999</v>
      </c>
      <c r="K10" s="232">
        <f t="shared" si="10"/>
        <v>2.9130000000000003</v>
      </c>
      <c r="L10" s="247"/>
      <c r="M10" s="232">
        <f t="shared" si="2"/>
        <v>-21.606000000000002</v>
      </c>
      <c r="N10" s="232">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3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22">
        <v>0.17</v>
      </c>
    </row>
    <row r="11" spans="1:62" x14ac:dyDescent="0.35">
      <c r="A11" s="230">
        <v>2027</v>
      </c>
      <c r="B11" s="232">
        <f t="shared" si="3"/>
        <v>0</v>
      </c>
      <c r="C11" s="232">
        <f t="shared" si="4"/>
        <v>0</v>
      </c>
      <c r="D11" s="232">
        <f t="shared" si="5"/>
        <v>3.2000000000000001E-2</v>
      </c>
      <c r="E11" s="232">
        <f t="shared" si="0"/>
        <v>2.0129999999999999</v>
      </c>
      <c r="F11" s="232">
        <f t="shared" si="1"/>
        <v>0</v>
      </c>
      <c r="G11" s="232">
        <f t="shared" si="6"/>
        <v>-4.8169999999999993</v>
      </c>
      <c r="H11" s="232">
        <f t="shared" si="7"/>
        <v>0.65699999999999992</v>
      </c>
      <c r="I11" s="232">
        <f t="shared" si="8"/>
        <v>0</v>
      </c>
      <c r="J11" s="232">
        <f t="shared" si="9"/>
        <v>4.0789999999999997</v>
      </c>
      <c r="K11" s="232">
        <f t="shared" si="10"/>
        <v>2.46</v>
      </c>
      <c r="L11" s="247"/>
      <c r="M11" s="232">
        <f t="shared" si="2"/>
        <v>-14.713000000000001</v>
      </c>
      <c r="N11" s="232">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30">
        <v>0.1</v>
      </c>
      <c r="AP11" s="5">
        <v>0.03</v>
      </c>
      <c r="AQ11" s="10">
        <v>0</v>
      </c>
      <c r="AR11" s="5">
        <v>0</v>
      </c>
      <c r="AS11" s="5">
        <v>0</v>
      </c>
      <c r="AT11" s="43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23">
        <v>0.06</v>
      </c>
    </row>
    <row r="12" spans="1:62" x14ac:dyDescent="0.35">
      <c r="A12" s="230">
        <v>2028</v>
      </c>
      <c r="B12" s="232">
        <f t="shared" si="3"/>
        <v>0</v>
      </c>
      <c r="C12" s="232">
        <f t="shared" si="4"/>
        <v>0</v>
      </c>
      <c r="D12" s="232">
        <f t="shared" si="5"/>
        <v>3.3000000000000002E-2</v>
      </c>
      <c r="E12" s="232">
        <f t="shared" si="0"/>
        <v>2.0129999999999999</v>
      </c>
      <c r="F12" s="232">
        <f t="shared" si="1"/>
        <v>0</v>
      </c>
      <c r="G12" s="232">
        <f t="shared" si="6"/>
        <v>-5.0590000000000002</v>
      </c>
      <c r="H12" s="232">
        <f t="shared" si="7"/>
        <v>-1.071</v>
      </c>
      <c r="I12" s="232">
        <f t="shared" si="8"/>
        <v>0</v>
      </c>
      <c r="J12" s="232">
        <f t="shared" si="9"/>
        <v>1.635</v>
      </c>
      <c r="K12" s="232">
        <f t="shared" si="10"/>
        <v>1.81</v>
      </c>
      <c r="L12" s="247"/>
      <c r="M12" s="232">
        <f t="shared" si="2"/>
        <v>-2.7690000000000001</v>
      </c>
      <c r="N12" s="232">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3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23">
        <v>0.03</v>
      </c>
    </row>
    <row r="13" spans="1:62" x14ac:dyDescent="0.35">
      <c r="A13" s="230">
        <v>2029</v>
      </c>
      <c r="B13" s="232">
        <f t="shared" si="3"/>
        <v>0</v>
      </c>
      <c r="C13" s="232">
        <f t="shared" si="4"/>
        <v>0</v>
      </c>
      <c r="D13" s="232">
        <f t="shared" si="5"/>
        <v>3.3000000000000002E-2</v>
      </c>
      <c r="E13" s="232">
        <f t="shared" si="0"/>
        <v>2.0129999999999999</v>
      </c>
      <c r="F13" s="232">
        <f t="shared" si="1"/>
        <v>0</v>
      </c>
      <c r="G13" s="232">
        <f t="shared" si="6"/>
        <v>-5.218</v>
      </c>
      <c r="H13" s="232">
        <f t="shared" si="7"/>
        <v>-1.964</v>
      </c>
      <c r="I13" s="232">
        <f t="shared" si="8"/>
        <v>0</v>
      </c>
      <c r="J13" s="232">
        <f t="shared" si="9"/>
        <v>-1.7000000000000001E-2</v>
      </c>
      <c r="K13" s="232">
        <f t="shared" si="10"/>
        <v>1</v>
      </c>
      <c r="L13" s="247"/>
      <c r="M13" s="232">
        <f t="shared" si="2"/>
        <v>-2.75</v>
      </c>
      <c r="N13" s="232">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3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23">
        <v>0.01</v>
      </c>
    </row>
    <row r="14" spans="1:62" x14ac:dyDescent="0.35">
      <c r="A14" s="230">
        <v>2030</v>
      </c>
      <c r="B14" s="232">
        <f t="shared" si="3"/>
        <v>0</v>
      </c>
      <c r="C14" s="232">
        <f t="shared" si="4"/>
        <v>0</v>
      </c>
      <c r="D14" s="232">
        <f t="shared" si="5"/>
        <v>3.3000000000000002E-2</v>
      </c>
      <c r="E14" s="232">
        <f t="shared" si="0"/>
        <v>2.1130000000000004</v>
      </c>
      <c r="F14" s="232">
        <f t="shared" si="1"/>
        <v>0</v>
      </c>
      <c r="G14" s="232">
        <f t="shared" si="6"/>
        <v>-5.9420000000000002</v>
      </c>
      <c r="H14" s="232">
        <f t="shared" si="7"/>
        <v>-2.0210000000000004</v>
      </c>
      <c r="I14" s="232">
        <f t="shared" si="8"/>
        <v>0</v>
      </c>
      <c r="J14" s="232">
        <f t="shared" si="9"/>
        <v>-1.9E-2</v>
      </c>
      <c r="K14" s="232">
        <f t="shared" si="10"/>
        <v>0.8</v>
      </c>
      <c r="L14" s="247"/>
      <c r="M14" s="232">
        <f t="shared" si="2"/>
        <v>-8.1189999999999998</v>
      </c>
      <c r="N14" s="232">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22">
        <v>0.01</v>
      </c>
    </row>
    <row r="15" spans="1:62" ht="17.149999999999999" customHeight="1" x14ac:dyDescent="0.35">
      <c r="A15" s="230">
        <v>2031</v>
      </c>
      <c r="B15" s="232">
        <f t="shared" si="3"/>
        <v>0</v>
      </c>
      <c r="C15" s="232">
        <f t="shared" si="4"/>
        <v>0</v>
      </c>
      <c r="D15" s="232">
        <f t="shared" si="5"/>
        <v>0</v>
      </c>
      <c r="E15" s="232">
        <f t="shared" si="0"/>
        <v>2.1230000000000002</v>
      </c>
      <c r="F15" s="232">
        <f t="shared" si="1"/>
        <v>0</v>
      </c>
      <c r="G15" s="232">
        <f t="shared" si="6"/>
        <v>-7.7250000000000005</v>
      </c>
      <c r="H15" s="232">
        <f t="shared" si="7"/>
        <v>-2.4630000000000001</v>
      </c>
      <c r="I15" s="232">
        <f t="shared" si="8"/>
        <v>0</v>
      </c>
      <c r="J15" s="232">
        <f t="shared" si="9"/>
        <v>-1.9E-2</v>
      </c>
      <c r="K15" s="232">
        <f t="shared" si="10"/>
        <v>0</v>
      </c>
      <c r="L15" s="247"/>
      <c r="M15" s="232">
        <f t="shared" si="2"/>
        <v>-3.0390000000000001</v>
      </c>
      <c r="N15" s="232">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22">
        <v>0</v>
      </c>
    </row>
    <row r="16" spans="1:62" x14ac:dyDescent="0.35">
      <c r="A16" s="231" t="s">
        <v>445</v>
      </c>
      <c r="B16" s="231">
        <f>SUM(B5:B15)</f>
        <v>412.15299999999996</v>
      </c>
      <c r="C16" s="231">
        <f>SUM(C5:C15)</f>
        <v>205.79999999999998</v>
      </c>
      <c r="D16" s="231">
        <f>SUM(D5:D15)</f>
        <v>22.711000000000006</v>
      </c>
      <c r="E16" s="231">
        <f t="shared" ref="E16:H16" si="12">SUM(E5:E15)</f>
        <v>144.76600000000002</v>
      </c>
      <c r="F16" s="231">
        <f t="shared" si="12"/>
        <v>119.563</v>
      </c>
      <c r="G16" s="232">
        <f t="shared" si="6"/>
        <v>174.17</v>
      </c>
      <c r="H16" s="231">
        <f t="shared" si="12"/>
        <v>21.600999999999996</v>
      </c>
      <c r="I16" s="247">
        <f t="shared" ref="I16" si="13">SUM(I5:I15)</f>
        <v>362.04999999999995</v>
      </c>
      <c r="J16" s="247">
        <f t="shared" ref="J16" si="14">SUM(J5:J15)</f>
        <v>169.16899999999998</v>
      </c>
      <c r="K16" s="232">
        <f t="shared" si="10"/>
        <v>112.72</v>
      </c>
      <c r="L16" s="247">
        <f>SUM(L5:L15)</f>
        <v>25.75</v>
      </c>
      <c r="M16" s="232">
        <f t="shared" si="2"/>
        <v>85.197999999999993</v>
      </c>
      <c r="N16" s="232">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24">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1189</v>
      </c>
      <c r="BD18" s="8" t="s">
        <v>1189</v>
      </c>
      <c r="BE18" s="8"/>
      <c r="BF18" s="8" t="s">
        <v>1189</v>
      </c>
      <c r="BG18" s="8" t="s">
        <v>1189</v>
      </c>
      <c r="BI18" s="8" t="s">
        <v>1189</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1190</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272" t="s">
        <v>1191</v>
      </c>
      <c r="B1" s="272"/>
      <c r="C1" s="272"/>
      <c r="D1" s="272"/>
    </row>
    <row r="2" spans="1:22" x14ac:dyDescent="0.35">
      <c r="A2" t="s">
        <v>1192</v>
      </c>
      <c r="B2" s="221">
        <v>2021</v>
      </c>
      <c r="C2" s="221">
        <v>2021</v>
      </c>
      <c r="D2" s="221">
        <v>2021</v>
      </c>
      <c r="E2" s="221">
        <v>2022</v>
      </c>
      <c r="F2" s="221">
        <v>2022</v>
      </c>
      <c r="G2" s="221">
        <v>2022</v>
      </c>
      <c r="H2" s="221">
        <v>2022</v>
      </c>
      <c r="I2" s="221">
        <v>2023</v>
      </c>
      <c r="J2" s="221">
        <v>2023</v>
      </c>
      <c r="K2" s="221">
        <v>2023</v>
      </c>
      <c r="L2" s="221">
        <v>2023</v>
      </c>
      <c r="M2" s="221">
        <v>2024</v>
      </c>
      <c r="N2" s="221">
        <v>2024</v>
      </c>
      <c r="O2" s="221">
        <v>2024</v>
      </c>
      <c r="P2" s="221">
        <v>2024</v>
      </c>
      <c r="Q2" s="221">
        <v>2025</v>
      </c>
      <c r="R2" s="221">
        <v>2025</v>
      </c>
      <c r="S2" s="221">
        <v>2025</v>
      </c>
      <c r="T2" s="221">
        <v>2025</v>
      </c>
      <c r="U2" s="221">
        <v>2026</v>
      </c>
    </row>
    <row r="3" spans="1:22" x14ac:dyDescent="0.35">
      <c r="A3" s="24" t="s">
        <v>1193</v>
      </c>
      <c r="B3" s="233" t="s">
        <v>1194</v>
      </c>
      <c r="C3" s="233" t="s">
        <v>1195</v>
      </c>
      <c r="D3" s="233" t="s">
        <v>1196</v>
      </c>
      <c r="E3" s="233" t="s">
        <v>1197</v>
      </c>
      <c r="F3" s="233" t="s">
        <v>1198</v>
      </c>
      <c r="G3" s="233" t="s">
        <v>1199</v>
      </c>
      <c r="H3" s="233" t="s">
        <v>1200</v>
      </c>
      <c r="I3" s="233" t="s">
        <v>1201</v>
      </c>
      <c r="J3" s="233" t="s">
        <v>1202</v>
      </c>
      <c r="K3" s="233" t="s">
        <v>1203</v>
      </c>
      <c r="L3" s="233" t="s">
        <v>1204</v>
      </c>
      <c r="M3" s="233" t="s">
        <v>1205</v>
      </c>
      <c r="N3" s="233" t="s">
        <v>1206</v>
      </c>
      <c r="O3" s="233" t="s">
        <v>1207</v>
      </c>
      <c r="P3" s="233" t="s">
        <v>1208</v>
      </c>
      <c r="Q3" s="233" t="s">
        <v>1209</v>
      </c>
      <c r="R3" s="233" t="s">
        <v>1210</v>
      </c>
      <c r="S3" s="233" t="s">
        <v>1211</v>
      </c>
      <c r="T3" s="233" t="s">
        <v>1212</v>
      </c>
      <c r="U3" s="233" t="s">
        <v>1213</v>
      </c>
    </row>
    <row r="4" spans="1:22" x14ac:dyDescent="0.35">
      <c r="A4" s="24" t="s">
        <v>1214</v>
      </c>
      <c r="B4" s="233"/>
      <c r="C4" s="233"/>
      <c r="D4" s="233">
        <v>0</v>
      </c>
      <c r="E4" s="233">
        <v>0</v>
      </c>
      <c r="F4" s="233">
        <v>0.5</v>
      </c>
      <c r="G4" s="233">
        <v>0.5</v>
      </c>
      <c r="H4" s="233">
        <v>0</v>
      </c>
      <c r="I4" s="233">
        <v>0</v>
      </c>
      <c r="J4" s="233">
        <v>0</v>
      </c>
      <c r="K4" s="233">
        <v>0</v>
      </c>
      <c r="L4" s="233">
        <v>0</v>
      </c>
      <c r="M4" s="233">
        <v>0</v>
      </c>
      <c r="N4" s="233">
        <v>0</v>
      </c>
      <c r="O4" s="233">
        <v>0</v>
      </c>
      <c r="P4" s="233">
        <v>0</v>
      </c>
      <c r="Q4" s="233">
        <v>0</v>
      </c>
      <c r="R4" s="233">
        <v>0</v>
      </c>
      <c r="S4" s="233">
        <v>0</v>
      </c>
      <c r="T4" s="233">
        <v>0</v>
      </c>
      <c r="U4" s="233">
        <v>0</v>
      </c>
    </row>
    <row r="5" spans="1:22" x14ac:dyDescent="0.35">
      <c r="A5" s="24" t="s">
        <v>1215</v>
      </c>
      <c r="B5" s="233">
        <v>0.04</v>
      </c>
      <c r="C5" s="233">
        <v>0.48</v>
      </c>
      <c r="D5" s="233">
        <v>0.48</v>
      </c>
      <c r="E5" s="233">
        <v>0</v>
      </c>
      <c r="F5" s="233">
        <v>0</v>
      </c>
      <c r="G5" s="233">
        <v>0</v>
      </c>
      <c r="H5" s="233">
        <v>0</v>
      </c>
      <c r="I5" s="233">
        <v>0</v>
      </c>
      <c r="J5" s="233">
        <v>0</v>
      </c>
      <c r="K5" s="233">
        <v>0</v>
      </c>
      <c r="L5" s="233">
        <v>0</v>
      </c>
      <c r="M5" s="233">
        <v>0</v>
      </c>
      <c r="N5" s="233">
        <v>0</v>
      </c>
      <c r="O5" s="233">
        <v>0</v>
      </c>
      <c r="P5" s="233">
        <v>0</v>
      </c>
      <c r="Q5" s="233">
        <v>0</v>
      </c>
      <c r="R5" s="233">
        <v>0</v>
      </c>
      <c r="S5" s="233">
        <v>0</v>
      </c>
      <c r="T5" s="233">
        <v>0</v>
      </c>
      <c r="U5" s="233">
        <v>0</v>
      </c>
    </row>
    <row r="6" spans="1:22" x14ac:dyDescent="0.35">
      <c r="A6" s="24" t="s">
        <v>1216</v>
      </c>
      <c r="B6" s="233">
        <f>B8</f>
        <v>0</v>
      </c>
      <c r="C6" s="233">
        <f>C8</f>
        <v>0.28000000000000003</v>
      </c>
      <c r="D6" s="233">
        <f t="shared" ref="D6:U6" si="0">D8</f>
        <v>0.72</v>
      </c>
      <c r="E6" s="233">
        <f t="shared" si="0"/>
        <v>0.25</v>
      </c>
      <c r="F6" s="233">
        <f t="shared" si="0"/>
        <v>0.25</v>
      </c>
      <c r="G6" s="233">
        <f t="shared" si="0"/>
        <v>0.25</v>
      </c>
      <c r="H6" s="233">
        <f t="shared" si="0"/>
        <v>0.25</v>
      </c>
      <c r="I6" s="233">
        <f t="shared" si="0"/>
        <v>0.25</v>
      </c>
      <c r="J6" s="233">
        <f t="shared" si="0"/>
        <v>0.25</v>
      </c>
      <c r="K6" s="233">
        <f t="shared" si="0"/>
        <v>0.25</v>
      </c>
      <c r="L6" s="233">
        <f t="shared" si="0"/>
        <v>0.25</v>
      </c>
      <c r="M6" s="233">
        <f t="shared" si="0"/>
        <v>0.25</v>
      </c>
      <c r="N6" s="233">
        <f t="shared" si="0"/>
        <v>0.25</v>
      </c>
      <c r="O6" s="233">
        <f t="shared" si="0"/>
        <v>0.25</v>
      </c>
      <c r="P6" s="233">
        <f t="shared" si="0"/>
        <v>0.25</v>
      </c>
      <c r="Q6" s="233">
        <f t="shared" si="0"/>
        <v>0.25</v>
      </c>
      <c r="R6" s="233">
        <f t="shared" si="0"/>
        <v>0.25</v>
      </c>
      <c r="S6" s="233">
        <f t="shared" si="0"/>
        <v>0.25</v>
      </c>
      <c r="T6" s="233">
        <f t="shared" si="0"/>
        <v>0.25</v>
      </c>
      <c r="U6" s="233">
        <f t="shared" si="0"/>
        <v>0.25</v>
      </c>
    </row>
    <row r="7" spans="1:22" x14ac:dyDescent="0.35">
      <c r="A7" s="24" t="s">
        <v>1217</v>
      </c>
      <c r="B7" s="233">
        <v>0</v>
      </c>
      <c r="C7" s="233">
        <v>0</v>
      </c>
      <c r="D7" s="233">
        <v>1</v>
      </c>
      <c r="E7" s="233">
        <v>0.25</v>
      </c>
      <c r="F7" s="233">
        <v>0.25</v>
      </c>
      <c r="G7" s="233">
        <v>0.25</v>
      </c>
      <c r="H7" s="233">
        <v>0.25</v>
      </c>
      <c r="I7" s="233">
        <v>0.25</v>
      </c>
      <c r="J7" s="233">
        <v>0.25</v>
      </c>
      <c r="K7" s="233">
        <v>0.25</v>
      </c>
      <c r="L7" s="233">
        <v>0.25</v>
      </c>
      <c r="M7" s="233">
        <v>0.25</v>
      </c>
      <c r="N7" s="233">
        <v>0.25</v>
      </c>
      <c r="O7" s="233">
        <v>0.25</v>
      </c>
      <c r="P7" s="233">
        <v>0.25</v>
      </c>
      <c r="Q7" s="233">
        <v>0.25</v>
      </c>
      <c r="R7" s="233">
        <v>0.25</v>
      </c>
      <c r="S7" s="233">
        <v>0.25</v>
      </c>
      <c r="T7" s="233">
        <v>0.25</v>
      </c>
      <c r="U7" s="233">
        <v>0.25</v>
      </c>
    </row>
    <row r="8" spans="1:22" x14ac:dyDescent="0.35">
      <c r="A8" s="24" t="s">
        <v>1218</v>
      </c>
      <c r="B8" s="233">
        <v>0</v>
      </c>
      <c r="C8" s="233">
        <v>0.28000000000000003</v>
      </c>
      <c r="D8" s="233">
        <v>0.72</v>
      </c>
      <c r="E8" s="233">
        <v>0.25</v>
      </c>
      <c r="F8" s="233">
        <v>0.25</v>
      </c>
      <c r="G8" s="233">
        <v>0.25</v>
      </c>
      <c r="H8" s="233">
        <v>0.25</v>
      </c>
      <c r="I8" s="233">
        <v>0.25</v>
      </c>
      <c r="J8" s="233">
        <v>0.25</v>
      </c>
      <c r="K8" s="233">
        <v>0.25</v>
      </c>
      <c r="L8" s="233">
        <v>0.25</v>
      </c>
      <c r="M8" s="233">
        <v>0.25</v>
      </c>
      <c r="N8" s="233">
        <v>0.25</v>
      </c>
      <c r="O8" s="233">
        <v>0.25</v>
      </c>
      <c r="P8" s="233">
        <v>0.25</v>
      </c>
      <c r="Q8" s="233">
        <v>0.25</v>
      </c>
      <c r="R8" s="233">
        <v>0.25</v>
      </c>
      <c r="S8" s="233">
        <v>0.25</v>
      </c>
      <c r="T8" s="233">
        <v>0.25</v>
      </c>
      <c r="U8" s="233">
        <v>0.25</v>
      </c>
    </row>
    <row r="9" spans="1:22" ht="26" x14ac:dyDescent="0.35">
      <c r="A9" s="24" t="s">
        <v>1219</v>
      </c>
      <c r="B9" s="233">
        <v>0</v>
      </c>
      <c r="C9" s="233">
        <f>0.18</f>
        <v>0.18</v>
      </c>
      <c r="D9" s="233">
        <f>1-C9</f>
        <v>0.82000000000000006</v>
      </c>
      <c r="E9" s="233">
        <v>0.25</v>
      </c>
      <c r="F9" s="233">
        <v>0.25</v>
      </c>
      <c r="G9" s="233">
        <v>0.25</v>
      </c>
      <c r="H9" s="233">
        <v>0.25</v>
      </c>
      <c r="I9" s="233">
        <v>0.25</v>
      </c>
      <c r="J9" s="233">
        <v>0.25</v>
      </c>
      <c r="K9" s="233">
        <v>0.25</v>
      </c>
      <c r="L9" s="233">
        <v>0.25</v>
      </c>
      <c r="M9" s="233">
        <v>0.25</v>
      </c>
      <c r="N9" s="233">
        <v>0.25</v>
      </c>
      <c r="O9" s="233">
        <v>0.25</v>
      </c>
      <c r="P9" s="233">
        <v>0.25</v>
      </c>
      <c r="Q9" s="233">
        <v>0.25</v>
      </c>
      <c r="R9" s="233">
        <v>0.25</v>
      </c>
      <c r="S9" s="233">
        <v>0.25</v>
      </c>
      <c r="T9" s="233">
        <v>0.25</v>
      </c>
      <c r="U9" s="233">
        <v>0.25</v>
      </c>
    </row>
    <row r="10" spans="1:22" x14ac:dyDescent="0.35">
      <c r="A10" s="24" t="s">
        <v>1220</v>
      </c>
      <c r="B10" s="233">
        <v>0</v>
      </c>
      <c r="C10" s="233">
        <v>0.5</v>
      </c>
      <c r="D10" s="233">
        <v>0.5</v>
      </c>
      <c r="E10" s="233">
        <v>0.25</v>
      </c>
      <c r="F10" s="233">
        <v>0.25</v>
      </c>
      <c r="G10" s="233">
        <v>0.25</v>
      </c>
      <c r="H10" s="233">
        <v>0.25</v>
      </c>
      <c r="I10" s="233">
        <v>0.25</v>
      </c>
      <c r="J10" s="233">
        <v>0.25</v>
      </c>
      <c r="K10" s="233">
        <v>0.25</v>
      </c>
      <c r="L10" s="233">
        <v>0.25</v>
      </c>
      <c r="M10" s="233">
        <v>0.25</v>
      </c>
      <c r="N10" s="233">
        <v>0.25</v>
      </c>
      <c r="O10" s="233">
        <v>0.25</v>
      </c>
      <c r="P10" s="233">
        <v>0.25</v>
      </c>
      <c r="Q10" s="233">
        <v>0.25</v>
      </c>
      <c r="R10" s="233">
        <v>0.25</v>
      </c>
      <c r="S10" s="233">
        <v>0.25</v>
      </c>
      <c r="T10" s="233">
        <v>0.25</v>
      </c>
      <c r="U10" s="233">
        <v>0.25</v>
      </c>
    </row>
    <row r="11" spans="1:22" x14ac:dyDescent="0.35">
      <c r="A11" s="24" t="s">
        <v>1221</v>
      </c>
      <c r="B11" s="233">
        <v>0</v>
      </c>
      <c r="C11" s="233">
        <v>0.5</v>
      </c>
      <c r="D11" s="233">
        <v>0.5</v>
      </c>
      <c r="E11" s="233">
        <v>0.25</v>
      </c>
      <c r="F11" s="233">
        <v>0.25</v>
      </c>
      <c r="G11" s="233">
        <v>0.25</v>
      </c>
      <c r="H11" s="233">
        <v>0.25</v>
      </c>
      <c r="I11" s="233">
        <v>0.25</v>
      </c>
      <c r="J11" s="233">
        <v>0.25</v>
      </c>
      <c r="K11" s="233">
        <v>0.25</v>
      </c>
      <c r="L11" s="233">
        <v>0.25</v>
      </c>
      <c r="M11" s="233">
        <v>0.25</v>
      </c>
      <c r="N11" s="233">
        <v>0.25</v>
      </c>
      <c r="O11" s="233">
        <v>0.25</v>
      </c>
      <c r="P11" s="233">
        <v>0.25</v>
      </c>
      <c r="Q11" s="233">
        <v>0.25</v>
      </c>
      <c r="R11" s="233">
        <v>0.25</v>
      </c>
      <c r="S11" s="233">
        <v>0.25</v>
      </c>
      <c r="T11" s="233">
        <v>0.25</v>
      </c>
      <c r="U11" s="233">
        <v>0.25</v>
      </c>
    </row>
    <row r="12" spans="1:22" ht="14.15" customHeight="1" x14ac:dyDescent="0.35">
      <c r="A12" s="24" t="s">
        <v>1222</v>
      </c>
      <c r="B12" s="233">
        <v>1</v>
      </c>
      <c r="C12" s="233"/>
      <c r="D12" s="233"/>
      <c r="E12" s="233"/>
      <c r="F12" s="233"/>
      <c r="G12" s="233"/>
      <c r="H12" s="233"/>
      <c r="I12" s="233"/>
      <c r="J12" s="233"/>
      <c r="K12" s="233"/>
      <c r="L12" s="233"/>
      <c r="M12" s="233"/>
      <c r="N12" s="233"/>
      <c r="O12" s="233"/>
      <c r="P12" s="233"/>
      <c r="Q12" s="233"/>
      <c r="R12" s="233"/>
      <c r="S12" s="233"/>
      <c r="T12" s="233"/>
      <c r="U12" s="233"/>
    </row>
    <row r="13" spans="1:22" x14ac:dyDescent="0.35">
      <c r="A13" s="24" t="s">
        <v>1223</v>
      </c>
      <c r="B13" s="233">
        <v>0</v>
      </c>
      <c r="C13" s="233">
        <v>0.4</v>
      </c>
      <c r="D13" s="233">
        <v>0.6</v>
      </c>
      <c r="E13" s="233">
        <v>0.4</v>
      </c>
      <c r="F13" s="233">
        <v>0.3</v>
      </c>
      <c r="G13" s="233">
        <v>0.2</v>
      </c>
      <c r="H13" s="233">
        <v>0.1</v>
      </c>
      <c r="I13" s="233">
        <v>0.25</v>
      </c>
      <c r="J13" s="233">
        <v>0.25</v>
      </c>
      <c r="K13" s="233">
        <v>0.25</v>
      </c>
      <c r="L13" s="233">
        <v>0.25</v>
      </c>
      <c r="M13" s="233">
        <v>0.25</v>
      </c>
      <c r="N13" s="233">
        <v>0.25</v>
      </c>
      <c r="O13" s="233">
        <v>0.25</v>
      </c>
      <c r="P13" s="233">
        <v>0.25</v>
      </c>
      <c r="Q13" s="233">
        <v>0.25</v>
      </c>
      <c r="R13" s="233">
        <v>0.25</v>
      </c>
      <c r="S13" s="233">
        <v>0.25</v>
      </c>
      <c r="T13" s="233">
        <v>0.25</v>
      </c>
      <c r="U13" s="233">
        <v>0.25</v>
      </c>
    </row>
    <row r="14" spans="1:22" x14ac:dyDescent="0.35">
      <c r="A14" s="24"/>
      <c r="B14" s="233"/>
      <c r="C14" s="233"/>
      <c r="D14" s="233"/>
      <c r="E14" s="233"/>
      <c r="F14" s="233"/>
      <c r="G14" s="233"/>
      <c r="H14" s="233"/>
      <c r="I14" s="233"/>
      <c r="J14" s="233"/>
      <c r="K14" s="233"/>
      <c r="L14" s="233"/>
      <c r="M14" s="233"/>
      <c r="N14" s="233"/>
      <c r="O14" s="233"/>
      <c r="P14" s="233"/>
      <c r="Q14" s="233"/>
      <c r="R14" s="233"/>
      <c r="S14" s="233"/>
      <c r="T14" s="233"/>
      <c r="U14" s="233"/>
    </row>
    <row r="15" spans="1:22" ht="26" x14ac:dyDescent="0.35">
      <c r="A15" s="271" t="s">
        <v>1224</v>
      </c>
      <c r="B15" s="233">
        <v>1</v>
      </c>
      <c r="C15" s="233">
        <v>2</v>
      </c>
      <c r="D15" s="233">
        <v>3</v>
      </c>
      <c r="E15" s="233">
        <v>4</v>
      </c>
      <c r="F15" s="233">
        <v>5</v>
      </c>
      <c r="G15" s="233">
        <v>6</v>
      </c>
      <c r="H15" s="233">
        <v>7</v>
      </c>
      <c r="I15" s="233">
        <v>8</v>
      </c>
      <c r="J15" s="233">
        <v>9</v>
      </c>
      <c r="K15" s="233">
        <v>10</v>
      </c>
      <c r="L15" s="233">
        <v>11</v>
      </c>
      <c r="M15" s="233">
        <v>12</v>
      </c>
      <c r="N15" s="233">
        <v>13</v>
      </c>
      <c r="O15" s="233">
        <v>14</v>
      </c>
      <c r="P15" s="233">
        <v>15</v>
      </c>
      <c r="Q15" s="233">
        <v>16</v>
      </c>
      <c r="R15" s="233">
        <v>17</v>
      </c>
      <c r="S15" s="233">
        <v>18</v>
      </c>
      <c r="T15" s="233">
        <v>19</v>
      </c>
      <c r="U15" s="233">
        <v>20</v>
      </c>
    </row>
    <row r="16" spans="1:22" x14ac:dyDescent="0.35">
      <c r="A16" s="24" t="s">
        <v>1225</v>
      </c>
      <c r="B16" s="233">
        <v>7.0000000000000007E-2</v>
      </c>
      <c r="C16" s="233">
        <v>7.0000000000000007E-2</v>
      </c>
      <c r="D16" s="233">
        <v>4.9000000000000002E-2</v>
      </c>
      <c r="E16" s="233">
        <v>4.9000000000000002E-2</v>
      </c>
      <c r="F16" s="233">
        <v>4.9000000000000002E-2</v>
      </c>
      <c r="G16" s="233">
        <v>4.9000000000000002E-2</v>
      </c>
      <c r="H16" s="233">
        <v>4.9000000000000002E-2</v>
      </c>
      <c r="I16" s="233">
        <v>4.9000000000000002E-2</v>
      </c>
      <c r="J16" s="233">
        <v>4.9000000000000002E-2</v>
      </c>
      <c r="K16" s="233">
        <v>4.9000000000000002E-2</v>
      </c>
      <c r="L16" s="233">
        <v>4.9000000000000002E-2</v>
      </c>
      <c r="M16" s="233">
        <v>4.9000000000000002E-2</v>
      </c>
      <c r="N16" s="233">
        <f t="shared" ref="N16:T16" si="1">0.0475</f>
        <v>4.7500000000000001E-2</v>
      </c>
      <c r="O16" s="233">
        <f t="shared" si="1"/>
        <v>4.7500000000000001E-2</v>
      </c>
      <c r="P16" s="233">
        <f t="shared" si="1"/>
        <v>4.7500000000000001E-2</v>
      </c>
      <c r="Q16" s="233">
        <f t="shared" si="1"/>
        <v>4.7500000000000001E-2</v>
      </c>
      <c r="R16" s="233">
        <f t="shared" si="1"/>
        <v>4.7500000000000001E-2</v>
      </c>
      <c r="S16" s="233">
        <f t="shared" si="1"/>
        <v>4.7500000000000001E-2</v>
      </c>
      <c r="T16" s="233">
        <f t="shared" si="1"/>
        <v>4.7500000000000001E-2</v>
      </c>
      <c r="U16" s="233">
        <f>0.0375</f>
        <v>3.7499999999999999E-2</v>
      </c>
      <c r="V16" s="233">
        <f>SUM(B16:U16)</f>
        <v>0.99999999999999989</v>
      </c>
    </row>
    <row r="17" spans="1:23" ht="26" x14ac:dyDescent="0.35">
      <c r="A17" s="24" t="s">
        <v>1226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3">
        <f>SUM(B17:U17)</f>
        <v>0.94000000000000006</v>
      </c>
      <c r="W17" t="s">
        <v>1227</v>
      </c>
    </row>
    <row r="19" spans="1:23" x14ac:dyDescent="0.35">
      <c r="B19" s="696">
        <f>'Federal and State Purchases'!M29</f>
        <v>1.5312550207230657E-2</v>
      </c>
      <c r="C19" s="696">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C20" sqref="C20"/>
    </sheetView>
  </sheetViews>
  <sheetFormatPr defaultColWidth="10.81640625" defaultRowHeight="14.5" x14ac:dyDescent="0.35"/>
  <cols>
    <col min="1" max="1" width="15.453125" style="45" customWidth="1"/>
    <col min="2" max="2" width="32.54296875" style="45" bestFit="1" customWidth="1"/>
    <col min="3" max="16384" width="10.81640625" style="45"/>
  </cols>
  <sheetData>
    <row r="1" spans="1:23" x14ac:dyDescent="0.35">
      <c r="A1" s="45" t="s">
        <v>1228</v>
      </c>
      <c r="B1" s="45" t="s">
        <v>1138</v>
      </c>
      <c r="C1" s="240">
        <v>2021</v>
      </c>
      <c r="D1" s="240">
        <f>C1</f>
        <v>2021</v>
      </c>
      <c r="E1" s="240">
        <f>D1</f>
        <v>2021</v>
      </c>
      <c r="F1" s="240">
        <v>2022</v>
      </c>
      <c r="G1" s="240">
        <v>2022</v>
      </c>
      <c r="H1" s="240">
        <v>2022</v>
      </c>
      <c r="I1" s="240">
        <v>2022</v>
      </c>
      <c r="J1" s="240">
        <v>2023</v>
      </c>
      <c r="K1" s="240">
        <v>2023</v>
      </c>
      <c r="L1" s="240">
        <v>2023</v>
      </c>
      <c r="M1" s="240">
        <v>2023</v>
      </c>
      <c r="N1" s="240">
        <v>2024</v>
      </c>
      <c r="O1" s="240">
        <v>2024</v>
      </c>
      <c r="P1" s="240">
        <v>2024</v>
      </c>
      <c r="Q1" s="240">
        <v>2024</v>
      </c>
      <c r="R1" s="240">
        <v>2025</v>
      </c>
      <c r="S1" s="240">
        <v>2025</v>
      </c>
      <c r="T1" s="240">
        <v>2025</v>
      </c>
      <c r="U1" s="240">
        <v>2025</v>
      </c>
      <c r="V1" s="240">
        <v>2026</v>
      </c>
    </row>
    <row r="2" spans="1:23" x14ac:dyDescent="0.35">
      <c r="B2" s="45" t="s">
        <v>1229</v>
      </c>
      <c r="C2" s="221" t="s">
        <v>379</v>
      </c>
      <c r="D2" s="221" t="s">
        <v>380</v>
      </c>
      <c r="E2" s="221" t="s">
        <v>232</v>
      </c>
      <c r="F2" s="221" t="s">
        <v>233</v>
      </c>
      <c r="G2" s="221" t="s">
        <v>234</v>
      </c>
      <c r="H2" s="221" t="s">
        <v>235</v>
      </c>
      <c r="I2" s="221" t="s">
        <v>236</v>
      </c>
      <c r="J2" s="221" t="s">
        <v>237</v>
      </c>
      <c r="K2" s="221" t="s">
        <v>238</v>
      </c>
      <c r="L2" s="221" t="s">
        <v>239</v>
      </c>
      <c r="M2" s="221" t="s">
        <v>240</v>
      </c>
      <c r="N2" s="221" t="s">
        <v>241</v>
      </c>
      <c r="O2" s="221" t="s">
        <v>242</v>
      </c>
      <c r="P2" s="221" t="s">
        <v>243</v>
      </c>
      <c r="Q2" s="221" t="s">
        <v>226</v>
      </c>
      <c r="R2" s="221" t="s">
        <v>227</v>
      </c>
      <c r="S2" s="221" t="s">
        <v>228</v>
      </c>
      <c r="T2" s="221" t="s">
        <v>1230</v>
      </c>
      <c r="U2" s="221" t="s">
        <v>1231</v>
      </c>
      <c r="V2" s="221" t="s">
        <v>1232</v>
      </c>
    </row>
    <row r="3" spans="1:23" x14ac:dyDescent="0.35">
      <c r="A3" s="45">
        <v>3</v>
      </c>
      <c r="B3" s="45" t="s">
        <v>993</v>
      </c>
      <c r="C3" s="241">
        <f>4*'ARP Timing'!B6*VLOOKUP(C$1,'ARP Score'!$A$5:$M14,$A3)</f>
        <v>0</v>
      </c>
      <c r="D3" s="241">
        <f>4*'ARP Timing'!C6*VLOOKUP(D$1,'ARP Score'!$A$5:$M14,$A3)</f>
        <v>219.184</v>
      </c>
      <c r="E3" s="241">
        <f>4*'ARP Timing'!D6*VLOOKUP(E$1,'ARP Score'!$A$5:$M14,$A3)</f>
        <v>563.61599999999999</v>
      </c>
      <c r="F3" s="241">
        <f>4*'ARP Timing'!E6*VLOOKUP(F$1,'ARP Score'!$A$5:$M14,$A3)</f>
        <v>10.1</v>
      </c>
      <c r="G3" s="241">
        <f>4*'ARP Timing'!F6*VLOOKUP(G$1,'ARP Score'!$A$5:$M14,$A3)</f>
        <v>10.1</v>
      </c>
      <c r="H3" s="241">
        <f>4*'ARP Timing'!G6*VLOOKUP(H$1,'ARP Score'!$A$5:$M14,$A3)</f>
        <v>10.1</v>
      </c>
      <c r="I3" s="241">
        <f>4*'ARP Timing'!H6*VLOOKUP(I$1,'ARP Score'!$A$5:$M14,$A3)</f>
        <v>10.1</v>
      </c>
      <c r="J3" s="241">
        <f>4*'ARP Timing'!I6*VLOOKUP(J$1,'ARP Score'!$A$5:$M14,$A3)</f>
        <v>0</v>
      </c>
      <c r="K3" s="241">
        <f>4*'ARP Timing'!J6*VLOOKUP(K$1,'ARP Score'!$A$5:$M14,$A3)</f>
        <v>0</v>
      </c>
      <c r="L3" s="241">
        <f>4*'ARP Timing'!K6*VLOOKUP(L$1,'ARP Score'!$A$5:$M14,$A3)</f>
        <v>0</v>
      </c>
      <c r="M3" s="241">
        <f>4*'ARP Timing'!L6*VLOOKUP(M$1,'ARP Score'!$A$5:$M14,$A3)</f>
        <v>0</v>
      </c>
      <c r="N3" s="241">
        <f>4*'ARP Timing'!M6*VLOOKUP(N$1,'ARP Score'!$A$5:$M14,$A3)</f>
        <v>0</v>
      </c>
      <c r="O3" s="241">
        <f>4*'ARP Timing'!N6*VLOOKUP(O$1,'ARP Score'!$A$5:$M14,$A3)</f>
        <v>0</v>
      </c>
      <c r="P3" s="241">
        <f>4*'ARP Timing'!O6*VLOOKUP(P$1,'ARP Score'!$A$5:$M14,$A3)</f>
        <v>0</v>
      </c>
      <c r="Q3" s="241">
        <f>4*'ARP Timing'!P6*VLOOKUP(Q$1,'ARP Score'!$A$5:$M14,$A3)</f>
        <v>0</v>
      </c>
      <c r="R3" s="241">
        <f>4*'ARP Timing'!Q6*VLOOKUP(R$1,'ARP Score'!$A$5:$M14,$A3)</f>
        <v>0</v>
      </c>
      <c r="S3" s="241">
        <f>4*'ARP Timing'!R6*VLOOKUP(S$1,'ARP Score'!$A$5:$M14,$A3)</f>
        <v>0</v>
      </c>
      <c r="T3" s="241">
        <f>4*'ARP Timing'!S6*VLOOKUP(T$1,'ARP Score'!$A$5:$M14,$A3)</f>
        <v>0</v>
      </c>
      <c r="U3" s="241">
        <f>4*'ARP Timing'!T6*VLOOKUP(U$1,'ARP Score'!$A$5:$M14,$A3)</f>
        <v>0</v>
      </c>
      <c r="V3" s="241">
        <f>4*'ARP Timing'!U6*VLOOKUP(V$1,'ARP Score'!$A$5:$M14,$A3)</f>
        <v>0</v>
      </c>
      <c r="W3" s="241">
        <f>SUM(C3:U3)/4</f>
        <v>205.8</v>
      </c>
    </row>
    <row r="4" spans="1:23" x14ac:dyDescent="0.35">
      <c r="A4" s="45">
        <v>5</v>
      </c>
      <c r="B4" s="242" t="s">
        <v>1140</v>
      </c>
      <c r="C4" s="241">
        <f>4*'ARP Timing'!B7*VLOOKUP(C$1,'ARP Score'!$A$5:$M15,$A4)</f>
        <v>0</v>
      </c>
      <c r="D4" s="241">
        <f>4*'ARP Timing'!C7*VLOOKUP(D$1,'ARP Score'!$A$5:$M15,$A4)</f>
        <v>0</v>
      </c>
      <c r="E4" s="241">
        <f>4*'ARP Timing'!D7*VLOOKUP(E$1,'ARP Score'!$A$5:$M15,$A4)</f>
        <v>203.10400000000004</v>
      </c>
      <c r="F4" s="241">
        <f>4*'ARP Timing'!E7*VLOOKUP(F$1,'ARP Score'!$A$5:$M15,$A4)</f>
        <v>74.718999999999994</v>
      </c>
      <c r="G4" s="241">
        <f>4*'ARP Timing'!F7*VLOOKUP(G$1,'ARP Score'!$A$5:$M15,$A4)</f>
        <v>74.718999999999994</v>
      </c>
      <c r="H4" s="241">
        <f>4*'ARP Timing'!G7*VLOOKUP(H$1,'ARP Score'!$A$5:$M15,$A4)</f>
        <v>74.718999999999994</v>
      </c>
      <c r="I4" s="241">
        <f>4*'ARP Timing'!H7*VLOOKUP(I$1,'ARP Score'!$A$5:$M15,$A4)</f>
        <v>74.718999999999994</v>
      </c>
      <c r="J4" s="241">
        <f>4*'ARP Timing'!I7*VLOOKUP(J$1,'ARP Score'!$A$5:$M15,$A4)</f>
        <v>2.1159999999999997</v>
      </c>
      <c r="K4" s="241">
        <f>4*'ARP Timing'!J7*VLOOKUP(K$1,'ARP Score'!$A$5:$M15,$A4)</f>
        <v>2.1159999999999997</v>
      </c>
      <c r="L4" s="241">
        <f>4*'ARP Timing'!K7*VLOOKUP(L$1,'ARP Score'!$A$5:$M15,$A4)</f>
        <v>2.1159999999999997</v>
      </c>
      <c r="M4" s="241">
        <f>4*'ARP Timing'!L7*VLOOKUP(M$1,'ARP Score'!$A$5:$M15,$A4)</f>
        <v>2.1159999999999997</v>
      </c>
      <c r="N4" s="241">
        <f>4*'ARP Timing'!M7*VLOOKUP(N$1,'ARP Score'!$A$5:$M15,$A4)</f>
        <v>2.1789999999999998</v>
      </c>
      <c r="O4" s="241">
        <f>4*'ARP Timing'!N7*VLOOKUP(O$1,'ARP Score'!$A$5:$M15,$A4)</f>
        <v>2.1789999999999998</v>
      </c>
      <c r="P4" s="241">
        <f>4*'ARP Timing'!O7*VLOOKUP(P$1,'ARP Score'!$A$5:$M15,$A4)</f>
        <v>2.1789999999999998</v>
      </c>
      <c r="Q4" s="241">
        <f>4*'ARP Timing'!P7*VLOOKUP(Q$1,'ARP Score'!$A$5:$M15,$A4)</f>
        <v>2.1789999999999998</v>
      </c>
      <c r="R4" s="241">
        <f>4*'ARP Timing'!Q7*VLOOKUP(R$1,'ARP Score'!$A$5:$M15,$A4)</f>
        <v>2.33</v>
      </c>
      <c r="S4" s="241">
        <f>4*'ARP Timing'!R7*VLOOKUP(S$1,'ARP Score'!$A$5:$M15,$A4)</f>
        <v>2.33</v>
      </c>
      <c r="T4" s="241">
        <f>4*'ARP Timing'!S7*VLOOKUP(T$1,'ARP Score'!$A$5:$M15,$A4)</f>
        <v>2.33</v>
      </c>
      <c r="U4" s="241">
        <f>4*'ARP Timing'!T7*VLOOKUP(U$1,'ARP Score'!$A$5:$M15,$A4)</f>
        <v>2.33</v>
      </c>
      <c r="V4" s="241">
        <f>4*'ARP Timing'!U7*VLOOKUP(V$1,'ARP Score'!$A$5:$M15,$A4)</f>
        <v>2.371</v>
      </c>
      <c r="W4" s="241">
        <f>SUM(C4:U4)/4</f>
        <v>132.12</v>
      </c>
    </row>
    <row r="5" spans="1:23" x14ac:dyDescent="0.35">
      <c r="A5" s="45">
        <v>6</v>
      </c>
      <c r="B5" s="242" t="s">
        <v>1141</v>
      </c>
      <c r="C5" s="241">
        <f>4*'ARP Timing'!B8*VLOOKUP(C$1,'ARP Score'!$A$5:$M16,$A5)</f>
        <v>0</v>
      </c>
      <c r="D5" s="241">
        <f>4*'ARP Timing'!C8*VLOOKUP(D$1,'ARP Score'!$A$5:$M16,$A5)</f>
        <v>53.448640000000026</v>
      </c>
      <c r="E5" s="241">
        <f>4*'ARP Timing'!D8*VLOOKUP(E$1,'ARP Score'!$A$5:$M16,$A5)</f>
        <v>137.43936000000005</v>
      </c>
      <c r="F5" s="241">
        <f>4*'ARP Timing'!E8*VLOOKUP(F$1,'ARP Score'!$A$5:$M16,$A5)</f>
        <v>52.756999999999998</v>
      </c>
      <c r="G5" s="241">
        <f>4*'ARP Timing'!F8*VLOOKUP(G$1,'ARP Score'!$A$5:$M16,$A5)</f>
        <v>52.756999999999998</v>
      </c>
      <c r="H5" s="241">
        <f>4*'ARP Timing'!G8*VLOOKUP(H$1,'ARP Score'!$A$5:$M16,$A5)</f>
        <v>52.756999999999998</v>
      </c>
      <c r="I5" s="241">
        <f>4*'ARP Timing'!H8*VLOOKUP(I$1,'ARP Score'!$A$5:$M16,$A5)</f>
        <v>52.756999999999998</v>
      </c>
      <c r="J5" s="241">
        <f>4*'ARP Timing'!I8*VLOOKUP(J$1,'ARP Score'!$A$5:$M16,$A5)</f>
        <v>12</v>
      </c>
      <c r="K5" s="241">
        <f>4*'ARP Timing'!J8*VLOOKUP(K$1,'ARP Score'!$A$5:$M16,$A5)</f>
        <v>12</v>
      </c>
      <c r="L5" s="241">
        <f>4*'ARP Timing'!K8*VLOOKUP(L$1,'ARP Score'!$A$5:$M16,$A5)</f>
        <v>12</v>
      </c>
      <c r="M5" s="241">
        <f>4*'ARP Timing'!L8*VLOOKUP(M$1,'ARP Score'!$A$5:$M16,$A5)</f>
        <v>12</v>
      </c>
      <c r="N5" s="241">
        <f>4*'ARP Timing'!M8*VLOOKUP(N$1,'ARP Score'!$A$5:$M16,$A5)</f>
        <v>4.2219999999999995</v>
      </c>
      <c r="O5" s="241">
        <f>4*'ARP Timing'!N8*VLOOKUP(O$1,'ARP Score'!$A$5:$M16,$A5)</f>
        <v>4.2219999999999995</v>
      </c>
      <c r="P5" s="241">
        <f>4*'ARP Timing'!O8*VLOOKUP(P$1,'ARP Score'!$A$5:$M16,$A5)</f>
        <v>4.2219999999999995</v>
      </c>
      <c r="Q5" s="241">
        <f>4*'ARP Timing'!P8*VLOOKUP(Q$1,'ARP Score'!$A$5:$M16,$A5)</f>
        <v>4.2219999999999995</v>
      </c>
      <c r="R5" s="241">
        <f>4*'ARP Timing'!Q8*VLOOKUP(R$1,'ARP Score'!$A$5:$M16,$A5)</f>
        <v>2.3719999999999999</v>
      </c>
      <c r="S5" s="241">
        <f>4*'ARP Timing'!R8*VLOOKUP(S$1,'ARP Score'!$A$5:$M16,$A5)</f>
        <v>2.3719999999999999</v>
      </c>
      <c r="T5" s="241">
        <f>4*'ARP Timing'!S8*VLOOKUP(T$1,'ARP Score'!$A$5:$M16,$A5)</f>
        <v>2.3719999999999999</v>
      </c>
      <c r="U5" s="241">
        <f>4*'ARP Timing'!T8*VLOOKUP(U$1,'ARP Score'!$A$5:$M16,$A5)</f>
        <v>2.3719999999999999</v>
      </c>
      <c r="V5" s="241">
        <f>4*'ARP Timing'!U8*VLOOKUP(V$1,'ARP Score'!$A$5:$M16,$A5)</f>
        <v>0.49</v>
      </c>
      <c r="W5" s="241">
        <f t="shared" ref="W5:W15" si="0">SUM(C5:U5)/4</f>
        <v>119.07300000000002</v>
      </c>
    </row>
    <row r="6" spans="1:23" x14ac:dyDescent="0.35">
      <c r="A6" s="45">
        <v>7</v>
      </c>
      <c r="B6" s="242" t="s">
        <v>1233</v>
      </c>
      <c r="C6" s="241">
        <f>4*'ARP Timing'!B9*VLOOKUP(C$1,'ARP Score'!$A$5:$M17,$A6)</f>
        <v>0</v>
      </c>
      <c r="D6" s="241">
        <f>4*'ARP Timing'!C9*VLOOKUP(D$1,'ARP Score'!$A$5:$M17,$A6)</f>
        <v>58.782959999999989</v>
      </c>
      <c r="E6" s="241">
        <f>4*'ARP Timing'!D9*VLOOKUP(E$1,'ARP Score'!$A$5:$M17,$A6)</f>
        <v>267.78904</v>
      </c>
      <c r="F6" s="241">
        <f>4*'ARP Timing'!E9*VLOOKUP(F$1,'ARP Score'!$A$5:$M17,$A6)</f>
        <v>110.24799999999999</v>
      </c>
      <c r="G6" s="241">
        <f>4*'ARP Timing'!F9*VLOOKUP(G$1,'ARP Score'!$A$5:$M17,$A6)</f>
        <v>110.24799999999999</v>
      </c>
      <c r="H6" s="241">
        <f>4*'ARP Timing'!G9*VLOOKUP(H$1,'ARP Score'!$A$5:$M17,$A6)</f>
        <v>110.24799999999999</v>
      </c>
      <c r="I6" s="241">
        <f>4*'ARP Timing'!H9*VLOOKUP(I$1,'ARP Score'!$A$5:$M17,$A6)</f>
        <v>110.24799999999999</v>
      </c>
      <c r="J6" s="241">
        <f>4*'ARP Timing'!I9*VLOOKUP(J$1,'ARP Score'!$A$5:$M17,$A6)</f>
        <v>12.726000000000001</v>
      </c>
      <c r="K6" s="241">
        <f>4*'ARP Timing'!J9*VLOOKUP(K$1,'ARP Score'!$A$5:$M17,$A6)</f>
        <v>12.726000000000001</v>
      </c>
      <c r="L6" s="241">
        <f>4*'ARP Timing'!K9*VLOOKUP(L$1,'ARP Score'!$A$5:$M17,$A6)</f>
        <v>12.726000000000001</v>
      </c>
      <c r="M6" s="241">
        <f>4*'ARP Timing'!L9*VLOOKUP(M$1,'ARP Score'!$A$5:$M17,$A6)</f>
        <v>12.726000000000001</v>
      </c>
      <c r="N6" s="241">
        <f>4*'ARP Timing'!M9*VLOOKUP(N$1,'ARP Score'!$A$5:$M17,$A6)</f>
        <v>1.365</v>
      </c>
      <c r="O6" s="241">
        <f>4*'ARP Timing'!N9*VLOOKUP(O$1,'ARP Score'!$A$5:$M17,$A6)</f>
        <v>1.365</v>
      </c>
      <c r="P6" s="241">
        <f>4*'ARP Timing'!O9*VLOOKUP(P$1,'ARP Score'!$A$5:$M17,$A6)</f>
        <v>1.365</v>
      </c>
      <c r="Q6" s="241">
        <f>4*'ARP Timing'!P9*VLOOKUP(Q$1,'ARP Score'!$A$5:$M17,$A6)</f>
        <v>1.365</v>
      </c>
      <c r="R6" s="241">
        <f>4*'ARP Timing'!Q9*VLOOKUP(R$1,'ARP Score'!$A$5:$M17,$A6)</f>
        <v>-0.90100000000000025</v>
      </c>
      <c r="S6" s="241">
        <f>4*'ARP Timing'!R9*VLOOKUP(S$1,'ARP Score'!$A$5:$M17,$A6)</f>
        <v>-0.90100000000000025</v>
      </c>
      <c r="T6" s="241">
        <f>4*'ARP Timing'!S9*VLOOKUP(T$1,'ARP Score'!$A$5:$M17,$A6)</f>
        <v>-0.90100000000000025</v>
      </c>
      <c r="U6" s="241">
        <f>4*'ARP Timing'!T9*VLOOKUP(U$1,'ARP Score'!$A$5:$M17,$A6)</f>
        <v>-0.90100000000000025</v>
      </c>
      <c r="V6" s="241">
        <f>4*'ARP Timing'!U9*VLOOKUP(V$1,'ARP Score'!$A$5:$M17,$A6)</f>
        <v>-2.1500000000000004</v>
      </c>
      <c r="W6" s="241">
        <f t="shared" si="0"/>
        <v>205.08100000000007</v>
      </c>
    </row>
    <row r="7" spans="1:23" x14ac:dyDescent="0.35">
      <c r="A7" s="45">
        <v>8</v>
      </c>
      <c r="B7" s="242" t="s">
        <v>181</v>
      </c>
      <c r="C7" s="241">
        <f>4*'ARP Timing'!B10*VLOOKUP(C$1,'ARP Score'!$A$5:$M18,$A7)</f>
        <v>0</v>
      </c>
      <c r="D7" s="241">
        <f>4*'ARP Timing'!C10*VLOOKUP(D$1,'ARP Score'!$A$5:$M18,$A7)</f>
        <v>15.596</v>
      </c>
      <c r="E7" s="241">
        <f>4*'ARP Timing'!D10*VLOOKUP(E$1,'ARP Score'!$A$5:$M18,$A7)</f>
        <v>15.596</v>
      </c>
      <c r="F7" s="241">
        <f>4*'ARP Timing'!E10*VLOOKUP(F$1,'ARP Score'!$A$5:$M18,$A7)</f>
        <v>7.9489999999999998</v>
      </c>
      <c r="G7" s="241">
        <f>4*'ARP Timing'!F10*VLOOKUP(G$1,'ARP Score'!$A$5:$M18,$A7)</f>
        <v>7.9489999999999998</v>
      </c>
      <c r="H7" s="241">
        <f>4*'ARP Timing'!G10*VLOOKUP(H$1,'ARP Score'!$A$5:$M18,$A7)</f>
        <v>7.9489999999999998</v>
      </c>
      <c r="I7" s="241">
        <f>4*'ARP Timing'!H10*VLOOKUP(I$1,'ARP Score'!$A$5:$M18,$A7)</f>
        <v>7.9489999999999998</v>
      </c>
      <c r="J7" s="241">
        <f>4*'ARP Timing'!I10*VLOOKUP(J$1,'ARP Score'!$A$5:$M18,$A7)</f>
        <v>4.7519999999999998</v>
      </c>
      <c r="K7" s="241">
        <f>4*'ARP Timing'!J10*VLOOKUP(K$1,'ARP Score'!$A$5:$M18,$A7)</f>
        <v>4.7519999999999998</v>
      </c>
      <c r="L7" s="241">
        <f>4*'ARP Timing'!K10*VLOOKUP(L$1,'ARP Score'!$A$5:$M18,$A7)</f>
        <v>4.7519999999999998</v>
      </c>
      <c r="M7" s="241">
        <f>4*'ARP Timing'!L10*VLOOKUP(M$1,'ARP Score'!$A$5:$M18,$A7)</f>
        <v>4.7519999999999998</v>
      </c>
      <c r="N7" s="241">
        <f>4*'ARP Timing'!M10*VLOOKUP(N$1,'ARP Score'!$A$5:$M18,$A7)</f>
        <v>4.637999999999999</v>
      </c>
      <c r="O7" s="241">
        <f>4*'ARP Timing'!N10*VLOOKUP(O$1,'ARP Score'!$A$5:$M18,$A7)</f>
        <v>4.637999999999999</v>
      </c>
      <c r="P7" s="241">
        <f>4*'ARP Timing'!O10*VLOOKUP(P$1,'ARP Score'!$A$5:$M18,$A7)</f>
        <v>4.637999999999999</v>
      </c>
      <c r="Q7" s="241">
        <f>4*'ARP Timing'!P10*VLOOKUP(Q$1,'ARP Score'!$A$5:$M18,$A7)</f>
        <v>4.637999999999999</v>
      </c>
      <c r="R7" s="241">
        <f>4*'ARP Timing'!Q10*VLOOKUP(R$1,'ARP Score'!$A$5:$M18,$A7)</f>
        <v>1.8800000000000001</v>
      </c>
      <c r="S7" s="241">
        <f>4*'ARP Timing'!R10*VLOOKUP(S$1,'ARP Score'!$A$5:$M18,$A7)</f>
        <v>1.8800000000000001</v>
      </c>
      <c r="T7" s="241">
        <f>4*'ARP Timing'!S10*VLOOKUP(T$1,'ARP Score'!$A$5:$M18,$A7)</f>
        <v>1.8800000000000001</v>
      </c>
      <c r="U7" s="241">
        <f>4*'ARP Timing'!T10*VLOOKUP(U$1,'ARP Score'!$A$5:$M18,$A7)</f>
        <v>1.8800000000000001</v>
      </c>
      <c r="V7" s="241">
        <f>4*'ARP Timing'!U10*VLOOKUP(V$1,'ARP Score'!$A$5:$M18,$A7)</f>
        <v>1.446</v>
      </c>
      <c r="W7" s="241">
        <f t="shared" si="0"/>
        <v>27.016999999999996</v>
      </c>
    </row>
    <row r="8" spans="1:23" x14ac:dyDescent="0.35">
      <c r="A8" s="45">
        <v>9</v>
      </c>
      <c r="B8" s="245" t="s">
        <v>489</v>
      </c>
      <c r="C8" s="241">
        <f>4*'ARP Timing'!B$11*VLOOKUP(C$1,'ARP Score'!$A$5:$M19,$A8)</f>
        <v>0</v>
      </c>
      <c r="D8" s="241">
        <f>0.6*SUM('ARP Score'!B5:B7)*4</f>
        <v>989.16719999999987</v>
      </c>
      <c r="E8" s="240">
        <v>0</v>
      </c>
      <c r="F8" s="241">
        <v>0</v>
      </c>
      <c r="G8" s="241">
        <v>0</v>
      </c>
      <c r="H8" s="241">
        <f>D8*0.4/0.6</f>
        <v>659.44479999999999</v>
      </c>
      <c r="I8" s="241">
        <v>0</v>
      </c>
      <c r="J8" s="45">
        <v>0</v>
      </c>
      <c r="K8" s="241">
        <v>0</v>
      </c>
      <c r="L8" s="241">
        <v>0</v>
      </c>
      <c r="M8" s="241">
        <v>0</v>
      </c>
      <c r="N8" s="241">
        <v>0</v>
      </c>
      <c r="O8" s="241">
        <v>0</v>
      </c>
      <c r="P8" s="241">
        <v>0</v>
      </c>
      <c r="Q8" s="241">
        <v>0</v>
      </c>
      <c r="R8" s="241">
        <v>0</v>
      </c>
      <c r="S8" s="241">
        <v>0</v>
      </c>
      <c r="T8" s="241">
        <v>0</v>
      </c>
      <c r="U8" s="241">
        <v>0</v>
      </c>
      <c r="V8" s="241">
        <v>0</v>
      </c>
      <c r="W8" s="241">
        <f t="shared" si="0"/>
        <v>412.15299999999996</v>
      </c>
    </row>
    <row r="9" spans="1:23" x14ac:dyDescent="0.35">
      <c r="A9" s="45">
        <v>10</v>
      </c>
      <c r="B9" s="245" t="s">
        <v>200</v>
      </c>
      <c r="C9" s="241">
        <f>4*'ARP Timing'!B$11*VLOOKUP(C$1,'ARP Score'!$A$5:$M20,$A9)</f>
        <v>0</v>
      </c>
      <c r="D9" s="241">
        <f>4*'ARP Timing'!C$11*VLOOKUP(D$1,'ARP Score'!$A$5:$M20,$A9)</f>
        <v>24.693999999999999</v>
      </c>
      <c r="E9" s="241">
        <f>4*'ARP Timing'!D$11*VLOOKUP(E$1,'ARP Score'!$A$5:$M20,$A9)</f>
        <v>24.693999999999999</v>
      </c>
      <c r="F9" s="241">
        <f>4*'ARP Timing'!E$11*VLOOKUP(F$1,'ARP Score'!$A$5:$M20,$A9)</f>
        <v>46.79</v>
      </c>
      <c r="G9" s="241">
        <f>4*'ARP Timing'!F$11*VLOOKUP(G$1,'ARP Score'!$A$5:$M20,$A9)</f>
        <v>46.79</v>
      </c>
      <c r="H9" s="241">
        <f>4*'ARP Timing'!G$11*VLOOKUP(H$1,'ARP Score'!$A$5:$M20,$A9)</f>
        <v>46.79</v>
      </c>
      <c r="I9" s="241">
        <f>4*'ARP Timing'!H$11*VLOOKUP(I$1,'ARP Score'!$A$5:$M20,$A9)</f>
        <v>46.79</v>
      </c>
      <c r="J9" s="241">
        <f>4*'ARP Timing'!I$11*VLOOKUP(J$1,'ARP Score'!$A$5:$M20,$A9)</f>
        <v>38.595999999999997</v>
      </c>
      <c r="K9" s="241">
        <f>4*'ARP Timing'!J$11*VLOOKUP(K$1,'ARP Score'!$A$5:$M20,$A9)</f>
        <v>38.595999999999997</v>
      </c>
      <c r="L9" s="241">
        <f>4*'ARP Timing'!K$11*VLOOKUP(L$1,'ARP Score'!$A$5:$M20,$A9)</f>
        <v>38.595999999999997</v>
      </c>
      <c r="M9" s="241">
        <f>4*'ARP Timing'!L$11*VLOOKUP(M$1,'ARP Score'!$A$5:$M20,$A9)</f>
        <v>38.595999999999997</v>
      </c>
      <c r="N9" s="241">
        <f>4*'ARP Timing'!M$11*VLOOKUP(N$1,'ARP Score'!$A$5:$M20,$A9)</f>
        <v>31.911000000000001</v>
      </c>
      <c r="O9" s="241">
        <f>4*'ARP Timing'!N$11*VLOOKUP(O$1,'ARP Score'!$A$5:$M20,$A9)</f>
        <v>31.911000000000001</v>
      </c>
      <c r="P9" s="241">
        <f>4*'ARP Timing'!O$11*VLOOKUP(P$1,'ARP Score'!$A$5:$M20,$A9)</f>
        <v>31.911000000000001</v>
      </c>
      <c r="Q9" s="241">
        <f>4*'ARP Timing'!P$11*VLOOKUP(Q$1,'ARP Score'!$A$5:$M20,$A9)</f>
        <v>31.911000000000001</v>
      </c>
      <c r="R9" s="241">
        <f>4*'ARP Timing'!Q$11*VLOOKUP(R$1,'ARP Score'!$A$5:$M20,$A9)</f>
        <v>23.099</v>
      </c>
      <c r="S9" s="241">
        <f>4*'ARP Timing'!R$11*VLOOKUP(S$1,'ARP Score'!$A$5:$M20,$A9)</f>
        <v>23.099</v>
      </c>
      <c r="T9" s="241">
        <f>4*'ARP Timing'!S$11*VLOOKUP(T$1,'ARP Score'!$A$5:$M20,$A9)</f>
        <v>23.099</v>
      </c>
      <c r="U9" s="241">
        <f>4*'ARP Timing'!T$11*VLOOKUP(U$1,'ARP Score'!$A$5:$M20,$A9)</f>
        <v>23.099</v>
      </c>
      <c r="V9" s="241">
        <f>4*'ARP Timing'!U$11*VLOOKUP(V$1,'ARP Score'!$A$5:$M20,$A9)</f>
        <v>10.766999999999999</v>
      </c>
      <c r="W9" s="241">
        <f t="shared" si="0"/>
        <v>152.74300000000005</v>
      </c>
    </row>
    <row r="10" spans="1:23" x14ac:dyDescent="0.35">
      <c r="A10" s="419">
        <v>11</v>
      </c>
      <c r="B10" s="245" t="s">
        <v>505</v>
      </c>
      <c r="C10" s="241">
        <f>4*'ARP Timing'!B$11*VLOOKUP(C$1,'ARP Score'!$A$5:$M22,$A10)</f>
        <v>0</v>
      </c>
      <c r="D10" s="241">
        <f>4*'ARP Timing'!C$11*VLOOKUP(D$1,'ARP Score'!$A$5:$M22,$A10)</f>
        <v>59.256</v>
      </c>
      <c r="E10" s="241">
        <f>4*'ARP Timing'!D$11*VLOOKUP(E$1,'ARP Score'!$A$5:$M22,$A10)</f>
        <v>59.256</v>
      </c>
      <c r="F10" s="241">
        <f>4*'ARP Timing'!E$11*VLOOKUP(F$1,'ARP Score'!$A$5:$M22,$A10)</f>
        <v>35.671000000000006</v>
      </c>
      <c r="G10" s="241">
        <f>4*'ARP Timing'!F$11*VLOOKUP(G$1,'ARP Score'!$A$5:$M22,$A10)</f>
        <v>35.671000000000006</v>
      </c>
      <c r="H10" s="241">
        <f>4*'ARP Timing'!G$11*VLOOKUP(H$1,'ARP Score'!$A$5:$M22,$A10)</f>
        <v>35.671000000000006</v>
      </c>
      <c r="I10" s="241">
        <f>4*'ARP Timing'!H$11*VLOOKUP(I$1,'ARP Score'!$A$5:$M22,$A10)</f>
        <v>35.671000000000006</v>
      </c>
      <c r="J10" s="241">
        <f>4*'ARP Timing'!I$11*VLOOKUP(J$1,'ARP Score'!$A$5:$M22,$A10)</f>
        <v>24.216000000000001</v>
      </c>
      <c r="K10" s="241">
        <f>4*'ARP Timing'!J$11*VLOOKUP(K$1,'ARP Score'!$A$5:$M22,$A10)</f>
        <v>24.216000000000001</v>
      </c>
      <c r="L10" s="241">
        <f>4*'ARP Timing'!K$11*VLOOKUP(L$1,'ARP Score'!$A$5:$M22,$A10)</f>
        <v>24.216000000000001</v>
      </c>
      <c r="M10" s="241">
        <f>4*'ARP Timing'!L$11*VLOOKUP(M$1,'ARP Score'!$A$5:$M22,$A10)</f>
        <v>24.216000000000001</v>
      </c>
      <c r="N10" s="241">
        <f>4*'ARP Timing'!M$11*VLOOKUP(N$1,'ARP Score'!$A$5:$M22,$A10)</f>
        <v>9.6430000000000007</v>
      </c>
      <c r="O10" s="241">
        <f>4*'ARP Timing'!N$11*VLOOKUP(O$1,'ARP Score'!$A$5:$M22,$A10)</f>
        <v>9.6430000000000007</v>
      </c>
      <c r="P10" s="241">
        <f>4*'ARP Timing'!O$11*VLOOKUP(P$1,'ARP Score'!$A$5:$M22,$A10)</f>
        <v>9.6430000000000007</v>
      </c>
      <c r="Q10" s="241">
        <f>4*'ARP Timing'!P$11*VLOOKUP(Q$1,'ARP Score'!$A$5:$M22,$A10)</f>
        <v>9.6430000000000007</v>
      </c>
      <c r="R10" s="241">
        <f>4*'ARP Timing'!Q$11*VLOOKUP(R$1,'ARP Score'!$A$5:$M22,$A10)</f>
        <v>4.5789999999999997</v>
      </c>
      <c r="S10" s="241">
        <f>4*'ARP Timing'!R$11*VLOOKUP(S$1,'ARP Score'!$A$5:$M22,$A10)</f>
        <v>4.5789999999999997</v>
      </c>
      <c r="T10" s="241">
        <f>4*'ARP Timing'!S$11*VLOOKUP(T$1,'ARP Score'!$A$5:$M22,$A10)</f>
        <v>4.5789999999999997</v>
      </c>
      <c r="U10" s="241">
        <f>4*'ARP Timing'!T$11*VLOOKUP(U$1,'ARP Score'!$A$5:$M22,$A10)</f>
        <v>4.5789999999999997</v>
      </c>
      <c r="V10" s="241">
        <f>4*'ARP Timing'!U$11*VLOOKUP(V$1,'ARP Score'!$A$5:$M22,$A10)</f>
        <v>2.9130000000000003</v>
      </c>
      <c r="W10" s="241">
        <f t="shared" si="0"/>
        <v>103.73700000000002</v>
      </c>
    </row>
    <row r="11" spans="1:23" x14ac:dyDescent="0.35">
      <c r="A11" s="45">
        <v>12</v>
      </c>
      <c r="B11" s="1" t="s">
        <v>209</v>
      </c>
      <c r="C11" s="241">
        <f>4*'ARP Timing'!B12*VLOOKUP(C$1,'ARP Score'!$A$5:$M20,$A11)</f>
        <v>103</v>
      </c>
      <c r="D11" s="241">
        <f>4*'ARP Timing'!C12*VLOOKUP(D$1,'ARP Score'!$A$5:$M20,$A11)</f>
        <v>0</v>
      </c>
      <c r="E11" s="241">
        <f>4*'ARP Timing'!D12*VLOOKUP(E$1,'ARP Score'!$A$5:$M20,$A11)</f>
        <v>0</v>
      </c>
      <c r="F11" s="241">
        <f>4*'ARP Timing'!E12*VLOOKUP(F$1,'ARP Score'!$A$5:$M20,$A11)</f>
        <v>0</v>
      </c>
      <c r="G11" s="241">
        <f>4*'ARP Timing'!F12*VLOOKUP(G$1,'ARP Score'!$A$5:$M20,$A11)</f>
        <v>0</v>
      </c>
      <c r="H11" s="241">
        <f>4*'ARP Timing'!G12*VLOOKUP(H$1,'ARP Score'!$A$5:$M20,$A11)</f>
        <v>0</v>
      </c>
      <c r="I11" s="241">
        <f>4*'ARP Timing'!H12*VLOOKUP(I$1,'ARP Score'!$A$5:$M20,$A11)</f>
        <v>0</v>
      </c>
      <c r="J11" s="241">
        <f>4*'ARP Timing'!I12*VLOOKUP(J$1,'ARP Score'!$A$5:$M20,$A11)</f>
        <v>0</v>
      </c>
      <c r="K11" s="241">
        <f>4*'ARP Timing'!J12*VLOOKUP(K$1,'ARP Score'!$A$5:$M20,$A11)</f>
        <v>0</v>
      </c>
      <c r="L11" s="241">
        <f>4*'ARP Timing'!K12*VLOOKUP(L$1,'ARP Score'!$A$5:$M20,$A11)</f>
        <v>0</v>
      </c>
      <c r="M11" s="241">
        <f>4*'ARP Timing'!L12*VLOOKUP(M$1,'ARP Score'!$A$5:$M20,$A11)</f>
        <v>0</v>
      </c>
      <c r="N11" s="241">
        <f>4*'ARP Timing'!M12*VLOOKUP(N$1,'ARP Score'!$A$5:$M20,$A11)</f>
        <v>0</v>
      </c>
      <c r="O11" s="241">
        <f>4*'ARP Timing'!N12*VLOOKUP(O$1,'ARP Score'!$A$5:$M20,$A11)</f>
        <v>0</v>
      </c>
      <c r="P11" s="241">
        <f>4*'ARP Timing'!O12*VLOOKUP(P$1,'ARP Score'!$A$5:$M20,$A11)</f>
        <v>0</v>
      </c>
      <c r="Q11" s="241">
        <f>4*'ARP Timing'!P12*VLOOKUP(Q$1,'ARP Score'!$A$5:$M20,$A11)</f>
        <v>0</v>
      </c>
      <c r="R11" s="241">
        <f>4*'ARP Timing'!Q12*VLOOKUP(R$1,'ARP Score'!$A$5:$M20,$A11)</f>
        <v>0</v>
      </c>
      <c r="S11" s="241">
        <f>4*'ARP Timing'!R12*VLOOKUP(S$1,'ARP Score'!$A$5:$M20,$A11)</f>
        <v>0</v>
      </c>
      <c r="T11" s="241">
        <f>4*'ARP Timing'!S12*VLOOKUP(T$1,'ARP Score'!$A$5:$M20,$A11)</f>
        <v>0</v>
      </c>
      <c r="U11" s="241">
        <f>4*'ARP Timing'!T12*VLOOKUP(U$1,'ARP Score'!$A$5:$M20,$A11)</f>
        <v>0</v>
      </c>
      <c r="V11" s="241">
        <f>4*'ARP Timing'!U12*VLOOKUP(V$1,'ARP Score'!$A$5:$M20,$A11)</f>
        <v>0</v>
      </c>
      <c r="W11" s="241">
        <f t="shared" si="0"/>
        <v>25.75</v>
      </c>
    </row>
    <row r="12" spans="1:23" x14ac:dyDescent="0.35">
      <c r="A12" s="45">
        <v>13</v>
      </c>
      <c r="B12" s="242" t="s">
        <v>159</v>
      </c>
      <c r="C12" s="241">
        <f>4*'ARP Timing'!B13*VLOOKUP(C$1,'ARP Score'!$A$5:$M21,$A12)</f>
        <v>0</v>
      </c>
      <c r="D12" s="241">
        <f>4*'ARP Timing'!C13*VLOOKUP(D$1,'ARP Score'!$A$5:$M21,$A12)</f>
        <v>51.102400000000003</v>
      </c>
      <c r="E12" s="241">
        <f>4*'ARP Timing'!D13*VLOOKUP(E$1,'ARP Score'!$A$5:$M21,$A12)</f>
        <v>76.653599999999997</v>
      </c>
      <c r="F12" s="241">
        <f>4*'ARP Timing'!E13*VLOOKUP(F$1,'ARP Score'!$A$5:$M21,$A12)</f>
        <v>90.260800000000003</v>
      </c>
      <c r="G12" s="241">
        <f>4*'ARP Timing'!F13*VLOOKUP(G$1,'ARP Score'!$A$5:$M21,$A12)</f>
        <v>67.695599999999999</v>
      </c>
      <c r="H12" s="241">
        <f>4*'ARP Timing'!G13*VLOOKUP(H$1,'ARP Score'!$A$5:$M21,$A12)</f>
        <v>45.130400000000002</v>
      </c>
      <c r="I12" s="241">
        <f>4*'ARP Timing'!H13*VLOOKUP(I$1,'ARP Score'!$A$5:$M21,$A12)</f>
        <v>22.565200000000001</v>
      </c>
      <c r="J12" s="241">
        <f>4*'ARP Timing'!I13*VLOOKUP(J$1,'ARP Score'!$A$5:$M21,$A12)</f>
        <v>15.652999999999999</v>
      </c>
      <c r="K12" s="241">
        <f>4*'ARP Timing'!J13*VLOOKUP(K$1,'ARP Score'!$A$5:$M21,$A12)</f>
        <v>15.652999999999999</v>
      </c>
      <c r="L12" s="241">
        <f>4*'ARP Timing'!K13*VLOOKUP(L$1,'ARP Score'!$A$5:$M21,$A12)</f>
        <v>15.652999999999999</v>
      </c>
      <c r="M12" s="241">
        <f>4*'ARP Timing'!L13*VLOOKUP(M$1,'ARP Score'!$A$5:$M21,$A12)</f>
        <v>15.652999999999999</v>
      </c>
      <c r="N12" s="241">
        <f>4*'ARP Timing'!M13*VLOOKUP(N$1,'ARP Score'!$A$5:$M21,$A12)</f>
        <v>3.9320000000000004</v>
      </c>
      <c r="O12" s="241">
        <f>4*'ARP Timing'!N13*VLOOKUP(O$1,'ARP Score'!$A$5:$M21,$A12)</f>
        <v>3.9320000000000004</v>
      </c>
      <c r="P12" s="241">
        <f>4*'ARP Timing'!O13*VLOOKUP(P$1,'ARP Score'!$A$5:$M21,$A12)</f>
        <v>3.9320000000000004</v>
      </c>
      <c r="Q12" s="241">
        <f>4*'ARP Timing'!P13*VLOOKUP(Q$1,'ARP Score'!$A$5:$M21,$A12)</f>
        <v>3.9320000000000004</v>
      </c>
      <c r="R12" s="241">
        <f>4*'ARP Timing'!Q13*VLOOKUP(R$1,'ARP Score'!$A$5:$M21,$A12)</f>
        <v>-0.74299999999999988</v>
      </c>
      <c r="S12" s="241">
        <f>4*'ARP Timing'!R13*VLOOKUP(S$1,'ARP Score'!$A$5:$M21,$A12)</f>
        <v>-0.74299999999999988</v>
      </c>
      <c r="T12" s="241">
        <f>4*'ARP Timing'!S13*VLOOKUP(T$1,'ARP Score'!$A$5:$M21,$A12)</f>
        <v>-0.74299999999999988</v>
      </c>
      <c r="U12" s="241">
        <f>4*'ARP Timing'!T13*VLOOKUP(U$1,'ARP Score'!$A$5:$M21,$A12)</f>
        <v>-0.74299999999999988</v>
      </c>
      <c r="V12" s="241">
        <f>4*'ARP Timing'!U13*VLOOKUP(V$1,'ARP Score'!$A$5:$M21,$A12)</f>
        <v>-21.606000000000002</v>
      </c>
      <c r="W12" s="241">
        <f t="shared" si="0"/>
        <v>107.19400000000005</v>
      </c>
    </row>
    <row r="13" spans="1:23" x14ac:dyDescent="0.35">
      <c r="A13" s="45">
        <v>15</v>
      </c>
      <c r="B13" s="45" t="s">
        <v>1234</v>
      </c>
      <c r="C13" s="241">
        <f>0.3*'ARP Score'!$N5*4*'ARP Timing'!B6</f>
        <v>0</v>
      </c>
      <c r="D13" s="241">
        <f>0.3*'ARP Score'!$N5*4*'ARP Timing'!C6</f>
        <v>1.1424000000000001</v>
      </c>
      <c r="E13" s="241">
        <f>0.3*'ARP Score'!$N5*4*'ARP Timing'!D6</f>
        <v>2.9375999999999998</v>
      </c>
      <c r="F13" s="241">
        <f>0.3*'ARP Score'!$N6*4*'ARP Timing'!E6</f>
        <v>1.5299999999999998</v>
      </c>
      <c r="G13" s="241">
        <f>0.3*'ARP Score'!$N6*4*'ARP Timing'!F6</f>
        <v>1.5299999999999998</v>
      </c>
      <c r="H13" s="241">
        <f>0.3*'ARP Score'!$N6*4*'ARP Timing'!G6</f>
        <v>1.5299999999999998</v>
      </c>
      <c r="I13" s="241">
        <f>0.3*'ARP Score'!$N6*4*'ARP Timing'!H6</f>
        <v>1.5299999999999998</v>
      </c>
      <c r="J13" s="241">
        <f>0.3*'ARP Score'!$N7*4*'ARP Timing'!I6</f>
        <v>0</v>
      </c>
      <c r="K13" s="241">
        <f>0.3*'ARP Score'!$N7*4*'ARP Timing'!J6</f>
        <v>0</v>
      </c>
      <c r="L13" s="241">
        <f>0.3*'ARP Score'!$N7*4*'ARP Timing'!K6</f>
        <v>0</v>
      </c>
      <c r="M13" s="241">
        <f>0.3*'ARP Score'!$N7*4*'ARP Timing'!L6</f>
        <v>0</v>
      </c>
      <c r="N13" s="241">
        <f>0.3*'ARP Score'!$N7*4*'ARP Timing'!M6</f>
        <v>0</v>
      </c>
      <c r="O13" s="241">
        <f>0.3*'ARP Score'!$N7*4*'ARP Timing'!N6</f>
        <v>0</v>
      </c>
      <c r="P13" s="241">
        <f>0.3*'ARP Score'!$N7*4*'ARP Timing'!O6</f>
        <v>0</v>
      </c>
      <c r="Q13" s="241">
        <f>0.3*'ARP Score'!$N7*4*'ARP Timing'!P6</f>
        <v>0</v>
      </c>
      <c r="R13" s="241">
        <f>0.3*'ARP Score'!$N7*4*'ARP Timing'!Q6</f>
        <v>0</v>
      </c>
      <c r="S13" s="241">
        <f>0.3*'ARP Score'!$N7*4*'ARP Timing'!R6</f>
        <v>0</v>
      </c>
      <c r="T13" s="241">
        <f>0.3*'ARP Score'!$N7*4*'ARP Timing'!S6</f>
        <v>0</v>
      </c>
      <c r="U13" s="241">
        <f>0.3*'ARP Score'!$N7*4*'ARP Timing'!T6</f>
        <v>0</v>
      </c>
      <c r="V13" s="241">
        <f>0.3*'ARP Score'!$N7*4*'ARP Timing'!U6</f>
        <v>0</v>
      </c>
      <c r="W13" s="241">
        <f t="shared" si="0"/>
        <v>2.5499999999999994</v>
      </c>
    </row>
    <row r="14" spans="1:23" x14ac:dyDescent="0.35">
      <c r="A14" s="45">
        <v>14</v>
      </c>
      <c r="B14" s="45" t="s">
        <v>1235</v>
      </c>
      <c r="C14" s="241">
        <f>C13/0.3*0.2</f>
        <v>0</v>
      </c>
      <c r="D14" s="241">
        <f t="shared" ref="D14:F14" si="1">D13/0.3*0.2</f>
        <v>0.76160000000000005</v>
      </c>
      <c r="E14" s="241">
        <f t="shared" si="1"/>
        <v>1.9584000000000001</v>
      </c>
      <c r="F14" s="241">
        <f t="shared" si="1"/>
        <v>1.02</v>
      </c>
      <c r="G14" s="241">
        <f t="shared" ref="G14" si="2">G13/0.3*0.2</f>
        <v>1.02</v>
      </c>
      <c r="H14" s="241">
        <f t="shared" ref="H14" si="3">H13/0.3*0.2</f>
        <v>1.02</v>
      </c>
      <c r="I14" s="241">
        <f t="shared" ref="I14" si="4">I13/0.3*0.2</f>
        <v>1.02</v>
      </c>
      <c r="J14" s="241">
        <f t="shared" ref="J14" si="5">J13/0.3*0.2</f>
        <v>0</v>
      </c>
      <c r="K14" s="241">
        <f t="shared" ref="K14" si="6">K13/0.3*0.2</f>
        <v>0</v>
      </c>
      <c r="L14" s="241">
        <f t="shared" ref="L14" si="7">L13/0.3*0.2</f>
        <v>0</v>
      </c>
      <c r="M14" s="241">
        <f t="shared" ref="M14" si="8">M13/0.3*0.2</f>
        <v>0</v>
      </c>
      <c r="N14" s="241">
        <f t="shared" ref="N14" si="9">N13/0.3*0.2</f>
        <v>0</v>
      </c>
      <c r="O14" s="241">
        <f t="shared" ref="O14" si="10">O13/0.3*0.2</f>
        <v>0</v>
      </c>
      <c r="P14" s="241">
        <f t="shared" ref="P14" si="11">P13/0.3*0.2</f>
        <v>0</v>
      </c>
      <c r="Q14" s="241">
        <f t="shared" ref="Q14" si="12">Q13/0.3*0.2</f>
        <v>0</v>
      </c>
      <c r="R14" s="241">
        <f t="shared" ref="R14" si="13">R13/0.3*0.2</f>
        <v>0</v>
      </c>
      <c r="S14" s="241">
        <f t="shared" ref="S14" si="14">S13/0.3*0.2</f>
        <v>0</v>
      </c>
      <c r="T14" s="241">
        <f t="shared" ref="T14" si="15">T13/0.3*0.2</f>
        <v>0</v>
      </c>
      <c r="U14" s="241">
        <f t="shared" ref="U14" si="16">U13/0.3*0.2</f>
        <v>0</v>
      </c>
      <c r="V14" s="241">
        <f t="shared" ref="V14" si="17">V13/0.3*0.2</f>
        <v>0</v>
      </c>
      <c r="W14" s="241">
        <f t="shared" si="0"/>
        <v>1.6999999999999997</v>
      </c>
    </row>
    <row r="15" spans="1:23" x14ac:dyDescent="0.35">
      <c r="A15" s="45">
        <v>14</v>
      </c>
      <c r="B15" s="45" t="s">
        <v>654</v>
      </c>
      <c r="C15" s="241">
        <f>C14/0.2*0.5</f>
        <v>0</v>
      </c>
      <c r="D15" s="241">
        <f t="shared" ref="D15:F15" si="18">D14/0.2*0.5</f>
        <v>1.9040000000000001</v>
      </c>
      <c r="E15" s="241">
        <f t="shared" si="18"/>
        <v>4.8959999999999999</v>
      </c>
      <c r="F15" s="241">
        <f t="shared" si="18"/>
        <v>2.5499999999999998</v>
      </c>
      <c r="G15" s="241">
        <f t="shared" ref="G15" si="19">G14/0.2*0.5</f>
        <v>2.5499999999999998</v>
      </c>
      <c r="H15" s="241">
        <f t="shared" ref="H15" si="20">H14/0.2*0.5</f>
        <v>2.5499999999999998</v>
      </c>
      <c r="I15" s="241">
        <f t="shared" ref="I15" si="21">I14/0.2*0.5</f>
        <v>2.5499999999999998</v>
      </c>
      <c r="J15" s="241">
        <f t="shared" ref="J15" si="22">J14/0.2*0.5</f>
        <v>0</v>
      </c>
      <c r="K15" s="241">
        <f t="shared" ref="K15" si="23">K14/0.2*0.5</f>
        <v>0</v>
      </c>
      <c r="L15" s="241">
        <f t="shared" ref="L15" si="24">L14/0.2*0.5</f>
        <v>0</v>
      </c>
      <c r="M15" s="241">
        <f t="shared" ref="M15" si="25">M14/0.2*0.5</f>
        <v>0</v>
      </c>
      <c r="N15" s="241">
        <f t="shared" ref="N15" si="26">N14/0.2*0.5</f>
        <v>0</v>
      </c>
      <c r="O15" s="241">
        <f t="shared" ref="O15" si="27">O14/0.2*0.5</f>
        <v>0</v>
      </c>
      <c r="P15" s="241">
        <f t="shared" ref="P15" si="28">P14/0.2*0.5</f>
        <v>0</v>
      </c>
      <c r="Q15" s="241">
        <f t="shared" ref="Q15" si="29">Q14/0.2*0.5</f>
        <v>0</v>
      </c>
      <c r="R15" s="241">
        <f t="shared" ref="R15" si="30">R14/0.2*0.5</f>
        <v>0</v>
      </c>
      <c r="S15" s="241">
        <f t="shared" ref="S15" si="31">S14/0.2*0.5</f>
        <v>0</v>
      </c>
      <c r="T15" s="241">
        <f t="shared" ref="T15" si="32">T14/0.2*0.5</f>
        <v>0</v>
      </c>
      <c r="U15" s="241">
        <f t="shared" ref="U15" si="33">U14/0.2*0.5</f>
        <v>0</v>
      </c>
      <c r="V15" s="241">
        <f t="shared" ref="V15" si="34">V14/0.2*0.5</f>
        <v>0</v>
      </c>
      <c r="W15" s="241">
        <f t="shared" si="0"/>
        <v>4.25</v>
      </c>
    </row>
    <row r="16" spans="1:23" x14ac:dyDescent="0.35">
      <c r="C16" s="241"/>
      <c r="D16" s="241"/>
      <c r="E16" s="241"/>
      <c r="F16" s="241"/>
      <c r="G16" s="241"/>
      <c r="H16" s="241"/>
      <c r="I16" s="241"/>
      <c r="J16" s="241"/>
      <c r="K16" s="241"/>
      <c r="L16" s="241"/>
      <c r="M16" s="241"/>
      <c r="N16" s="241"/>
      <c r="O16" s="241"/>
      <c r="P16" s="241"/>
      <c r="Q16" s="241"/>
      <c r="R16" s="241"/>
      <c r="S16" s="241"/>
      <c r="T16" s="241"/>
      <c r="U16" s="241"/>
      <c r="V16" s="241"/>
      <c r="W16" s="241"/>
    </row>
    <row r="17" spans="1:23" x14ac:dyDescent="0.35">
      <c r="A17" s="45" t="s">
        <v>1236</v>
      </c>
      <c r="C17" s="241"/>
      <c r="D17" s="241"/>
      <c r="E17" s="241"/>
      <c r="F17" s="241"/>
      <c r="G17" s="241"/>
      <c r="H17" s="241"/>
      <c r="I17" s="241"/>
      <c r="J17" s="241"/>
      <c r="K17" s="241"/>
      <c r="L17" s="241"/>
      <c r="M17" s="241"/>
      <c r="N17" s="241"/>
      <c r="O17" s="241"/>
      <c r="P17" s="241"/>
      <c r="Q17" s="241"/>
      <c r="R17" s="241"/>
      <c r="S17" s="241"/>
      <c r="T17" s="241"/>
      <c r="U17" s="241"/>
      <c r="V17" s="241"/>
      <c r="W17" s="241"/>
    </row>
    <row r="18" spans="1:23" x14ac:dyDescent="0.35">
      <c r="B18" s="144" t="s">
        <v>193</v>
      </c>
      <c r="C18" s="241">
        <f>'ARP Score'!$BG5/'ARP Score'!$G5*C6</f>
        <v>0</v>
      </c>
      <c r="D18" s="241">
        <f>'ARP Score'!$BG5/'ARP Score'!$G5*D6</f>
        <v>2.2132800000000001</v>
      </c>
      <c r="E18" s="241">
        <f>'ARP Score'!$BG5/'ARP Score'!$G5*E6</f>
        <v>10.082720000000002</v>
      </c>
      <c r="F18" s="241">
        <f>'ARP Score'!$BG6/'ARP Score'!$G6*F6</f>
        <v>7.1439999999999992</v>
      </c>
      <c r="G18" s="241">
        <f>'ARP Score'!$BG6/'ARP Score'!$G6*G6</f>
        <v>7.1439999999999992</v>
      </c>
      <c r="H18" s="241">
        <f>'ARP Score'!$BG6/'ARP Score'!$G6*H6</f>
        <v>7.1439999999999992</v>
      </c>
      <c r="I18" s="241">
        <f>'ARP Score'!$BG6/'ARP Score'!$G6*I6</f>
        <v>7.1439999999999992</v>
      </c>
      <c r="J18" s="241">
        <f>'ARP Score'!$BG7/'ARP Score'!$G7*J6</f>
        <v>0</v>
      </c>
      <c r="K18" s="241">
        <f>'ARP Score'!$BG7/'ARP Score'!$G7*K6</f>
        <v>0</v>
      </c>
      <c r="L18" s="241">
        <f>'ARP Score'!$BG7/'ARP Score'!$G7*L6</f>
        <v>0</v>
      </c>
      <c r="M18" s="241">
        <f>'ARP Score'!$BG7/'ARP Score'!$G7*M6</f>
        <v>0</v>
      </c>
      <c r="N18" s="241"/>
      <c r="O18" s="241"/>
      <c r="P18" s="241"/>
      <c r="Q18" s="241"/>
      <c r="R18" s="241"/>
      <c r="S18" s="241"/>
      <c r="T18" s="241"/>
      <c r="U18" s="241"/>
      <c r="V18" s="241"/>
      <c r="W18" s="241"/>
    </row>
    <row r="19" spans="1:23" x14ac:dyDescent="0.35">
      <c r="B19" s="144" t="s">
        <v>1237</v>
      </c>
      <c r="C19" s="241">
        <f>'ARP Score'!$BI5/'ARP Score'!$G5*C6</f>
        <v>0</v>
      </c>
      <c r="D19" s="241">
        <f>'ARP Score'!$BI5/'ARP Score'!$G5*D6</f>
        <v>15.128640000000001</v>
      </c>
      <c r="E19" s="241">
        <f>'ARP Score'!$BI5/'ARP Score'!$G5*E6</f>
        <v>68.919360000000012</v>
      </c>
      <c r="F19" s="241">
        <f>'ARP Score'!$BI6/'ARP Score'!$G6*F6</f>
        <v>5.6120000000000001</v>
      </c>
      <c r="G19" s="241">
        <f>'ARP Score'!$BI6/'ARP Score'!$G6*G6</f>
        <v>5.6120000000000001</v>
      </c>
      <c r="H19" s="241">
        <f>'ARP Score'!$BI6/'ARP Score'!$G6*H6</f>
        <v>5.6120000000000001</v>
      </c>
      <c r="I19" s="241">
        <f>'ARP Score'!$BI6/'ARP Score'!$G6*I6</f>
        <v>5.6120000000000001</v>
      </c>
      <c r="J19" s="241">
        <f>'ARP Score'!$B7/'ARP Score'!$G7*J6</f>
        <v>0.48599999999999993</v>
      </c>
      <c r="K19" s="241">
        <f>'ARP Score'!$B7/'ARP Score'!$G7*K6</f>
        <v>0.48599999999999993</v>
      </c>
      <c r="L19" s="241">
        <f>'ARP Score'!$B7/'ARP Score'!$G7*L6</f>
        <v>0.48599999999999993</v>
      </c>
      <c r="M19" s="241">
        <f>'ARP Score'!$B7/'ARP Score'!$G7*M6</f>
        <v>0.48599999999999993</v>
      </c>
      <c r="N19" s="241">
        <f>'ARP Score'!$B8/'ARP Score'!$G8*N6</f>
        <v>0</v>
      </c>
      <c r="O19" s="241"/>
      <c r="P19" s="241"/>
      <c r="Q19" s="241"/>
      <c r="R19" s="241"/>
      <c r="S19" s="241"/>
      <c r="T19" s="241"/>
      <c r="U19" s="241"/>
      <c r="V19" s="241"/>
      <c r="W19" s="241"/>
    </row>
    <row r="20" spans="1:23" x14ac:dyDescent="0.35">
      <c r="B20" s="144" t="s">
        <v>198</v>
      </c>
      <c r="C20" s="241">
        <f>'ARP Score'!$BF5/'ARP Score'!$G5*C6</f>
        <v>0</v>
      </c>
      <c r="D20" s="241">
        <f>'ARP Score'!$BF5/'ARP Score'!$G5*D6</f>
        <v>3.2479199999999997</v>
      </c>
      <c r="E20" s="241">
        <f>'ARP Score'!$BF5/'ARP Score'!$G5*E6</f>
        <v>14.796080000000002</v>
      </c>
      <c r="F20" s="241">
        <f>'ARP Score'!$BF6/'ARP Score'!$G6*F6</f>
        <v>1.7329999999999999</v>
      </c>
      <c r="G20" s="241">
        <f>'ARP Score'!$BF6/'ARP Score'!$G6*G6</f>
        <v>1.7329999999999999</v>
      </c>
      <c r="H20" s="241">
        <f>'ARP Score'!$BF6/'ARP Score'!$G6*H6</f>
        <v>1.7329999999999999</v>
      </c>
      <c r="I20" s="241">
        <f>'ARP Score'!$BF6/'ARP Score'!$G6*I6</f>
        <v>1.7329999999999999</v>
      </c>
      <c r="J20" s="241">
        <f>'ARP Score'!$BF7/'ARP Score'!$G7*J6</f>
        <v>0</v>
      </c>
      <c r="K20" s="241">
        <f>'ARP Score'!$BF7/'ARP Score'!$G7*K6</f>
        <v>0</v>
      </c>
      <c r="L20" s="241">
        <f>'ARP Score'!$BF7/'ARP Score'!$G7*L6</f>
        <v>0</v>
      </c>
      <c r="M20" s="241">
        <f>'ARP Score'!$BF7/'ARP Score'!$G7*M6</f>
        <v>0</v>
      </c>
      <c r="N20" s="241"/>
      <c r="O20" s="241"/>
      <c r="P20" s="241"/>
      <c r="Q20" s="241"/>
      <c r="R20" s="241"/>
      <c r="S20" s="241"/>
      <c r="T20" s="241"/>
      <c r="U20" s="241"/>
      <c r="V20" s="241"/>
      <c r="W20" s="241"/>
    </row>
    <row r="21" spans="1:23" x14ac:dyDescent="0.35">
      <c r="B21" s="666" t="s">
        <v>578</v>
      </c>
      <c r="C21" s="241">
        <f>15/40*(C6*'ARP Score'!$BD5/'ARP Score'!$G5)</f>
        <v>0</v>
      </c>
      <c r="D21" s="241">
        <f>15/40*(D6*('ARP Score'!$BD5+'ARP Score'!$BE5)/'ARP Score'!$G5)</f>
        <v>13.2921</v>
      </c>
      <c r="E21" s="241">
        <f>15/40*(E6*('ARP Score'!$BD5+'ARP Score'!$BE5)/'ARP Score'!$G5)</f>
        <v>60.552900000000008</v>
      </c>
      <c r="F21" s="241">
        <f>15/40*(F6*('ARP Score'!$BD6+'ARP Score'!$BE6)/'ARP Score'!$G6)</f>
        <v>1.0687500000000001</v>
      </c>
      <c r="G21" s="241">
        <f>15/40*(G6*('ARP Score'!$BD6+'ARP Score'!$BE6)/'ARP Score'!$G6)</f>
        <v>1.0687500000000001</v>
      </c>
      <c r="H21" s="241">
        <f>15/40*(H6*('ARP Score'!$BD6+'ARP Score'!$BE6)/'ARP Score'!$G6)</f>
        <v>1.0687500000000001</v>
      </c>
      <c r="I21" s="241">
        <f>15/40*(I6*('ARP Score'!$BD6+'ARP Score'!$BE6)/'ARP Score'!$G6)</f>
        <v>1.0687500000000001</v>
      </c>
      <c r="J21" s="241">
        <f>15/40*(J6*('ARP Score'!$BD7+'ARP Score'!$BE7)/'ARP Score'!$G7)</f>
        <v>0.78750000000000009</v>
      </c>
      <c r="K21" s="241">
        <f>15/40*(K6*('ARP Score'!$BD7+'ARP Score'!$BE7)/'ARP Score'!$G7)</f>
        <v>0.78750000000000009</v>
      </c>
      <c r="L21" s="241">
        <f>15/40*(L6*('ARP Score'!$BD7+'ARP Score'!$BE7)/'ARP Score'!$G7)</f>
        <v>0.78750000000000009</v>
      </c>
      <c r="M21" s="241">
        <f>15/40*(M6*('ARP Score'!$BD7+'ARP Score'!$BE7)/'ARP Score'!$G7)</f>
        <v>0.78750000000000009</v>
      </c>
      <c r="N21" s="241"/>
      <c r="O21" s="241"/>
      <c r="P21" s="241"/>
      <c r="Q21" s="241"/>
      <c r="R21" s="241"/>
      <c r="S21" s="241"/>
      <c r="T21" s="241"/>
      <c r="U21" s="241"/>
      <c r="V21" s="241"/>
      <c r="W21" s="241"/>
    </row>
    <row r="22" spans="1:23" x14ac:dyDescent="0.35">
      <c r="B22" s="666" t="s">
        <v>1238</v>
      </c>
      <c r="C22" s="241"/>
      <c r="D22" s="241">
        <f>D21/15*25</f>
        <v>22.153499999999998</v>
      </c>
      <c r="E22" s="241">
        <f>E21/15*25</f>
        <v>100.92150000000002</v>
      </c>
      <c r="F22" s="241">
        <f>F21/15*25</f>
        <v>1.7812500000000002</v>
      </c>
      <c r="G22" s="241">
        <f t="shared" ref="G22:J22" si="35">G21/15*25</f>
        <v>1.7812500000000002</v>
      </c>
      <c r="H22" s="241">
        <f t="shared" si="35"/>
        <v>1.7812500000000002</v>
      </c>
      <c r="I22" s="241">
        <f t="shared" si="35"/>
        <v>1.7812500000000002</v>
      </c>
      <c r="J22" s="241">
        <f t="shared" si="35"/>
        <v>1.3125000000000002</v>
      </c>
      <c r="K22" s="241">
        <f t="shared" ref="K22" si="36">K21/15*25</f>
        <v>1.3125000000000002</v>
      </c>
      <c r="L22" s="241">
        <f t="shared" ref="L22" si="37">L21/15*25</f>
        <v>1.3125000000000002</v>
      </c>
      <c r="M22" s="241">
        <f t="shared" ref="M22" si="38">M21/15*25</f>
        <v>1.3125000000000002</v>
      </c>
      <c r="N22" s="241"/>
      <c r="O22" s="241"/>
      <c r="P22" s="241"/>
      <c r="Q22" s="241"/>
      <c r="R22" s="241"/>
      <c r="S22" s="241"/>
      <c r="T22" s="241"/>
      <c r="U22" s="241"/>
      <c r="V22" s="241"/>
      <c r="W22" s="241"/>
    </row>
    <row r="23" spans="1:23" x14ac:dyDescent="0.35">
      <c r="B23" s="144" t="s">
        <v>590</v>
      </c>
      <c r="C23" s="241">
        <f>'ARP Score'!$BB5/'ARP Score'!$G5*C6</f>
        <v>0</v>
      </c>
      <c r="D23" s="241">
        <f>'ARP Score'!$BB5/'ARP Score'!$G5*D6</f>
        <v>2.9519999999999995</v>
      </c>
      <c r="E23" s="241">
        <f>'ARP Score'!$BB5/'ARP Score'!$G5*E6</f>
        <v>13.448</v>
      </c>
      <c r="F23" s="241">
        <f>'ARP Score'!$BB6/'ARP Score'!$G6*F6</f>
        <v>11.3</v>
      </c>
      <c r="G23" s="241">
        <f>'ARP Score'!$BB6/'ARP Score'!$G6*G6</f>
        <v>11.3</v>
      </c>
      <c r="H23" s="241">
        <f>'ARP Score'!$BB6/'ARP Score'!$G6*H6</f>
        <v>11.3</v>
      </c>
      <c r="I23" s="241">
        <f>'ARP Score'!$BB6/'ARP Score'!$G6*I6</f>
        <v>11.3</v>
      </c>
      <c r="J23" s="241">
        <f>'ARP Score'!$BB7/'ARP Score'!$G7*J6</f>
        <v>8.4</v>
      </c>
      <c r="K23" s="241">
        <f>'ARP Score'!$BB7/'ARP Score'!$G7*K6</f>
        <v>8.4</v>
      </c>
      <c r="L23" s="241">
        <f>'ARP Score'!$BB7/'ARP Score'!$G7*L6</f>
        <v>8.4</v>
      </c>
      <c r="M23" s="241">
        <f>'ARP Score'!$BB7/'ARP Score'!$G7*M6</f>
        <v>8.4</v>
      </c>
      <c r="N23" s="241">
        <f>'ARP Score'!$BB8/'ARP Score'!$G8*N6</f>
        <v>0.2</v>
      </c>
      <c r="O23" s="241">
        <f>'ARP Score'!$BB8/'ARP Score'!$G8*O6</f>
        <v>0.2</v>
      </c>
      <c r="P23" s="241">
        <f>'ARP Score'!$BB8/'ARP Score'!$G8*P6</f>
        <v>0.2</v>
      </c>
      <c r="Q23" s="241">
        <f>'ARP Score'!$BB8/'ARP Score'!$G8*Q6</f>
        <v>0.2</v>
      </c>
      <c r="R23" s="241"/>
      <c r="S23" s="241"/>
      <c r="T23" s="241"/>
      <c r="U23" s="241"/>
      <c r="V23" s="241"/>
      <c r="W23" s="241"/>
    </row>
    <row r="24" spans="1:23" x14ac:dyDescent="0.35">
      <c r="B24" s="144" t="s">
        <v>591</v>
      </c>
      <c r="C24" s="241">
        <f>'ARP Score'!$BH5/'ARP Score'!$G5*C6</f>
        <v>0</v>
      </c>
      <c r="D24" s="241">
        <f>'ARP Score'!$BH5/'ARP Score'!$G5*D6</f>
        <v>-0.20447999999999997</v>
      </c>
      <c r="E24" s="241">
        <f>'ARP Score'!$BH5/'ARP Score'!$G5*E6</f>
        <v>-0.93152000000000001</v>
      </c>
      <c r="F24" s="241">
        <f>'ARP Score'!$BH6/'ARP Score'!$G6*F6</f>
        <v>81.608999999999995</v>
      </c>
      <c r="G24" s="241">
        <f>'ARP Score'!$BH6/'ARP Score'!$G6*G6</f>
        <v>81.608999999999995</v>
      </c>
      <c r="H24" s="241">
        <f>'ARP Score'!$BH6/'ARP Score'!$G6*H6</f>
        <v>81.608999999999995</v>
      </c>
      <c r="I24" s="241">
        <f>'ARP Score'!$BH6/'ARP Score'!$G6*I6</f>
        <v>81.608999999999995</v>
      </c>
      <c r="J24" s="241">
        <f>'ARP Score'!$BH7/'ARP Score'!$G7*J6</f>
        <v>1.3759999999999999</v>
      </c>
      <c r="K24" s="241">
        <f>'ARP Score'!$BH7/'ARP Score'!$G7*K6</f>
        <v>1.3759999999999999</v>
      </c>
      <c r="L24" s="241">
        <f>'ARP Score'!$BH7/'ARP Score'!$G7*L6</f>
        <v>1.3759999999999999</v>
      </c>
      <c r="M24" s="241">
        <f>'ARP Score'!$BH7/'ARP Score'!$G7*M6</f>
        <v>1.3759999999999999</v>
      </c>
      <c r="N24" s="241">
        <f>'ARP Score'!$BH8/'ARP Score'!$G8*N6</f>
        <v>-0.87500000000000011</v>
      </c>
      <c r="O24" s="241">
        <f>'ARP Score'!$BH8/'ARP Score'!$G8*O6</f>
        <v>-0.87500000000000011</v>
      </c>
      <c r="P24" s="241">
        <f>'ARP Score'!$BH8/'ARP Score'!$G8*P6</f>
        <v>-0.87500000000000011</v>
      </c>
      <c r="Q24" s="241">
        <f>'ARP Score'!$BH8/'ARP Score'!$G8*Q6</f>
        <v>-0.87500000000000011</v>
      </c>
      <c r="R24" s="241"/>
      <c r="S24" s="241"/>
      <c r="T24" s="241"/>
      <c r="U24" s="241"/>
      <c r="V24" s="241"/>
      <c r="W24" s="241"/>
    </row>
    <row r="25" spans="1:23" x14ac:dyDescent="0.35">
      <c r="B25" s="144" t="s">
        <v>445</v>
      </c>
      <c r="C25" s="241">
        <f>SUM(C18:C24)</f>
        <v>0</v>
      </c>
      <c r="D25" s="241">
        <f t="shared" ref="D25:Q25" si="39">SUM(D18:D24)</f>
        <v>58.782959999999996</v>
      </c>
      <c r="E25" s="241">
        <f t="shared" si="39"/>
        <v>267.78904000000006</v>
      </c>
      <c r="F25" s="241">
        <f t="shared" si="39"/>
        <v>110.24799999999999</v>
      </c>
      <c r="G25" s="241">
        <f t="shared" si="39"/>
        <v>110.24799999999999</v>
      </c>
      <c r="H25" s="241">
        <f t="shared" si="39"/>
        <v>110.24799999999999</v>
      </c>
      <c r="I25" s="241">
        <f t="shared" si="39"/>
        <v>110.24799999999999</v>
      </c>
      <c r="J25" s="241">
        <f t="shared" si="39"/>
        <v>12.362</v>
      </c>
      <c r="K25" s="241">
        <f t="shared" si="39"/>
        <v>12.362</v>
      </c>
      <c r="L25" s="241">
        <f t="shared" si="39"/>
        <v>12.362</v>
      </c>
      <c r="M25" s="241">
        <f t="shared" si="39"/>
        <v>12.362</v>
      </c>
      <c r="N25" s="241">
        <f t="shared" si="39"/>
        <v>-0.67500000000000004</v>
      </c>
      <c r="O25" s="241">
        <f t="shared" si="39"/>
        <v>-0.67500000000000004</v>
      </c>
      <c r="P25" s="241">
        <f t="shared" si="39"/>
        <v>-0.67500000000000004</v>
      </c>
      <c r="Q25" s="241">
        <f t="shared" si="39"/>
        <v>-0.67500000000000004</v>
      </c>
      <c r="R25" s="241"/>
      <c r="S25" s="241"/>
      <c r="T25" s="241"/>
      <c r="U25" s="241"/>
      <c r="V25" s="241"/>
      <c r="W25" s="241"/>
    </row>
    <row r="26" spans="1:23" x14ac:dyDescent="0.35">
      <c r="D26" s="243">
        <f>D6-D25</f>
        <v>0</v>
      </c>
      <c r="E26" s="243">
        <f t="shared" ref="E26:M26" si="40">E6-E25</f>
        <v>0</v>
      </c>
      <c r="F26" s="243">
        <f t="shared" si="40"/>
        <v>0</v>
      </c>
      <c r="G26" s="243">
        <f t="shared" si="40"/>
        <v>0</v>
      </c>
      <c r="H26" s="243">
        <f t="shared" si="40"/>
        <v>0</v>
      </c>
      <c r="I26" s="243">
        <f t="shared" si="40"/>
        <v>0</v>
      </c>
      <c r="J26" s="243">
        <f t="shared" si="40"/>
        <v>0.36400000000000077</v>
      </c>
      <c r="K26" s="243">
        <f t="shared" si="40"/>
        <v>0.36400000000000077</v>
      </c>
      <c r="L26" s="243">
        <f t="shared" si="40"/>
        <v>0.36400000000000077</v>
      </c>
      <c r="M26" s="243">
        <f t="shared" si="40"/>
        <v>0.36400000000000077</v>
      </c>
    </row>
    <row r="27" spans="1:23" x14ac:dyDescent="0.35">
      <c r="B27" s="45" t="s">
        <v>1239</v>
      </c>
      <c r="D27" s="221" t="s">
        <v>380</v>
      </c>
      <c r="E27" s="221" t="s">
        <v>232</v>
      </c>
      <c r="F27" s="221" t="s">
        <v>233</v>
      </c>
      <c r="G27" s="221" t="s">
        <v>234</v>
      </c>
      <c r="H27" s="221" t="s">
        <v>235</v>
      </c>
      <c r="I27" s="221" t="s">
        <v>236</v>
      </c>
      <c r="J27" s="221" t="s">
        <v>237</v>
      </c>
      <c r="K27" s="221" t="s">
        <v>238</v>
      </c>
      <c r="L27" s="221" t="s">
        <v>239</v>
      </c>
      <c r="M27" s="221" t="s">
        <v>240</v>
      </c>
      <c r="N27" s="221" t="s">
        <v>241</v>
      </c>
      <c r="O27" s="221" t="s">
        <v>242</v>
      </c>
      <c r="P27" s="221" t="s">
        <v>243</v>
      </c>
      <c r="Q27" s="221" t="s">
        <v>226</v>
      </c>
      <c r="R27" s="221" t="s">
        <v>227</v>
      </c>
      <c r="S27" s="221" t="s">
        <v>228</v>
      </c>
      <c r="T27" s="221" t="s">
        <v>1230</v>
      </c>
      <c r="U27" s="221" t="s">
        <v>1231</v>
      </c>
      <c r="V27" s="221" t="s">
        <v>1232</v>
      </c>
    </row>
    <row r="28" spans="1:23" x14ac:dyDescent="0.35">
      <c r="B28" s="242"/>
      <c r="C28" s="243" t="s">
        <v>445</v>
      </c>
      <c r="D28" s="248">
        <f>SUM(D29:D43)</f>
        <v>5.8765000000000009</v>
      </c>
      <c r="E28" s="248">
        <f t="shared" ref="E28:V28" si="41">SUM(E29:E43)</f>
        <v>11.753000000000002</v>
      </c>
      <c r="F28" s="248">
        <f t="shared" si="41"/>
        <v>15.762320000000003</v>
      </c>
      <c r="G28" s="248">
        <f t="shared" si="41"/>
        <v>19.771640000000005</v>
      </c>
      <c r="H28" s="248">
        <f t="shared" si="41"/>
        <v>23.812229000000006</v>
      </c>
      <c r="I28" s="248">
        <f t="shared" si="41"/>
        <v>27.852818000000006</v>
      </c>
      <c r="J28" s="248">
        <f t="shared" si="41"/>
        <v>30.517977000000005</v>
      </c>
      <c r="K28" s="248">
        <f t="shared" si="41"/>
        <v>33.183136000000005</v>
      </c>
      <c r="L28" s="248">
        <f t="shared" si="41"/>
        <v>36.260924000000003</v>
      </c>
      <c r="M28" s="248">
        <f t="shared" si="41"/>
        <v>39.338711999999994</v>
      </c>
      <c r="N28" s="248">
        <f t="shared" si="41"/>
        <v>40.928439999999995</v>
      </c>
      <c r="O28" s="248">
        <f t="shared" si="41"/>
        <v>42.518167999999996</v>
      </c>
      <c r="P28" s="248">
        <f t="shared" si="41"/>
        <v>44.428388999999996</v>
      </c>
      <c r="Q28" s="248">
        <f t="shared" si="41"/>
        <v>46.338610000000003</v>
      </c>
      <c r="R28" s="248">
        <f t="shared" si="41"/>
        <v>47.279744500000007</v>
      </c>
      <c r="S28" s="248">
        <f t="shared" si="41"/>
        <v>46.283419000000009</v>
      </c>
      <c r="T28" s="248">
        <f t="shared" si="41"/>
        <v>45.578489500000011</v>
      </c>
      <c r="U28" s="248">
        <f t="shared" si="41"/>
        <v>45.454798000000011</v>
      </c>
      <c r="V28" s="248">
        <f t="shared" si="41"/>
        <v>45.360580000000013</v>
      </c>
    </row>
    <row r="29" spans="1:23" x14ac:dyDescent="0.35">
      <c r="A29" s="45">
        <v>2021</v>
      </c>
      <c r="B29" s="242" t="s">
        <v>1240</v>
      </c>
      <c r="C29" s="243"/>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x14ac:dyDescent="0.35">
      <c r="B30" s="242" t="s">
        <v>466</v>
      </c>
      <c r="C30" s="243"/>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x14ac:dyDescent="0.35">
      <c r="B31" s="242" t="s">
        <v>1241</v>
      </c>
      <c r="C31" s="243"/>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x14ac:dyDescent="0.35">
      <c r="A32" s="45">
        <v>2022</v>
      </c>
      <c r="B32" s="242" t="s">
        <v>307</v>
      </c>
      <c r="C32" s="243"/>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x14ac:dyDescent="0.35">
      <c r="B33" s="242" t="s">
        <v>308</v>
      </c>
      <c r="C33" s="243"/>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x14ac:dyDescent="0.35">
      <c r="B34" s="242" t="s">
        <v>466</v>
      </c>
      <c r="C34" s="243"/>
      <c r="H34" s="243"/>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x14ac:dyDescent="0.35">
      <c r="B35" s="242" t="s">
        <v>1241</v>
      </c>
      <c r="C35" s="243"/>
      <c r="H35" s="243"/>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x14ac:dyDescent="0.35">
      <c r="A36" s="45">
        <v>2023</v>
      </c>
      <c r="B36" s="242" t="s">
        <v>307</v>
      </c>
      <c r="C36" s="243"/>
      <c r="H36" s="243"/>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x14ac:dyDescent="0.35">
      <c r="B37" s="242" t="s">
        <v>308</v>
      </c>
      <c r="C37" s="243"/>
      <c r="H37" s="243"/>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x14ac:dyDescent="0.35">
      <c r="B38" s="242" t="s">
        <v>466</v>
      </c>
      <c r="C38" s="243"/>
      <c r="H38" s="243"/>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x14ac:dyDescent="0.35">
      <c r="B39" s="242" t="s">
        <v>1241</v>
      </c>
      <c r="C39" s="243"/>
      <c r="H39" s="243"/>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x14ac:dyDescent="0.35">
      <c r="A40" s="45">
        <v>2024</v>
      </c>
      <c r="B40" s="242" t="s">
        <v>307</v>
      </c>
      <c r="C40" s="243"/>
      <c r="H40" s="243"/>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x14ac:dyDescent="0.35">
      <c r="B41" s="242" t="s">
        <v>308</v>
      </c>
      <c r="C41" s="243"/>
      <c r="H41" s="243"/>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x14ac:dyDescent="0.35">
      <c r="B42" s="242" t="s">
        <v>466</v>
      </c>
      <c r="C42" s="243"/>
      <c r="H42" s="243"/>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x14ac:dyDescent="0.35">
      <c r="B43" s="242" t="s">
        <v>1241</v>
      </c>
      <c r="C43" s="243"/>
      <c r="H43" s="243"/>
      <c r="R43" s="45">
        <f>($R$9+$R$10)*'ARP Timing'!B$16</f>
        <v>1.9374600000000002</v>
      </c>
      <c r="S43" s="45">
        <f>($R$9+$R$10)*'ARP Timing'!C$16</f>
        <v>1.9374600000000002</v>
      </c>
      <c r="T43" s="45">
        <f>($R$9+$R$10)*'ARP Timing'!D$16</f>
        <v>1.356222</v>
      </c>
      <c r="U43" s="45">
        <f>($R$9+$R$10)*'ARP Timing'!E$16</f>
        <v>1.356222</v>
      </c>
      <c r="V43" s="45">
        <f>($R$9+$R$10)*'ARP Timing'!F$16</f>
        <v>1.356222</v>
      </c>
    </row>
    <row r="44" spans="1:23" x14ac:dyDescent="0.35">
      <c r="S44" s="45">
        <f>($S$9+$S$10)*'ARP Timing'!B$16</f>
        <v>1.9374600000000002</v>
      </c>
      <c r="T44" s="45">
        <f>($S$9+$S$10)*'ARP Timing'!C$16</f>
        <v>1.9374600000000002</v>
      </c>
      <c r="U44" s="45">
        <f>($S$9+$S$10)*'ARP Timing'!D$16</f>
        <v>1.356222</v>
      </c>
      <c r="V44" s="45">
        <f>($S$9+$S$10)*'ARP Timing'!E$16</f>
        <v>1.356222</v>
      </c>
    </row>
    <row r="46" spans="1:23" x14ac:dyDescent="0.35">
      <c r="B46" s="45" t="s">
        <v>1242</v>
      </c>
      <c r="D46" s="221" t="s">
        <v>380</v>
      </c>
      <c r="E46" s="221" t="s">
        <v>232</v>
      </c>
      <c r="F46" s="221" t="s">
        <v>233</v>
      </c>
      <c r="G46" s="221" t="s">
        <v>234</v>
      </c>
      <c r="H46" s="221" t="s">
        <v>235</v>
      </c>
      <c r="I46" s="221" t="s">
        <v>236</v>
      </c>
      <c r="J46" s="221" t="s">
        <v>237</v>
      </c>
      <c r="K46" s="221" t="s">
        <v>238</v>
      </c>
      <c r="L46" s="221" t="s">
        <v>239</v>
      </c>
      <c r="M46" s="221" t="s">
        <v>240</v>
      </c>
      <c r="N46" s="221" t="s">
        <v>241</v>
      </c>
      <c r="O46" s="221" t="s">
        <v>242</v>
      </c>
      <c r="P46" s="221" t="s">
        <v>243</v>
      </c>
      <c r="Q46" s="221" t="s">
        <v>226</v>
      </c>
      <c r="R46" s="221" t="s">
        <v>227</v>
      </c>
      <c r="S46" s="221" t="s">
        <v>228</v>
      </c>
      <c r="T46" s="221" t="s">
        <v>1230</v>
      </c>
      <c r="U46" s="221" t="s">
        <v>1231</v>
      </c>
      <c r="V46" s="221" t="s">
        <v>1232</v>
      </c>
    </row>
    <row r="47" spans="1:23" x14ac:dyDescent="0.35">
      <c r="B47" s="242"/>
      <c r="C47" s="243" t="s">
        <v>445</v>
      </c>
      <c r="D47" s="248">
        <f t="shared" ref="D47:U47" si="42">SUM(D48:D66)</f>
        <v>0</v>
      </c>
      <c r="E47" s="248">
        <f t="shared" si="42"/>
        <v>0</v>
      </c>
      <c r="F47" s="248">
        <f t="shared" si="42"/>
        <v>34.620851999999999</v>
      </c>
      <c r="G47" s="248">
        <f t="shared" si="42"/>
        <v>45.996274799999995</v>
      </c>
      <c r="H47" s="248">
        <f t="shared" si="42"/>
        <v>59.350031999999992</v>
      </c>
      <c r="I47" s="248">
        <f t="shared" si="42"/>
        <v>64.295867999999999</v>
      </c>
      <c r="J47" s="248">
        <f t="shared" si="42"/>
        <v>72.538927999999999</v>
      </c>
      <c r="K47" s="248">
        <f t="shared" si="42"/>
        <v>80.122543199999996</v>
      </c>
      <c r="L47" s="248">
        <f t="shared" si="42"/>
        <v>98.916719999999998</v>
      </c>
      <c r="M47" s="248">
        <f t="shared" si="42"/>
        <v>102.213944</v>
      </c>
      <c r="N47" s="248">
        <f t="shared" si="42"/>
        <v>102.213944</v>
      </c>
      <c r="O47" s="248">
        <f t="shared" si="42"/>
        <v>102.213944</v>
      </c>
      <c r="P47" s="248">
        <f t="shared" si="42"/>
        <v>98.916719999999998</v>
      </c>
      <c r="Q47" s="248">
        <f t="shared" si="42"/>
        <v>98.916719999999998</v>
      </c>
      <c r="R47" s="248">
        <f t="shared" si="42"/>
        <v>99.081581199999988</v>
      </c>
      <c r="S47" s="248">
        <f t="shared" si="42"/>
        <v>93.146578000000005</v>
      </c>
      <c r="T47" s="248">
        <f t="shared" si="42"/>
        <v>86.552129999999991</v>
      </c>
      <c r="U47" s="248">
        <f t="shared" si="42"/>
        <v>86.552129999999991</v>
      </c>
      <c r="V47" s="248">
        <f>SUM(V48:V66)</f>
        <v>82.265738799999994</v>
      </c>
      <c r="W47" s="45">
        <f>SUM(G47:V47)/4</f>
        <v>343.32344900000004</v>
      </c>
    </row>
    <row r="48" spans="1:23" x14ac:dyDescent="0.35">
      <c r="A48" s="45">
        <v>2021</v>
      </c>
      <c r="B48" s="242" t="s">
        <v>1240</v>
      </c>
      <c r="C48" s="243"/>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x14ac:dyDescent="0.35">
      <c r="B49" s="242" t="s">
        <v>466</v>
      </c>
      <c r="C49" s="243"/>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x14ac:dyDescent="0.35">
      <c r="B50" s="242" t="s">
        <v>1241</v>
      </c>
      <c r="C50" s="243"/>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x14ac:dyDescent="0.35">
      <c r="A51" s="45">
        <v>2022</v>
      </c>
      <c r="B51" s="242" t="s">
        <v>307</v>
      </c>
      <c r="C51" s="243"/>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x14ac:dyDescent="0.35">
      <c r="B52" s="242" t="s">
        <v>308</v>
      </c>
      <c r="C52" s="243"/>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x14ac:dyDescent="0.35">
      <c r="B53" s="242" t="s">
        <v>466</v>
      </c>
      <c r="C53" s="243"/>
      <c r="H53" s="243"/>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x14ac:dyDescent="0.35">
      <c r="B54" s="242" t="s">
        <v>1241</v>
      </c>
      <c r="C54" s="243"/>
      <c r="H54" s="243"/>
    </row>
    <row r="55" spans="1:22" x14ac:dyDescent="0.35">
      <c r="A55" s="45">
        <v>2023</v>
      </c>
      <c r="B55" s="242" t="s">
        <v>307</v>
      </c>
      <c r="C55" s="243"/>
      <c r="H55" s="243"/>
    </row>
    <row r="56" spans="1:22" x14ac:dyDescent="0.35">
      <c r="B56" s="242" t="s">
        <v>308</v>
      </c>
      <c r="C56" s="243"/>
      <c r="H56" s="243"/>
    </row>
    <row r="57" spans="1:22" x14ac:dyDescent="0.35">
      <c r="B57" s="242" t="s">
        <v>466</v>
      </c>
      <c r="C57" s="243"/>
      <c r="H57" s="243"/>
    </row>
    <row r="58" spans="1:22" x14ac:dyDescent="0.35">
      <c r="B58" s="242" t="s">
        <v>1241</v>
      </c>
      <c r="C58" s="243"/>
      <c r="H58" s="243"/>
    </row>
    <row r="59" spans="1:22" x14ac:dyDescent="0.35">
      <c r="A59" s="45">
        <v>2024</v>
      </c>
      <c r="B59" s="242" t="s">
        <v>307</v>
      </c>
      <c r="C59" s="243"/>
      <c r="H59" s="243"/>
    </row>
    <row r="60" spans="1:22" x14ac:dyDescent="0.35">
      <c r="B60" s="242" t="s">
        <v>308</v>
      </c>
      <c r="C60" s="243"/>
      <c r="H60" s="243"/>
    </row>
    <row r="61" spans="1:22" x14ac:dyDescent="0.35">
      <c r="B61" s="242" t="s">
        <v>466</v>
      </c>
      <c r="C61" s="243"/>
      <c r="H61" s="243"/>
    </row>
    <row r="62" spans="1:22" x14ac:dyDescent="0.35">
      <c r="B62" s="242" t="s">
        <v>1241</v>
      </c>
      <c r="C62" s="243"/>
      <c r="H62" s="243"/>
    </row>
    <row r="63" spans="1:22" x14ac:dyDescent="0.35">
      <c r="B63" s="242"/>
      <c r="C63" s="243"/>
      <c r="H63" s="243"/>
    </row>
    <row r="64" spans="1:22" x14ac:dyDescent="0.35">
      <c r="B64" s="242"/>
      <c r="C64" s="243"/>
      <c r="H64" s="243"/>
    </row>
    <row r="65" spans="2:24" x14ac:dyDescent="0.35">
      <c r="B65" s="242"/>
      <c r="C65" s="243"/>
      <c r="H65" s="243"/>
    </row>
    <row r="66" spans="2:24" x14ac:dyDescent="0.35">
      <c r="B66" s="242"/>
      <c r="C66" s="243"/>
      <c r="H66" s="243"/>
    </row>
    <row r="67" spans="2:24" x14ac:dyDescent="0.35">
      <c r="B67" s="242"/>
      <c r="C67" s="243"/>
      <c r="H67" s="243"/>
    </row>
    <row r="68" spans="2:24" x14ac:dyDescent="0.35">
      <c r="B68" s="242"/>
      <c r="C68" s="243"/>
      <c r="H68" s="243"/>
    </row>
    <row r="69" spans="2:24" x14ac:dyDescent="0.35">
      <c r="B69" s="242"/>
      <c r="C69" s="243"/>
      <c r="H69" s="243"/>
    </row>
    <row r="70" spans="2:24" x14ac:dyDescent="0.35">
      <c r="B70" s="242"/>
      <c r="C70" s="243"/>
      <c r="H70" s="243"/>
    </row>
    <row r="71" spans="2:24" x14ac:dyDescent="0.35">
      <c r="B71" s="242"/>
      <c r="C71" s="243"/>
      <c r="H71" s="243"/>
    </row>
    <row r="72" spans="2:24" x14ac:dyDescent="0.35">
      <c r="B72" s="242"/>
      <c r="C72" s="243"/>
      <c r="H72" s="243"/>
    </row>
    <row r="73" spans="2:24" x14ac:dyDescent="0.35">
      <c r="B73" s="242" t="s">
        <v>1243</v>
      </c>
      <c r="C73" s="240">
        <v>2021</v>
      </c>
      <c r="D73" s="240">
        <v>2022</v>
      </c>
      <c r="E73" s="240">
        <v>2023</v>
      </c>
      <c r="F73" s="240">
        <v>2024</v>
      </c>
      <c r="G73" s="240">
        <v>2025</v>
      </c>
      <c r="H73" s="243"/>
    </row>
    <row r="74" spans="2:24" x14ac:dyDescent="0.35">
      <c r="B74" s="242" t="s">
        <v>1140</v>
      </c>
      <c r="C74" s="249">
        <f t="shared" ref="C74:C85" si="43">SUM(C4:E4)/4</f>
        <v>50.77600000000001</v>
      </c>
      <c r="D74" s="249">
        <f t="shared" ref="D74:D85" si="44">SUM(F4:I4)/4</f>
        <v>74.718999999999994</v>
      </c>
      <c r="E74" s="249">
        <f t="shared" ref="E74:E85" si="45">SUM(J4:M4)/4</f>
        <v>2.1159999999999997</v>
      </c>
      <c r="F74" s="249">
        <f t="shared" ref="F74:F85" si="46">SUM(N4:Q4)/4</f>
        <v>2.1789999999999998</v>
      </c>
      <c r="G74" s="249">
        <f t="shared" ref="G74:G85" si="47">SUM(R4:U4)/4</f>
        <v>2.33</v>
      </c>
    </row>
    <row r="75" spans="2:24" x14ac:dyDescent="0.35">
      <c r="B75" s="242" t="s">
        <v>1141</v>
      </c>
      <c r="C75" s="249">
        <f t="shared" si="43"/>
        <v>47.722000000000023</v>
      </c>
      <c r="D75" s="249">
        <f t="shared" si="44"/>
        <v>52.756999999999998</v>
      </c>
      <c r="E75" s="249">
        <f t="shared" si="45"/>
        <v>12</v>
      </c>
      <c r="F75" s="249">
        <f t="shared" si="46"/>
        <v>4.2219999999999995</v>
      </c>
      <c r="G75" s="249">
        <f t="shared" si="47"/>
        <v>2.3719999999999999</v>
      </c>
      <c r="H75" s="243"/>
    </row>
    <row r="76" spans="2:24" x14ac:dyDescent="0.35">
      <c r="B76" s="242" t="s">
        <v>77</v>
      </c>
      <c r="C76" s="249">
        <f t="shared" si="43"/>
        <v>81.643000000000001</v>
      </c>
      <c r="D76" s="249">
        <f t="shared" si="44"/>
        <v>110.24799999999999</v>
      </c>
      <c r="E76" s="249">
        <f t="shared" si="45"/>
        <v>12.726000000000001</v>
      </c>
      <c r="F76" s="249">
        <f t="shared" si="46"/>
        <v>1.365</v>
      </c>
      <c r="G76" s="249">
        <f t="shared" si="47"/>
        <v>-0.90100000000000025</v>
      </c>
      <c r="H76" s="243"/>
      <c r="O76" s="242"/>
      <c r="P76" s="242"/>
      <c r="Q76" s="242"/>
      <c r="R76" s="242"/>
      <c r="S76" s="250"/>
      <c r="T76" s="250"/>
      <c r="U76" s="250"/>
      <c r="V76" s="1"/>
      <c r="W76" s="242"/>
      <c r="X76" s="242"/>
    </row>
    <row r="77" spans="2:24" x14ac:dyDescent="0.35">
      <c r="B77" s="242" t="s">
        <v>181</v>
      </c>
      <c r="C77" s="249">
        <f t="shared" si="43"/>
        <v>7.798</v>
      </c>
      <c r="D77" s="249">
        <f t="shared" si="44"/>
        <v>7.9489999999999998</v>
      </c>
      <c r="E77" s="249">
        <f t="shared" si="45"/>
        <v>4.7519999999999998</v>
      </c>
      <c r="F77" s="249">
        <f t="shared" si="46"/>
        <v>4.637999999999999</v>
      </c>
      <c r="G77" s="249">
        <f t="shared" si="47"/>
        <v>1.8800000000000001</v>
      </c>
      <c r="H77" s="243"/>
    </row>
    <row r="78" spans="2:24" x14ac:dyDescent="0.35">
      <c r="B78" s="245" t="s">
        <v>489</v>
      </c>
      <c r="C78" s="249">
        <f t="shared" si="43"/>
        <v>247.29179999999997</v>
      </c>
      <c r="D78" s="249">
        <f t="shared" si="44"/>
        <v>164.8612</v>
      </c>
      <c r="E78" s="249">
        <f t="shared" si="45"/>
        <v>0</v>
      </c>
      <c r="F78" s="249">
        <f t="shared" si="46"/>
        <v>0</v>
      </c>
      <c r="G78" s="249">
        <f t="shared" si="47"/>
        <v>0</v>
      </c>
      <c r="H78" s="243"/>
      <c r="R78" s="3"/>
      <c r="S78" s="3"/>
    </row>
    <row r="79" spans="2:24" x14ac:dyDescent="0.35">
      <c r="B79" s="245" t="s">
        <v>200</v>
      </c>
      <c r="C79" s="249">
        <f t="shared" si="43"/>
        <v>12.347</v>
      </c>
      <c r="D79" s="249">
        <f t="shared" si="44"/>
        <v>46.79</v>
      </c>
      <c r="E79" s="249">
        <f t="shared" si="45"/>
        <v>38.595999999999997</v>
      </c>
      <c r="F79" s="249">
        <f t="shared" si="46"/>
        <v>31.911000000000001</v>
      </c>
      <c r="G79" s="249">
        <f t="shared" si="47"/>
        <v>23.099</v>
      </c>
      <c r="H79" s="243"/>
      <c r="R79" s="3"/>
      <c r="S79" s="3"/>
    </row>
    <row r="80" spans="2:24" x14ac:dyDescent="0.35">
      <c r="B80" s="245" t="s">
        <v>505</v>
      </c>
      <c r="C80" s="249">
        <f t="shared" si="43"/>
        <v>29.628</v>
      </c>
      <c r="D80" s="249">
        <f t="shared" si="44"/>
        <v>35.671000000000006</v>
      </c>
      <c r="E80" s="249">
        <f t="shared" si="45"/>
        <v>24.216000000000001</v>
      </c>
      <c r="F80" s="249">
        <f t="shared" si="46"/>
        <v>9.6430000000000007</v>
      </c>
      <c r="G80" s="249">
        <f t="shared" si="47"/>
        <v>4.5789999999999997</v>
      </c>
      <c r="H80" s="243"/>
      <c r="R80" s="3"/>
      <c r="S80" s="3"/>
    </row>
    <row r="81" spans="2:19" x14ac:dyDescent="0.35">
      <c r="B81" s="1" t="s">
        <v>209</v>
      </c>
      <c r="C81" s="249">
        <f t="shared" si="43"/>
        <v>25.75</v>
      </c>
      <c r="D81" s="249">
        <f t="shared" si="44"/>
        <v>0</v>
      </c>
      <c r="E81" s="249">
        <f t="shared" si="45"/>
        <v>0</v>
      </c>
      <c r="F81" s="249">
        <f t="shared" si="46"/>
        <v>0</v>
      </c>
      <c r="G81" s="249">
        <f t="shared" si="47"/>
        <v>0</v>
      </c>
      <c r="H81" s="243"/>
      <c r="R81" s="3"/>
      <c r="S81" s="3"/>
    </row>
    <row r="82" spans="2:19" x14ac:dyDescent="0.35">
      <c r="B82" s="242" t="s">
        <v>159</v>
      </c>
      <c r="C82" s="249">
        <f t="shared" si="43"/>
        <v>31.939</v>
      </c>
      <c r="D82" s="249">
        <f t="shared" si="44"/>
        <v>56.413000000000004</v>
      </c>
      <c r="E82" s="249">
        <f t="shared" si="45"/>
        <v>15.652999999999999</v>
      </c>
      <c r="F82" s="249">
        <f t="shared" si="46"/>
        <v>3.9320000000000004</v>
      </c>
      <c r="G82" s="249">
        <f t="shared" si="47"/>
        <v>-0.74299999999999988</v>
      </c>
      <c r="R82" s="3"/>
      <c r="S82" s="3"/>
    </row>
    <row r="83" spans="2:19" x14ac:dyDescent="0.35">
      <c r="B83" s="45" t="s">
        <v>1234</v>
      </c>
      <c r="C83" s="249">
        <f t="shared" si="43"/>
        <v>1.02</v>
      </c>
      <c r="D83" s="249">
        <f t="shared" si="44"/>
        <v>1.5299999999999998</v>
      </c>
      <c r="E83" s="249">
        <f t="shared" si="45"/>
        <v>0</v>
      </c>
      <c r="F83" s="249">
        <f t="shared" si="46"/>
        <v>0</v>
      </c>
      <c r="G83" s="249">
        <f t="shared" si="47"/>
        <v>0</v>
      </c>
      <c r="R83" s="3"/>
      <c r="S83" s="3"/>
    </row>
    <row r="84" spans="2:19" x14ac:dyDescent="0.35">
      <c r="B84" s="45" t="s">
        <v>1235</v>
      </c>
      <c r="C84" s="249">
        <f t="shared" si="43"/>
        <v>0.68</v>
      </c>
      <c r="D84" s="249">
        <f t="shared" si="44"/>
        <v>1.02</v>
      </c>
      <c r="E84" s="249">
        <f t="shared" si="45"/>
        <v>0</v>
      </c>
      <c r="F84" s="249">
        <f t="shared" si="46"/>
        <v>0</v>
      </c>
      <c r="G84" s="249">
        <f t="shared" si="47"/>
        <v>0</v>
      </c>
      <c r="R84" s="3"/>
      <c r="S84" s="3"/>
    </row>
    <row r="85" spans="2:19" x14ac:dyDescent="0.35">
      <c r="B85" s="45" t="s">
        <v>654</v>
      </c>
      <c r="C85" s="249">
        <f t="shared" si="43"/>
        <v>1.7</v>
      </c>
      <c r="D85" s="249">
        <f t="shared" si="44"/>
        <v>2.5499999999999998</v>
      </c>
      <c r="E85" s="249">
        <f t="shared" si="45"/>
        <v>0</v>
      </c>
      <c r="F85" s="249">
        <f t="shared" si="46"/>
        <v>0</v>
      </c>
      <c r="G85" s="249">
        <f t="shared" si="47"/>
        <v>0</v>
      </c>
      <c r="R85" s="3"/>
      <c r="S85" s="3"/>
    </row>
    <row r="86" spans="2:19" x14ac:dyDescent="0.35">
      <c r="C86" s="240">
        <v>2021</v>
      </c>
      <c r="D86" s="240">
        <v>2022</v>
      </c>
      <c r="E86" s="240">
        <v>2023</v>
      </c>
      <c r="F86" s="240">
        <v>2024</v>
      </c>
      <c r="G86" s="240">
        <v>2025</v>
      </c>
      <c r="R86" s="3"/>
      <c r="S86" s="3"/>
    </row>
    <row r="87" spans="2:19" x14ac:dyDescent="0.35">
      <c r="B87" s="45" t="s">
        <v>1244</v>
      </c>
      <c r="C87" s="248">
        <f>SUM(C83:C85)</f>
        <v>3.4000000000000004</v>
      </c>
      <c r="D87" s="248">
        <f t="shared" ref="D87:G87" si="48">SUM(D83:D85)</f>
        <v>5.0999999999999996</v>
      </c>
      <c r="E87" s="248">
        <f t="shared" si="48"/>
        <v>0</v>
      </c>
      <c r="F87" s="248">
        <f t="shared" si="48"/>
        <v>0</v>
      </c>
      <c r="G87" s="248">
        <f t="shared" si="48"/>
        <v>0</v>
      </c>
      <c r="R87" s="3"/>
      <c r="S87" s="3"/>
    </row>
    <row r="90" spans="2:19" x14ac:dyDescent="0.35">
      <c r="B90" s="45" t="s">
        <v>1140</v>
      </c>
      <c r="C90" s="249">
        <v>26.636000000000024</v>
      </c>
      <c r="D90" s="249">
        <v>98.978999999999999</v>
      </c>
      <c r="E90" s="249">
        <v>2.1159999999999997</v>
      </c>
      <c r="F90" s="249">
        <v>2.1789999999999998</v>
      </c>
      <c r="G90" s="249">
        <v>2.33</v>
      </c>
      <c r="H90" s="249"/>
      <c r="I90" s="249"/>
      <c r="J90" s="249"/>
      <c r="K90" s="249"/>
      <c r="L90" s="249"/>
      <c r="M90" s="249"/>
    </row>
    <row r="91" spans="2:19" x14ac:dyDescent="0.35">
      <c r="B91" s="45" t="s">
        <v>1141</v>
      </c>
      <c r="C91" s="249">
        <v>47.722000000000016</v>
      </c>
      <c r="D91" s="249">
        <v>52.756999999999998</v>
      </c>
      <c r="E91" s="249">
        <v>12</v>
      </c>
      <c r="F91" s="249">
        <v>4.2219999999999995</v>
      </c>
      <c r="G91" s="249">
        <v>2.3719999999999999</v>
      </c>
      <c r="H91" s="249"/>
      <c r="I91" s="249"/>
      <c r="J91" s="249"/>
      <c r="K91" s="249"/>
      <c r="L91" s="249"/>
      <c r="M91" s="249"/>
    </row>
    <row r="92" spans="2:19" x14ac:dyDescent="0.35">
      <c r="B92" s="45" t="s">
        <v>77</v>
      </c>
      <c r="C92" s="249">
        <v>81.842999999999989</v>
      </c>
      <c r="D92" s="249">
        <v>110.24799999999999</v>
      </c>
      <c r="E92" s="249">
        <v>12.726000000000001</v>
      </c>
      <c r="F92" s="249">
        <v>1.365</v>
      </c>
      <c r="G92" s="249">
        <v>-0.90100000000000025</v>
      </c>
      <c r="H92" s="249"/>
      <c r="I92" s="249"/>
      <c r="J92" s="249"/>
      <c r="K92" s="249"/>
      <c r="L92" s="249"/>
      <c r="M92" s="249"/>
    </row>
    <row r="93" spans="2:19" x14ac:dyDescent="0.35">
      <c r="B93" s="45" t="s">
        <v>181</v>
      </c>
      <c r="C93" s="249">
        <v>7.798</v>
      </c>
      <c r="D93" s="249">
        <v>7.9489999999999998</v>
      </c>
      <c r="E93" s="249">
        <v>4.7519999999999998</v>
      </c>
      <c r="F93" s="249">
        <v>4.637999999999999</v>
      </c>
      <c r="G93" s="249">
        <v>1.8800000000000001</v>
      </c>
      <c r="H93" s="249"/>
      <c r="I93" s="249"/>
      <c r="J93" s="249"/>
      <c r="K93" s="249"/>
      <c r="L93" s="249"/>
      <c r="M93" s="249"/>
    </row>
    <row r="94" spans="2:19" x14ac:dyDescent="0.35">
      <c r="B94" s="45" t="s">
        <v>489</v>
      </c>
      <c r="C94" s="249">
        <v>283.95749999999998</v>
      </c>
      <c r="D94" s="249">
        <v>77.092500000000001</v>
      </c>
      <c r="E94" s="249">
        <v>1</v>
      </c>
      <c r="F94" s="249">
        <v>0</v>
      </c>
      <c r="G94" s="249">
        <v>0</v>
      </c>
      <c r="H94" s="249"/>
      <c r="I94" s="249"/>
      <c r="J94" s="249"/>
      <c r="K94" s="249"/>
      <c r="L94" s="249"/>
      <c r="M94" s="249"/>
    </row>
    <row r="95" spans="2:19" x14ac:dyDescent="0.35">
      <c r="B95" s="45" t="s">
        <v>200</v>
      </c>
      <c r="C95" s="249">
        <v>12.347</v>
      </c>
      <c r="D95" s="249">
        <v>46.79</v>
      </c>
      <c r="E95" s="249">
        <v>38.595999999999997</v>
      </c>
      <c r="F95" s="249">
        <v>31.911000000000001</v>
      </c>
      <c r="G95" s="249">
        <v>23.099</v>
      </c>
      <c r="H95" s="249"/>
      <c r="I95" s="249"/>
      <c r="J95" s="249"/>
      <c r="K95" s="249"/>
      <c r="L95" s="249"/>
      <c r="M95" s="249"/>
    </row>
    <row r="96" spans="2:19" x14ac:dyDescent="0.35">
      <c r="B96" s="45" t="s">
        <v>505</v>
      </c>
      <c r="C96" s="249">
        <v>2.286</v>
      </c>
      <c r="D96" s="249">
        <v>4.6049999999999995</v>
      </c>
      <c r="E96" s="249">
        <v>1.349</v>
      </c>
      <c r="F96" s="249">
        <v>0.441</v>
      </c>
      <c r="G96" s="249">
        <v>0.313</v>
      </c>
      <c r="H96" s="249"/>
      <c r="I96" s="249"/>
      <c r="J96" s="249"/>
      <c r="K96" s="249"/>
      <c r="L96" s="249"/>
      <c r="M96" s="249"/>
    </row>
    <row r="97" spans="2:13" x14ac:dyDescent="0.35">
      <c r="B97" s="45" t="s">
        <v>209</v>
      </c>
      <c r="C97" s="249">
        <v>25.75</v>
      </c>
      <c r="D97" s="249">
        <v>0</v>
      </c>
      <c r="E97" s="249">
        <v>0</v>
      </c>
      <c r="F97" s="249">
        <v>0</v>
      </c>
      <c r="G97" s="249">
        <v>0</v>
      </c>
      <c r="H97" s="249"/>
      <c r="I97" s="249"/>
      <c r="J97" s="249"/>
      <c r="K97" s="249"/>
      <c r="L97" s="249"/>
      <c r="M97" s="249"/>
    </row>
    <row r="98" spans="2:13" x14ac:dyDescent="0.35">
      <c r="B98" s="45" t="s">
        <v>159</v>
      </c>
      <c r="C98" s="249">
        <v>60.441000000000003</v>
      </c>
      <c r="D98" s="249">
        <v>91.678999999999988</v>
      </c>
      <c r="E98" s="249">
        <v>41.220000000000006</v>
      </c>
      <c r="F98" s="249">
        <v>14.004000000000003</v>
      </c>
      <c r="G98" s="249">
        <v>3.8530000000000006</v>
      </c>
      <c r="H98" s="249"/>
      <c r="I98" s="249"/>
      <c r="J98" s="249"/>
      <c r="K98" s="249"/>
      <c r="L98" s="249"/>
      <c r="M98" s="249"/>
    </row>
    <row r="99" spans="2:13" x14ac:dyDescent="0.35">
      <c r="C99" s="240">
        <v>3.4</v>
      </c>
      <c r="D99" s="240">
        <v>5.0999999999999996</v>
      </c>
      <c r="E99" s="240">
        <v>0</v>
      </c>
      <c r="F99" s="240">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5" bestFit="1" customWidth="1"/>
    <col min="2" max="16384" width="10.81640625" style="45"/>
  </cols>
  <sheetData>
    <row r="1" spans="1:23" x14ac:dyDescent="0.35">
      <c r="B1" s="45" t="s">
        <v>945</v>
      </c>
      <c r="C1" s="45" t="s">
        <v>946</v>
      </c>
      <c r="D1" s="45" t="s">
        <v>376</v>
      </c>
      <c r="E1" s="45" t="s">
        <v>377</v>
      </c>
      <c r="F1" s="45" t="s">
        <v>378</v>
      </c>
      <c r="G1" s="45" t="s">
        <v>379</v>
      </c>
      <c r="H1" s="45" t="s">
        <v>380</v>
      </c>
      <c r="I1" s="45" t="s">
        <v>232</v>
      </c>
      <c r="J1" s="45" t="s">
        <v>233</v>
      </c>
      <c r="K1" s="45" t="s">
        <v>234</v>
      </c>
      <c r="L1" s="45" t="s">
        <v>235</v>
      </c>
      <c r="M1" s="45" t="s">
        <v>236</v>
      </c>
      <c r="N1" s="45" t="s">
        <v>237</v>
      </c>
      <c r="O1" s="45" t="s">
        <v>238</v>
      </c>
      <c r="P1" s="45" t="s">
        <v>239</v>
      </c>
      <c r="Q1" s="45" t="s">
        <v>240</v>
      </c>
      <c r="R1" s="45" t="s">
        <v>241</v>
      </c>
      <c r="S1" s="45" t="s">
        <v>242</v>
      </c>
      <c r="T1" s="45" t="s">
        <v>243</v>
      </c>
      <c r="U1" s="45" t="s">
        <v>226</v>
      </c>
      <c r="V1" s="45" t="s">
        <v>227</v>
      </c>
      <c r="W1" s="45" t="s">
        <v>228</v>
      </c>
    </row>
    <row r="2" spans="1:23" x14ac:dyDescent="0.35">
      <c r="A2" s="45" t="s">
        <v>143</v>
      </c>
      <c r="B2" s="188">
        <v>112.989</v>
      </c>
      <c r="C2" s="188">
        <v>113.38</v>
      </c>
      <c r="D2" s="188">
        <v>112.86</v>
      </c>
      <c r="E2" s="188">
        <v>113.83799999999999</v>
      </c>
      <c r="F2" s="188">
        <v>114.41500000000001</v>
      </c>
      <c r="G2" s="188">
        <v>115.613</v>
      </c>
      <c r="H2" s="188">
        <v>116.079929684229</v>
      </c>
      <c r="I2" s="188">
        <v>116.665860886253</v>
      </c>
      <c r="J2" s="188">
        <v>117.173130068039</v>
      </c>
      <c r="K2" s="188">
        <v>117.776205556525</v>
      </c>
      <c r="L2" s="188">
        <v>118.328856673063</v>
      </c>
      <c r="M2" s="188">
        <v>118.891592663992</v>
      </c>
      <c r="N2" s="188">
        <v>119.478532353454</v>
      </c>
      <c r="O2" s="188">
        <v>120.061438093161</v>
      </c>
      <c r="P2" s="188">
        <v>120.658462657013</v>
      </c>
      <c r="Q2" s="188">
        <v>121.265572095255</v>
      </c>
      <c r="R2" s="188">
        <v>121.88982581995801</v>
      </c>
      <c r="S2" s="188">
        <v>122.528198368807</v>
      </c>
      <c r="T2" s="188">
        <v>123.170604867411</v>
      </c>
      <c r="U2" s="188">
        <v>123.820070778088</v>
      </c>
      <c r="V2" s="188">
        <v>124.47558761339801</v>
      </c>
      <c r="W2" s="188">
        <v>125.131104448709</v>
      </c>
    </row>
    <row r="3" spans="1:23" x14ac:dyDescent="0.35">
      <c r="A3" s="45" t="s">
        <v>219</v>
      </c>
      <c r="B3" s="191">
        <v>3.4368838919380802E-3</v>
      </c>
      <c r="C3" s="191">
        <v>3.4605138553309698E-3</v>
      </c>
      <c r="D3" s="191">
        <v>-4.5863467983771099E-3</v>
      </c>
      <c r="E3" s="191">
        <v>8.6656034024454893E-3</v>
      </c>
      <c r="F3" s="191">
        <v>5.0686062650433499E-3</v>
      </c>
      <c r="G3" s="191">
        <v>1.04706550714504E-2</v>
      </c>
      <c r="H3" s="191">
        <v>4.0387299371946704E-3</v>
      </c>
      <c r="I3" s="191">
        <v>5.0476529716862997E-3</v>
      </c>
      <c r="J3" s="191">
        <v>4.3480515888107999E-3</v>
      </c>
      <c r="K3" s="191">
        <v>5.1468752958592203E-3</v>
      </c>
      <c r="L3" s="191">
        <v>4.6923834396541703E-3</v>
      </c>
      <c r="M3" s="191">
        <v>4.7556953286800301E-3</v>
      </c>
      <c r="N3" s="191">
        <v>4.9367636206325604E-3</v>
      </c>
      <c r="O3" s="191">
        <v>4.8787487444397204E-3</v>
      </c>
      <c r="P3" s="191">
        <v>4.97265877649067E-3</v>
      </c>
      <c r="Q3" s="191">
        <v>5.03163578312149E-3</v>
      </c>
      <c r="R3" s="191">
        <v>5.1478231943116199E-3</v>
      </c>
      <c r="S3" s="191">
        <v>5.23729150119134E-3</v>
      </c>
      <c r="T3" s="191">
        <v>5.2429278089169999E-3</v>
      </c>
      <c r="U3" s="191">
        <v>5.2728969820035098E-3</v>
      </c>
      <c r="V3" s="191">
        <v>5.2941080649626703E-3</v>
      </c>
      <c r="W3" s="191">
        <v>5.26622808438937E-3</v>
      </c>
    </row>
    <row r="4" spans="1:23" x14ac:dyDescent="0.35">
      <c r="A4" s="45" t="s">
        <v>146</v>
      </c>
      <c r="B4" s="188">
        <v>110.529</v>
      </c>
      <c r="C4" s="188">
        <v>110.88200000000001</v>
      </c>
      <c r="D4" s="188">
        <v>110.435</v>
      </c>
      <c r="E4" s="188">
        <v>111.431</v>
      </c>
      <c r="F4" s="188">
        <v>111.83499999999999</v>
      </c>
      <c r="G4" s="188">
        <v>112.864</v>
      </c>
      <c r="H4" s="188">
        <v>113.331748734778</v>
      </c>
      <c r="I4" s="188">
        <v>113.915555194576</v>
      </c>
      <c r="J4" s="188">
        <v>114.364746923467</v>
      </c>
      <c r="K4" s="188">
        <v>114.924235646865</v>
      </c>
      <c r="L4" s="188">
        <v>115.440791354819</v>
      </c>
      <c r="M4" s="188">
        <v>115.96851279450701</v>
      </c>
      <c r="N4" s="188">
        <v>116.52210368492899</v>
      </c>
      <c r="O4" s="188">
        <v>117.071115307263</v>
      </c>
      <c r="P4" s="188">
        <v>117.63129076657199</v>
      </c>
      <c r="Q4" s="188">
        <v>118.20059915499699</v>
      </c>
      <c r="R4" s="188">
        <v>118.776332952822</v>
      </c>
      <c r="S4" s="188">
        <v>119.374397493133</v>
      </c>
      <c r="T4" s="188">
        <v>119.981640842685</v>
      </c>
      <c r="U4" s="188">
        <v>120.594864779056</v>
      </c>
      <c r="V4" s="188">
        <v>121.219127553946</v>
      </c>
      <c r="W4" s="188">
        <v>121.837226137653</v>
      </c>
    </row>
    <row r="5" spans="1:23" x14ac:dyDescent="0.35">
      <c r="A5" s="45" t="s">
        <v>220</v>
      </c>
      <c r="B5" s="191">
        <v>3.82351872706788E-3</v>
      </c>
      <c r="C5" s="191">
        <v>3.1937319617476598E-3</v>
      </c>
      <c r="D5" s="191">
        <v>-4.0313125665121198E-3</v>
      </c>
      <c r="E5" s="191">
        <v>9.0188798840946695E-3</v>
      </c>
      <c r="F5" s="191">
        <v>3.6255620069818302E-3</v>
      </c>
      <c r="G5" s="191">
        <v>9.2010551258552304E-3</v>
      </c>
      <c r="H5" s="191">
        <v>4.1443572332882104E-3</v>
      </c>
      <c r="I5" s="191">
        <v>5.1513054930816303E-3</v>
      </c>
      <c r="J5" s="191">
        <v>3.9431992244038901E-3</v>
      </c>
      <c r="K5" s="191">
        <v>4.8921432386195302E-3</v>
      </c>
      <c r="L5" s="191">
        <v>4.49474999808697E-3</v>
      </c>
      <c r="M5" s="191">
        <v>4.5713602054786601E-3</v>
      </c>
      <c r="N5" s="191">
        <v>4.7736310234707301E-3</v>
      </c>
      <c r="O5" s="191">
        <v>4.7116521670327299E-3</v>
      </c>
      <c r="P5" s="191">
        <v>4.7849160558435201E-3</v>
      </c>
      <c r="Q5" s="191">
        <v>4.8397699686470999E-3</v>
      </c>
      <c r="R5" s="191">
        <v>4.87081962308911E-3</v>
      </c>
      <c r="S5" s="191">
        <v>5.0352164058453698E-3</v>
      </c>
      <c r="T5" s="191">
        <v>5.0868809585997701E-3</v>
      </c>
      <c r="U5" s="191">
        <v>5.11098141402422E-3</v>
      </c>
      <c r="V5" s="191">
        <v>5.1765286692269097E-3</v>
      </c>
      <c r="W5" s="191">
        <v>5.0990185804744596E-3</v>
      </c>
    </row>
    <row r="6" spans="1:23" x14ac:dyDescent="0.35">
      <c r="A6" s="45" t="s">
        <v>147</v>
      </c>
      <c r="B6" s="188">
        <v>111.28100000000001</v>
      </c>
      <c r="C6" s="188">
        <v>111.205</v>
      </c>
      <c r="D6" s="188">
        <v>110.901</v>
      </c>
      <c r="E6" s="188">
        <v>111.373</v>
      </c>
      <c r="F6" s="188">
        <v>112.102</v>
      </c>
      <c r="G6" s="188">
        <v>113.15</v>
      </c>
      <c r="H6" s="188">
        <v>113.740871678471</v>
      </c>
      <c r="I6" s="188">
        <v>114.281152336175</v>
      </c>
      <c r="J6" s="188">
        <v>114.807363360671</v>
      </c>
      <c r="K6" s="188">
        <v>115.391332330529</v>
      </c>
      <c r="L6" s="188">
        <v>115.906636484177</v>
      </c>
      <c r="M6" s="188">
        <v>116.47813120061301</v>
      </c>
      <c r="N6" s="188">
        <v>117.06948406540501</v>
      </c>
      <c r="O6" s="188">
        <v>117.660979705042</v>
      </c>
      <c r="P6" s="188">
        <v>118.263437866774</v>
      </c>
      <c r="Q6" s="188">
        <v>118.87469011020799</v>
      </c>
      <c r="R6" s="188">
        <v>119.499263080446</v>
      </c>
      <c r="S6" s="188">
        <v>120.12606865428199</v>
      </c>
      <c r="T6" s="188">
        <v>120.750798876066</v>
      </c>
      <c r="U6" s="188">
        <v>121.383984751452</v>
      </c>
      <c r="V6" s="188">
        <v>122.03331038248599</v>
      </c>
      <c r="W6" s="188">
        <v>122.676475823877</v>
      </c>
    </row>
    <row r="7" spans="1:23" x14ac:dyDescent="0.35">
      <c r="A7" s="45" t="s">
        <v>221</v>
      </c>
      <c r="B7" s="191">
        <v>3.24555314142505E-3</v>
      </c>
      <c r="C7" s="191">
        <v>-6.8295576064203401E-4</v>
      </c>
      <c r="D7" s="191">
        <v>-2.7336900319230302E-3</v>
      </c>
      <c r="E7" s="191">
        <v>4.2560481871218902E-3</v>
      </c>
      <c r="F7" s="191">
        <v>6.5455720865918998E-3</v>
      </c>
      <c r="G7" s="191">
        <v>9.3486289272271001E-3</v>
      </c>
      <c r="H7" s="191">
        <v>5.2220210205149399E-3</v>
      </c>
      <c r="I7" s="191">
        <v>4.7501012585042801E-3</v>
      </c>
      <c r="J7" s="191">
        <v>4.6045302636466001E-3</v>
      </c>
      <c r="K7" s="191">
        <v>5.08651146376282E-3</v>
      </c>
      <c r="L7" s="191">
        <v>4.4657093669009402E-3</v>
      </c>
      <c r="M7" s="191">
        <v>4.93064706017576E-3</v>
      </c>
      <c r="N7" s="191">
        <v>5.07694327421948E-3</v>
      </c>
      <c r="O7" s="191">
        <v>5.0525176937379302E-3</v>
      </c>
      <c r="P7" s="191">
        <v>5.1202885038195102E-3</v>
      </c>
      <c r="Q7" s="191">
        <v>5.1685648114068198E-3</v>
      </c>
      <c r="R7" s="191">
        <v>5.2540449919040704E-3</v>
      </c>
      <c r="S7" s="191">
        <v>5.2452672734406604E-3</v>
      </c>
      <c r="T7" s="191">
        <v>5.2006215535225202E-3</v>
      </c>
      <c r="U7" s="191">
        <v>5.2437406731884496E-3</v>
      </c>
      <c r="V7" s="191">
        <v>5.3493517482039498E-3</v>
      </c>
      <c r="W7" s="191">
        <v>5.2704088693051902E-3</v>
      </c>
    </row>
    <row r="8" spans="1:23" x14ac:dyDescent="0.35">
      <c r="A8" s="45" t="s">
        <v>148</v>
      </c>
      <c r="B8" s="188">
        <v>115.81100000000001</v>
      </c>
      <c r="C8" s="188">
        <v>116.688</v>
      </c>
      <c r="D8" s="188">
        <v>115.96899999999999</v>
      </c>
      <c r="E8" s="188">
        <v>116.889</v>
      </c>
      <c r="F8" s="188">
        <v>117.727</v>
      </c>
      <c r="G8" s="188">
        <v>119.875</v>
      </c>
      <c r="H8" s="188">
        <v>120.76873975873001</v>
      </c>
      <c r="I8" s="188">
        <v>121.552279732736</v>
      </c>
      <c r="J8" s="188">
        <v>122.340256590244</v>
      </c>
      <c r="K8" s="188">
        <v>123.25721026709</v>
      </c>
      <c r="L8" s="188">
        <v>124.206114070071</v>
      </c>
      <c r="M8" s="188">
        <v>125.17969366017699</v>
      </c>
      <c r="N8" s="188">
        <v>126.18181722618</v>
      </c>
      <c r="O8" s="188">
        <v>127.184679442917</v>
      </c>
      <c r="P8" s="188">
        <v>128.20678945908199</v>
      </c>
      <c r="Q8" s="188">
        <v>129.23804458913099</v>
      </c>
      <c r="R8" s="188">
        <v>130.283856199566</v>
      </c>
      <c r="S8" s="188">
        <v>131.336805862246</v>
      </c>
      <c r="T8" s="188">
        <v>132.40388083176001</v>
      </c>
      <c r="U8" s="188">
        <v>133.47650409411</v>
      </c>
      <c r="V8" s="188">
        <v>134.564804617167</v>
      </c>
      <c r="W8" s="188">
        <v>135.654176919939</v>
      </c>
    </row>
    <row r="9" spans="1:23" x14ac:dyDescent="0.35">
      <c r="A9" s="45" t="s">
        <v>222</v>
      </c>
      <c r="B9" s="191">
        <v>4.7630615467371103E-3</v>
      </c>
      <c r="C9" s="191">
        <v>7.57268307846393E-3</v>
      </c>
      <c r="D9" s="191">
        <v>-6.1617304264364198E-3</v>
      </c>
      <c r="E9" s="191">
        <v>7.9331545499228308E-3</v>
      </c>
      <c r="F9" s="191">
        <v>7.1691947060887901E-3</v>
      </c>
      <c r="G9" s="191">
        <v>1.8245602113363901E-2</v>
      </c>
      <c r="H9" s="191">
        <v>7.4555975702150796E-3</v>
      </c>
      <c r="I9" s="191">
        <v>6.4879369907486798E-3</v>
      </c>
      <c r="J9" s="191">
        <v>6.4826168562215304E-3</v>
      </c>
      <c r="K9" s="191">
        <v>7.4951099695452798E-3</v>
      </c>
      <c r="L9" s="191">
        <v>7.6985662820430196E-3</v>
      </c>
      <c r="M9" s="191">
        <v>7.8384192066154306E-3</v>
      </c>
      <c r="N9" s="191">
        <v>8.0054802556355203E-3</v>
      </c>
      <c r="O9" s="191">
        <v>7.9477553801552397E-3</v>
      </c>
      <c r="P9" s="191">
        <v>8.0364240460568705E-3</v>
      </c>
      <c r="Q9" s="191">
        <v>8.0436857860606299E-3</v>
      </c>
      <c r="R9" s="191">
        <v>8.0921342764015396E-3</v>
      </c>
      <c r="S9" s="191">
        <v>8.0819657430741803E-3</v>
      </c>
      <c r="T9" s="191">
        <v>8.1247214937825198E-3</v>
      </c>
      <c r="U9" s="191">
        <v>8.1011467006266696E-3</v>
      </c>
      <c r="V9" s="191">
        <v>8.1534988531763997E-3</v>
      </c>
      <c r="W9" s="191">
        <v>8.0955217515532602E-3</v>
      </c>
    </row>
    <row r="10" spans="1:23" x14ac:dyDescent="0.35">
      <c r="A10" s="45" t="s">
        <v>149</v>
      </c>
      <c r="B10" s="188">
        <v>115.65</v>
      </c>
      <c r="C10" s="188">
        <v>116.628</v>
      </c>
      <c r="D10" s="188">
        <v>115.81100000000001</v>
      </c>
      <c r="E10" s="188">
        <v>116.685</v>
      </c>
      <c r="F10" s="188">
        <v>117.64700000000001</v>
      </c>
      <c r="G10" s="188">
        <v>119.90600000000001</v>
      </c>
      <c r="H10" s="188">
        <v>120.799970882254</v>
      </c>
      <c r="I10" s="188">
        <v>121.583713481823</v>
      </c>
      <c r="J10" s="188">
        <v>122.37189411228201</v>
      </c>
      <c r="K10" s="188">
        <v>123.28908491583501</v>
      </c>
      <c r="L10" s="188">
        <v>124.23823410791201</v>
      </c>
      <c r="M10" s="188">
        <v>125.21206546833901</v>
      </c>
      <c r="N10" s="188">
        <v>126.214448186213</v>
      </c>
      <c r="O10" s="188">
        <v>127.217569745839</v>
      </c>
      <c r="P10" s="188">
        <v>128.23994408242501</v>
      </c>
      <c r="Q10" s="188">
        <v>129.27146589784601</v>
      </c>
      <c r="R10" s="188">
        <v>130.31754795799901</v>
      </c>
      <c r="S10" s="188">
        <v>131.37076991631699</v>
      </c>
      <c r="T10" s="188">
        <v>132.43812083431101</v>
      </c>
      <c r="U10" s="188">
        <v>133.51102147994499</v>
      </c>
      <c r="V10" s="188">
        <v>134.599603440468</v>
      </c>
      <c r="W10" s="188">
        <v>135.68925745787101</v>
      </c>
    </row>
    <row r="11" spans="1:23" x14ac:dyDescent="0.35">
      <c r="A11" s="45" t="s">
        <v>223</v>
      </c>
      <c r="B11" s="191">
        <v>5.5909640282765204E-3</v>
      </c>
      <c r="C11" s="191">
        <v>8.4565499351492192E-3</v>
      </c>
      <c r="D11" s="191">
        <v>-7.0051788592789804E-3</v>
      </c>
      <c r="E11" s="191">
        <v>7.5467788033951599E-3</v>
      </c>
      <c r="F11" s="191">
        <v>8.2444187341990105E-3</v>
      </c>
      <c r="G11" s="191">
        <v>1.9201509600754701E-2</v>
      </c>
      <c r="H11" s="191">
        <v>7.4555975702150796E-3</v>
      </c>
      <c r="I11" s="191">
        <v>6.4879369907486798E-3</v>
      </c>
      <c r="J11" s="191">
        <v>6.4826168562215304E-3</v>
      </c>
      <c r="K11" s="191">
        <v>7.4951099695452798E-3</v>
      </c>
      <c r="L11" s="191">
        <v>7.6985662820430196E-3</v>
      </c>
      <c r="M11" s="191">
        <v>7.8384192066154306E-3</v>
      </c>
      <c r="N11" s="191">
        <v>8.0054802556355203E-3</v>
      </c>
      <c r="O11" s="191">
        <v>7.9477553801552397E-3</v>
      </c>
      <c r="P11" s="191">
        <v>8.0364240460568705E-3</v>
      </c>
      <c r="Q11" s="191">
        <v>8.0436857860606299E-3</v>
      </c>
      <c r="R11" s="191">
        <v>8.0921342764015396E-3</v>
      </c>
      <c r="S11" s="191">
        <v>8.0819657430741803E-3</v>
      </c>
      <c r="T11" s="191">
        <v>8.1247214937825198E-3</v>
      </c>
      <c r="U11" s="191">
        <v>8.1011467006266696E-3</v>
      </c>
      <c r="V11" s="191">
        <v>8.1534988531763997E-3</v>
      </c>
      <c r="W11" s="191">
        <v>8.0955217515532602E-3</v>
      </c>
    </row>
    <row r="12" spans="1:23" x14ac:dyDescent="0.35">
      <c r="A12" s="45" t="s">
        <v>150</v>
      </c>
      <c r="B12" s="188">
        <v>116.521</v>
      </c>
      <c r="C12" s="188">
        <v>116.961</v>
      </c>
      <c r="D12" s="188">
        <v>116.655</v>
      </c>
      <c r="E12" s="188">
        <v>117.77500000000001</v>
      </c>
      <c r="F12" s="188">
        <v>118.093</v>
      </c>
      <c r="G12" s="188">
        <v>119.773</v>
      </c>
      <c r="H12" s="188">
        <v>120.66597928777701</v>
      </c>
      <c r="I12" s="188">
        <v>121.448852558323</v>
      </c>
      <c r="J12" s="188">
        <v>122.236158937087</v>
      </c>
      <c r="K12" s="188">
        <v>123.152332390575</v>
      </c>
      <c r="L12" s="188">
        <v>124.100428784272</v>
      </c>
      <c r="M12" s="188">
        <v>125.073179968804</v>
      </c>
      <c r="N12" s="188">
        <v>126.074450841554</v>
      </c>
      <c r="O12" s="188">
        <v>127.07645973653</v>
      </c>
      <c r="P12" s="188">
        <v>128.09770005324401</v>
      </c>
      <c r="Q12" s="188">
        <v>129.12807770238999</v>
      </c>
      <c r="R12" s="188">
        <v>130.172999446011</v>
      </c>
      <c r="S12" s="188">
        <v>131.22505316820701</v>
      </c>
      <c r="T12" s="188">
        <v>132.29122017820501</v>
      </c>
      <c r="U12" s="188">
        <v>133.36293076007399</v>
      </c>
      <c r="V12" s="188">
        <v>134.45030526308199</v>
      </c>
      <c r="W12" s="188">
        <v>135.53875063384299</v>
      </c>
    </row>
    <row r="13" spans="1:23" x14ac:dyDescent="0.35">
      <c r="A13" s="45" t="s">
        <v>224</v>
      </c>
      <c r="B13" s="191">
        <v>1.11692484814108E-3</v>
      </c>
      <c r="C13" s="191">
        <v>3.7761433561331898E-3</v>
      </c>
      <c r="D13" s="191">
        <v>-2.6162567009515602E-3</v>
      </c>
      <c r="E13" s="191">
        <v>9.6009600960096399E-3</v>
      </c>
      <c r="F13" s="191">
        <v>2.7000636807472701E-3</v>
      </c>
      <c r="G13" s="191">
        <v>1.42260760586994E-2</v>
      </c>
      <c r="H13" s="191">
        <v>7.4555975702150796E-3</v>
      </c>
      <c r="I13" s="191">
        <v>6.4879369907486798E-3</v>
      </c>
      <c r="J13" s="191">
        <v>6.4826168562215304E-3</v>
      </c>
      <c r="K13" s="191">
        <v>7.4951099695452798E-3</v>
      </c>
      <c r="L13" s="191">
        <v>7.6985662820430196E-3</v>
      </c>
      <c r="M13" s="191">
        <v>7.8384192066154306E-3</v>
      </c>
      <c r="N13" s="191">
        <v>8.0054802556355203E-3</v>
      </c>
      <c r="O13" s="191">
        <v>7.9477553801552397E-3</v>
      </c>
      <c r="P13" s="191">
        <v>8.0364240460568705E-3</v>
      </c>
      <c r="Q13" s="191">
        <v>8.0436857860606299E-3</v>
      </c>
      <c r="R13" s="191">
        <v>8.0921342764015396E-3</v>
      </c>
      <c r="S13" s="191">
        <v>8.0819657430741803E-3</v>
      </c>
      <c r="T13" s="191">
        <v>8.1247214937825198E-3</v>
      </c>
      <c r="U13" s="191">
        <v>8.1011467006266696E-3</v>
      </c>
      <c r="V13" s="191">
        <v>8.1534988531763997E-3</v>
      </c>
      <c r="W13" s="19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4" activePane="bottomLeft" state="frozen"/>
      <selection pane="bottomLeft" activeCell="C6" sqref="C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106</v>
      </c>
      <c r="B3" s="25" t="s">
        <v>51</v>
      </c>
      <c r="C3" s="25" t="s">
        <v>107</v>
      </c>
      <c r="D3" s="1" t="s">
        <v>108</v>
      </c>
    </row>
    <row r="4" spans="1:6" ht="80.150000000000006" customHeight="1" x14ac:dyDescent="0.35">
      <c r="A4" s="25" t="s">
        <v>56</v>
      </c>
      <c r="B4" s="556" t="s">
        <v>57</v>
      </c>
      <c r="C4" s="556" t="s">
        <v>58</v>
      </c>
      <c r="D4" s="1" t="s">
        <v>108</v>
      </c>
    </row>
    <row r="5" spans="1:6" ht="63.65" customHeight="1" x14ac:dyDescent="0.35">
      <c r="A5" s="1" t="s">
        <v>109</v>
      </c>
      <c r="B5" s="25" t="s">
        <v>110</v>
      </c>
      <c r="C5" s="29" t="s">
        <v>61</v>
      </c>
      <c r="E5" s="1" t="s">
        <v>111</v>
      </c>
    </row>
    <row r="6" spans="1:6" ht="148" customHeight="1" x14ac:dyDescent="0.35">
      <c r="A6" s="1" t="s">
        <v>65</v>
      </c>
      <c r="B6" s="25" t="s">
        <v>66</v>
      </c>
      <c r="C6" s="25" t="s">
        <v>112</v>
      </c>
    </row>
    <row r="7" spans="1:6" ht="61.5" customHeight="1" x14ac:dyDescent="0.35">
      <c r="A7" s="1" t="s">
        <v>113</v>
      </c>
      <c r="B7" s="25" t="s">
        <v>114</v>
      </c>
      <c r="C7" s="25" t="s">
        <v>115</v>
      </c>
    </row>
    <row r="8" spans="1:6" ht="54" customHeight="1" x14ac:dyDescent="0.35">
      <c r="A8" s="1" t="s">
        <v>68</v>
      </c>
      <c r="B8" s="25" t="s">
        <v>69</v>
      </c>
      <c r="C8" s="1" t="s">
        <v>70</v>
      </c>
    </row>
    <row r="9" spans="1:6" ht="31" customHeight="1" x14ac:dyDescent="0.35">
      <c r="A9" s="28" t="s">
        <v>71</v>
      </c>
      <c r="B9" s="541"/>
      <c r="C9" s="26"/>
      <c r="D9" s="26"/>
      <c r="E9" s="31" t="s">
        <v>72</v>
      </c>
      <c r="F9" s="26"/>
    </row>
    <row r="10" spans="1:6" ht="77.5" customHeight="1" x14ac:dyDescent="0.35">
      <c r="A10" s="431" t="s">
        <v>73</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31" t="s">
        <v>74</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31" t="s">
        <v>75</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31" t="s">
        <v>76</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3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31" t="s">
        <v>77</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31" t="s">
        <v>78</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31" t="s">
        <v>79</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31" t="s">
        <v>80</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31" t="s">
        <v>81</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31" t="s">
        <v>82</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65" customHeight="1" x14ac:dyDescent="0.35">
      <c r="A21" s="431" t="s">
        <v>83</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523" t="s">
        <v>84</v>
      </c>
      <c r="B22" s="25" t="s">
        <v>85</v>
      </c>
    </row>
    <row r="23" spans="1:6" ht="36" customHeight="1" x14ac:dyDescent="0.35">
      <c r="A23" s="523" t="s">
        <v>86</v>
      </c>
    </row>
    <row r="24" spans="1:6" x14ac:dyDescent="0.35">
      <c r="A24" s="28" t="s">
        <v>87</v>
      </c>
      <c r="B24" s="27"/>
      <c r="C24" s="26"/>
      <c r="D24" s="26"/>
      <c r="E24" s="26"/>
      <c r="F24" s="26"/>
    </row>
    <row r="25" spans="1:6" ht="304.5" x14ac:dyDescent="0.35">
      <c r="A25" s="1" t="s">
        <v>88</v>
      </c>
      <c r="B25" s="25" t="s">
        <v>89</v>
      </c>
      <c r="C25" s="1" t="s">
        <v>90</v>
      </c>
    </row>
    <row r="26" spans="1:6" ht="43.5" x14ac:dyDescent="0.35">
      <c r="A26" s="1" t="s">
        <v>91</v>
      </c>
      <c r="B26" s="25" t="s">
        <v>92</v>
      </c>
      <c r="C26" s="1" t="s">
        <v>93</v>
      </c>
    </row>
    <row r="27" spans="1:6" x14ac:dyDescent="0.35">
      <c r="D27" s="26"/>
      <c r="E27" s="26"/>
      <c r="F27" s="26"/>
    </row>
    <row r="28" spans="1:6" x14ac:dyDescent="0.35">
      <c r="A28" s="28" t="s">
        <v>94</v>
      </c>
      <c r="B28" s="27"/>
      <c r="C28" s="26"/>
    </row>
    <row r="29" spans="1:6" ht="29" x14ac:dyDescent="0.35">
      <c r="A29" s="1" t="s">
        <v>95</v>
      </c>
      <c r="B29" s="25" t="s">
        <v>116</v>
      </c>
      <c r="C29" s="1" t="s">
        <v>96</v>
      </c>
    </row>
    <row r="30" spans="1:6" ht="72.5" x14ac:dyDescent="0.35">
      <c r="A30" s="1" t="s">
        <v>97</v>
      </c>
      <c r="B30" s="25" t="s">
        <v>98</v>
      </c>
      <c r="C30" s="1" t="s">
        <v>99</v>
      </c>
    </row>
    <row r="31" spans="1:6" ht="29" x14ac:dyDescent="0.35">
      <c r="A31" s="1" t="s">
        <v>100</v>
      </c>
      <c r="B31" s="25" t="s">
        <v>101</v>
      </c>
      <c r="C31" s="25" t="s">
        <v>102</v>
      </c>
    </row>
    <row r="32" spans="1:6" ht="101.5" x14ac:dyDescent="0.35">
      <c r="A32" s="1" t="s">
        <v>103</v>
      </c>
      <c r="B32" s="25" t="s">
        <v>104</v>
      </c>
      <c r="C32" s="1" t="s">
        <v>105</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117</v>
      </c>
      <c r="B1" s="33" t="s">
        <v>44</v>
      </c>
      <c r="C1" s="33" t="s">
        <v>45</v>
      </c>
      <c r="D1" s="33" t="s">
        <v>46</v>
      </c>
      <c r="E1" s="33" t="s">
        <v>47</v>
      </c>
    </row>
    <row r="2" spans="1:5" ht="79.5" customHeight="1" x14ac:dyDescent="0.35">
      <c r="A2" s="1" t="s">
        <v>118</v>
      </c>
      <c r="B2" s="1" t="s">
        <v>119</v>
      </c>
      <c r="C2" s="1" t="s">
        <v>120</v>
      </c>
    </row>
    <row r="3" spans="1:5" ht="63.65" customHeight="1" x14ac:dyDescent="0.35">
      <c r="A3" s="1" t="s">
        <v>121</v>
      </c>
      <c r="B3" s="1" t="s">
        <v>122</v>
      </c>
      <c r="C3" s="1" t="s">
        <v>123</v>
      </c>
    </row>
    <row r="4" spans="1:5" ht="63.65" customHeight="1" x14ac:dyDescent="0.35">
      <c r="A4" s="1" t="s">
        <v>124</v>
      </c>
      <c r="B4" s="556" t="s">
        <v>57</v>
      </c>
      <c r="C4" s="556" t="s">
        <v>58</v>
      </c>
    </row>
    <row r="5" spans="1:5" ht="137.15" customHeight="1" x14ac:dyDescent="0.35">
      <c r="A5" t="s">
        <v>125</v>
      </c>
      <c r="B5" s="25" t="s">
        <v>126</v>
      </c>
    </row>
    <row r="6" spans="1:5" ht="29.15" customHeight="1" x14ac:dyDescent="0.35">
      <c r="A6" t="s">
        <v>127</v>
      </c>
      <c r="B6" s="638" t="s">
        <v>128</v>
      </c>
      <c r="C6" t="s">
        <v>129</v>
      </c>
    </row>
    <row r="7" spans="1:5" ht="43.5" x14ac:dyDescent="0.35">
      <c r="A7" s="1" t="s">
        <v>130</v>
      </c>
      <c r="B7" s="638" t="s">
        <v>131</v>
      </c>
      <c r="C7" t="s">
        <v>132</v>
      </c>
    </row>
    <row r="9" spans="1:5" x14ac:dyDescent="0.35">
      <c r="B9" s="637"/>
    </row>
    <row r="10" spans="1:5" x14ac:dyDescent="0.35">
      <c r="B10" s="6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I74" sqref="I74"/>
    </sheetView>
  </sheetViews>
  <sheetFormatPr defaultColWidth="8.54296875" defaultRowHeight="14.5" x14ac:dyDescent="0.35"/>
  <cols>
    <col min="1" max="1" width="15.1796875" style="525" customWidth="1"/>
    <col min="2" max="2" width="28.453125" style="525" customWidth="1"/>
    <col min="3" max="3" width="25.1796875" style="525" customWidth="1"/>
    <col min="4" max="4" width="11.1796875" style="525" customWidth="1"/>
    <col min="5" max="5" width="15.1796875" style="525" customWidth="1"/>
    <col min="6" max="6" width="12.453125" style="525" customWidth="1"/>
    <col min="7" max="7" width="11.81640625" style="525" bestFit="1" customWidth="1"/>
    <col min="8" max="16384" width="8.54296875" style="525"/>
  </cols>
  <sheetData>
    <row r="1" spans="1:11" s="530" customFormat="1" x14ac:dyDescent="0.35">
      <c r="A1" s="530" t="s">
        <v>133</v>
      </c>
      <c r="B1" s="530" t="s">
        <v>134</v>
      </c>
      <c r="C1" s="530" t="s">
        <v>135</v>
      </c>
      <c r="D1" s="530" t="s">
        <v>136</v>
      </c>
      <c r="E1" s="530" t="s">
        <v>137</v>
      </c>
      <c r="F1" s="530" t="s">
        <v>138</v>
      </c>
    </row>
    <row r="2" spans="1:11" x14ac:dyDescent="0.35">
      <c r="C2" s="525" t="str">
        <f>'Haver Pivoted'!A1</f>
        <v>name</v>
      </c>
      <c r="D2" s="531" t="s">
        <v>139</v>
      </c>
      <c r="E2" s="531" t="s">
        <v>140</v>
      </c>
      <c r="F2" s="531"/>
      <c r="H2" s="532"/>
    </row>
    <row r="3" spans="1:11" x14ac:dyDescent="0.35">
      <c r="B3" s="525" t="s">
        <v>141</v>
      </c>
      <c r="C3" s="525" t="str">
        <f>'Haver Pivoted'!A2</f>
        <v>gdp</v>
      </c>
      <c r="D3" s="525">
        <v>22741</v>
      </c>
      <c r="E3" s="525">
        <f>'Haver Pivoted'!GZ2</f>
        <v>0</v>
      </c>
      <c r="F3" s="525">
        <f>E3-D3</f>
        <v>-22741</v>
      </c>
      <c r="G3" s="533">
        <f>F3/D3</f>
        <v>-1</v>
      </c>
      <c r="H3" s="534"/>
    </row>
    <row r="4" spans="1:11" x14ac:dyDescent="0.35">
      <c r="B4" s="525" t="s">
        <v>142</v>
      </c>
      <c r="C4" s="525" t="str">
        <f>'Haver Pivoted'!A3</f>
        <v>gdph</v>
      </c>
      <c r="D4" s="525">
        <v>19368.3</v>
      </c>
      <c r="E4" s="525">
        <f>'Haver Pivoted'!GZ3</f>
        <v>0</v>
      </c>
      <c r="F4" s="525">
        <f t="shared" ref="F4:F67" si="0">E4-D4</f>
        <v>-19368.3</v>
      </c>
      <c r="G4" s="533">
        <f t="shared" ref="G4:G67" si="1">F4/D4</f>
        <v>-1</v>
      </c>
      <c r="H4" s="534"/>
    </row>
    <row r="5" spans="1:11" x14ac:dyDescent="0.35">
      <c r="B5" s="525" t="s">
        <v>143</v>
      </c>
      <c r="C5" s="525" t="str">
        <f>'Haver Pivoted'!A4</f>
        <v>jgdp</v>
      </c>
      <c r="D5" s="525">
        <v>117.54600000000001</v>
      </c>
      <c r="E5" s="525">
        <f>'Haver Pivoted'!GZ4</f>
        <v>0</v>
      </c>
      <c r="F5" s="525">
        <f t="shared" si="0"/>
        <v>-117.54600000000001</v>
      </c>
      <c r="G5" s="533">
        <f t="shared" si="1"/>
        <v>-1</v>
      </c>
      <c r="H5" s="535"/>
    </row>
    <row r="6" spans="1:11" x14ac:dyDescent="0.35">
      <c r="B6" s="525" t="s">
        <v>144</v>
      </c>
      <c r="C6" s="525" t="str">
        <f>'Haver Pivoted'!A5</f>
        <v>c</v>
      </c>
      <c r="D6" s="525">
        <v>15681.7</v>
      </c>
      <c r="E6" s="525">
        <f>'Haver Pivoted'!GZ5</f>
        <v>0</v>
      </c>
      <c r="F6" s="525">
        <f t="shared" si="0"/>
        <v>-15681.7</v>
      </c>
      <c r="G6" s="533">
        <f t="shared" si="1"/>
        <v>-1</v>
      </c>
    </row>
    <row r="7" spans="1:11" x14ac:dyDescent="0.35">
      <c r="B7" s="525" t="s">
        <v>145</v>
      </c>
      <c r="C7" s="525" t="str">
        <f>'Haver Pivoted'!A6</f>
        <v>ch</v>
      </c>
      <c r="D7" s="525">
        <v>13665.6</v>
      </c>
      <c r="E7" s="525">
        <f>'Haver Pivoted'!GZ6</f>
        <v>0</v>
      </c>
      <c r="F7" s="525">
        <f t="shared" si="0"/>
        <v>-13665.6</v>
      </c>
      <c r="G7" s="533">
        <f t="shared" si="1"/>
        <v>-1</v>
      </c>
      <c r="K7" s="535"/>
    </row>
    <row r="8" spans="1:11" x14ac:dyDescent="0.35">
      <c r="B8" s="525" t="s">
        <v>146</v>
      </c>
      <c r="C8" s="525" t="str">
        <f>'Haver Pivoted'!A7</f>
        <v>jc</v>
      </c>
      <c r="D8" s="525">
        <v>114.77200000000001</v>
      </c>
      <c r="E8" s="525">
        <f>'Haver Pivoted'!GZ7</f>
        <v>0</v>
      </c>
      <c r="F8" s="525">
        <f t="shared" si="0"/>
        <v>-114.77200000000001</v>
      </c>
      <c r="G8" s="533">
        <f t="shared" si="1"/>
        <v>-1</v>
      </c>
    </row>
    <row r="9" spans="1:11" x14ac:dyDescent="0.35">
      <c r="B9" s="525" t="s">
        <v>147</v>
      </c>
      <c r="C9" s="525" t="str">
        <f>'Haver Pivoted'!A8</f>
        <v>jgf</v>
      </c>
      <c r="D9" s="525">
        <v>115.22799999999999</v>
      </c>
      <c r="E9" s="525">
        <f>'Haver Pivoted'!GZ8</f>
        <v>0</v>
      </c>
      <c r="F9" s="525">
        <f t="shared" si="0"/>
        <v>-115.22799999999999</v>
      </c>
      <c r="G9" s="533">
        <f t="shared" si="1"/>
        <v>-1</v>
      </c>
    </row>
    <row r="10" spans="1:11" x14ac:dyDescent="0.35">
      <c r="B10" s="525" t="s">
        <v>148</v>
      </c>
      <c r="C10" s="525" t="str">
        <f>'Haver Pivoted'!A9</f>
        <v>jgs</v>
      </c>
      <c r="D10" s="525">
        <v>121.544</v>
      </c>
      <c r="E10" s="525">
        <f>'Haver Pivoted'!GZ9</f>
        <v>0</v>
      </c>
      <c r="F10" s="525">
        <f t="shared" si="0"/>
        <v>-121.544</v>
      </c>
      <c r="G10" s="533">
        <f t="shared" si="1"/>
        <v>-1</v>
      </c>
    </row>
    <row r="11" spans="1:11" x14ac:dyDescent="0.35">
      <c r="B11" s="525" t="s">
        <v>149</v>
      </c>
      <c r="C11" s="525" t="str">
        <f>'Haver Pivoted'!A10</f>
        <v>jgse</v>
      </c>
      <c r="D11" s="525">
        <v>121.425</v>
      </c>
      <c r="E11" s="525">
        <f>'Haver Pivoted'!GZ10</f>
        <v>0</v>
      </c>
      <c r="F11" s="525">
        <f t="shared" si="0"/>
        <v>-121.425</v>
      </c>
      <c r="G11" s="533">
        <f t="shared" si="1"/>
        <v>-1</v>
      </c>
    </row>
    <row r="12" spans="1:11" x14ac:dyDescent="0.35">
      <c r="B12" s="525" t="s">
        <v>150</v>
      </c>
      <c r="C12" s="525" t="str">
        <f>'Haver Pivoted'!A11</f>
        <v>jgsi</v>
      </c>
      <c r="D12" s="525">
        <v>122.101</v>
      </c>
      <c r="E12" s="525">
        <f>'Haver Pivoted'!GZ11</f>
        <v>0</v>
      </c>
      <c r="F12" s="525">
        <f t="shared" si="0"/>
        <v>-122.101</v>
      </c>
      <c r="G12" s="533">
        <f t="shared" si="1"/>
        <v>-1</v>
      </c>
    </row>
    <row r="13" spans="1:11" x14ac:dyDescent="0.35">
      <c r="A13" s="525" t="s">
        <v>80</v>
      </c>
      <c r="B13" s="525" t="s">
        <v>80</v>
      </c>
      <c r="C13" s="525" t="str">
        <f>'Haver Pivoted'!A12</f>
        <v>yptmr</v>
      </c>
      <c r="D13" s="525">
        <v>815.3</v>
      </c>
      <c r="E13" s="525">
        <f>'Haver Pivoted'!GZ12</f>
        <v>0</v>
      </c>
      <c r="F13" s="525">
        <f t="shared" si="0"/>
        <v>-815.3</v>
      </c>
      <c r="G13" s="533">
        <f t="shared" si="1"/>
        <v>-1</v>
      </c>
      <c r="I13" s="536"/>
    </row>
    <row r="14" spans="1:11" x14ac:dyDescent="0.35">
      <c r="A14" s="525" t="s">
        <v>79</v>
      </c>
      <c r="B14" s="525" t="s">
        <v>151</v>
      </c>
      <c r="C14" s="525" t="str">
        <f>'Haver Pivoted'!A13</f>
        <v>yptmd</v>
      </c>
      <c r="D14" s="525">
        <v>730.5</v>
      </c>
      <c r="E14" s="525">
        <f>'Haver Pivoted'!GZ13</f>
        <v>0</v>
      </c>
      <c r="F14" s="525">
        <f t="shared" si="0"/>
        <v>-730.5</v>
      </c>
      <c r="G14" s="533">
        <f t="shared" si="1"/>
        <v>-1</v>
      </c>
    </row>
    <row r="15" spans="1:11" x14ac:dyDescent="0.35">
      <c r="A15" s="525" t="s">
        <v>78</v>
      </c>
      <c r="B15" s="525" t="s">
        <v>152</v>
      </c>
      <c r="C15" s="525" t="str">
        <f>'Haver Pivoted'!A14</f>
        <v>yptu</v>
      </c>
      <c r="D15" s="525">
        <v>480.4</v>
      </c>
      <c r="E15" s="525">
        <f>'Haver Pivoted'!GZ14</f>
        <v>0</v>
      </c>
      <c r="F15" s="525">
        <f t="shared" si="0"/>
        <v>-480.4</v>
      </c>
      <c r="G15" s="533">
        <f t="shared" si="1"/>
        <v>-1</v>
      </c>
    </row>
    <row r="16" spans="1:11" x14ac:dyDescent="0.35">
      <c r="B16" s="525" t="s">
        <v>82</v>
      </c>
      <c r="C16" s="525" t="str">
        <f>'Haver Pivoted'!A15</f>
        <v>gtfp</v>
      </c>
      <c r="D16" s="525">
        <v>4257.8</v>
      </c>
      <c r="E16" s="525">
        <f>'Haver Pivoted'!GZ15</f>
        <v>0</v>
      </c>
      <c r="F16" s="525">
        <f t="shared" si="0"/>
        <v>-4257.8</v>
      </c>
      <c r="G16" s="533">
        <f t="shared" si="1"/>
        <v>-1</v>
      </c>
    </row>
    <row r="17" spans="1:7" x14ac:dyDescent="0.35">
      <c r="B17" s="525" t="s">
        <v>153</v>
      </c>
      <c r="C17" s="525" t="str">
        <f>'Haver Pivoted'!A16</f>
        <v>ypog</v>
      </c>
      <c r="D17" s="525">
        <v>116</v>
      </c>
      <c r="E17" s="525">
        <f>'Haver Pivoted'!GZ16</f>
        <v>0</v>
      </c>
      <c r="F17" s="525">
        <f t="shared" si="0"/>
        <v>-116</v>
      </c>
      <c r="G17" s="533">
        <f t="shared" si="1"/>
        <v>-1</v>
      </c>
    </row>
    <row r="18" spans="1:7" x14ac:dyDescent="0.35">
      <c r="B18" s="525" t="s">
        <v>154</v>
      </c>
      <c r="C18" s="525" t="str">
        <f>'Haver Pivoted'!A17</f>
        <v>yptx</v>
      </c>
      <c r="D18" s="525">
        <v>2514.8000000000002</v>
      </c>
      <c r="E18" s="525">
        <f>'Haver Pivoted'!GZ17</f>
        <v>0</v>
      </c>
      <c r="F18" s="525">
        <f t="shared" si="0"/>
        <v>-2514.8000000000002</v>
      </c>
      <c r="G18" s="533">
        <f t="shared" si="1"/>
        <v>-1</v>
      </c>
    </row>
    <row r="19" spans="1:7" x14ac:dyDescent="0.35">
      <c r="B19" s="525" t="s">
        <v>155</v>
      </c>
      <c r="C19" s="525" t="str">
        <f>'Haver Pivoted'!A18</f>
        <v>ytpi</v>
      </c>
      <c r="D19" s="525">
        <v>1636.3</v>
      </c>
      <c r="E19" s="525">
        <f>'Haver Pivoted'!GZ18</f>
        <v>0</v>
      </c>
      <c r="F19" s="525">
        <f t="shared" si="0"/>
        <v>-1636.3</v>
      </c>
      <c r="G19" s="533">
        <f t="shared" si="1"/>
        <v>-1</v>
      </c>
    </row>
    <row r="20" spans="1:7" x14ac:dyDescent="0.35">
      <c r="B20" s="525" t="s">
        <v>156</v>
      </c>
      <c r="C20" s="525" t="str">
        <f>'Haver Pivoted'!A19</f>
        <v>yctlg</v>
      </c>
      <c r="D20" s="525">
        <v>366.9</v>
      </c>
      <c r="E20" s="525">
        <f>'Haver Pivoted'!GZ19</f>
        <v>0</v>
      </c>
      <c r="F20" s="525">
        <f t="shared" si="0"/>
        <v>-366.9</v>
      </c>
      <c r="G20" s="533">
        <f t="shared" si="1"/>
        <v>-1</v>
      </c>
    </row>
    <row r="21" spans="1:7" x14ac:dyDescent="0.35">
      <c r="B21" s="525" t="s">
        <v>157</v>
      </c>
      <c r="C21" s="525" t="str">
        <f>'Haver Pivoted'!A20</f>
        <v>g</v>
      </c>
      <c r="D21" s="525">
        <v>4015.9</v>
      </c>
      <c r="E21" s="525">
        <f>'Haver Pivoted'!GZ20</f>
        <v>0</v>
      </c>
      <c r="F21" s="525">
        <f t="shared" si="0"/>
        <v>-4015.9</v>
      </c>
      <c r="G21" s="533">
        <f t="shared" si="1"/>
        <v>-1</v>
      </c>
    </row>
    <row r="22" spans="1:7" x14ac:dyDescent="0.35">
      <c r="B22" s="525" t="s">
        <v>158</v>
      </c>
      <c r="C22" s="525" t="str">
        <f>'Haver Pivoted'!A21</f>
        <v>grcsi</v>
      </c>
      <c r="D22" s="525">
        <v>1564.2</v>
      </c>
      <c r="E22" s="525">
        <f>'Haver Pivoted'!GZ21</f>
        <v>0</v>
      </c>
      <c r="F22" s="525">
        <f t="shared" si="0"/>
        <v>-1564.2</v>
      </c>
      <c r="G22" s="533">
        <f t="shared" si="1"/>
        <v>-1</v>
      </c>
    </row>
    <row r="23" spans="1:7" x14ac:dyDescent="0.35">
      <c r="B23" s="525" t="s">
        <v>146</v>
      </c>
      <c r="C23" s="525" t="str">
        <f>'Haver Pivoted'!A22</f>
        <v>dc</v>
      </c>
      <c r="D23" s="525">
        <v>114.753</v>
      </c>
      <c r="E23" s="525">
        <f>'Haver Pivoted'!GZ22</f>
        <v>0</v>
      </c>
      <c r="F23" s="525">
        <f t="shared" si="0"/>
        <v>-114.753</v>
      </c>
      <c r="G23" s="533">
        <f t="shared" si="1"/>
        <v>-1</v>
      </c>
    </row>
    <row r="24" spans="1:7" x14ac:dyDescent="0.35">
      <c r="A24" s="525" t="s">
        <v>159</v>
      </c>
      <c r="B24" s="525" t="s">
        <v>160</v>
      </c>
      <c r="C24" s="525" t="str">
        <f>'Haver Pivoted'!A23</f>
        <v>gf</v>
      </c>
      <c r="D24" s="525">
        <v>1563.3</v>
      </c>
      <c r="E24" s="525">
        <f>'Haver Pivoted'!GZ23</f>
        <v>0</v>
      </c>
      <c r="F24" s="525">
        <f t="shared" si="0"/>
        <v>-1563.3</v>
      </c>
      <c r="G24" s="533">
        <f t="shared" si="1"/>
        <v>-1</v>
      </c>
    </row>
    <row r="25" spans="1:7" x14ac:dyDescent="0.35">
      <c r="A25" s="525" t="s">
        <v>159</v>
      </c>
      <c r="B25" s="525" t="s">
        <v>161</v>
      </c>
      <c r="C25" s="525" t="str">
        <f>'Haver Pivoted'!A24</f>
        <v>gs</v>
      </c>
      <c r="D25" s="525">
        <v>2452.6</v>
      </c>
      <c r="E25" s="525">
        <f>'Haver Pivoted'!GZ24</f>
        <v>0</v>
      </c>
      <c r="F25" s="525">
        <f t="shared" si="0"/>
        <v>-2452.6</v>
      </c>
      <c r="G25" s="533">
        <f t="shared" si="1"/>
        <v>-1</v>
      </c>
    </row>
    <row r="26" spans="1:7" x14ac:dyDescent="0.35">
      <c r="B26" s="525" t="s">
        <v>162</v>
      </c>
      <c r="C26" s="525" t="str">
        <f>'Haver Pivoted'!A25</f>
        <v>gfh</v>
      </c>
      <c r="D26" s="525">
        <v>1356.7</v>
      </c>
      <c r="E26" s="525">
        <f>'Haver Pivoted'!GZ25</f>
        <v>0</v>
      </c>
      <c r="F26" s="525">
        <f t="shared" si="0"/>
        <v>-1356.7</v>
      </c>
      <c r="G26" s="533">
        <f t="shared" si="1"/>
        <v>-1</v>
      </c>
    </row>
    <row r="27" spans="1:7" x14ac:dyDescent="0.35">
      <c r="B27" s="525" t="s">
        <v>163</v>
      </c>
      <c r="C27" s="525" t="str">
        <f>'Haver Pivoted'!A26</f>
        <v>gsh</v>
      </c>
      <c r="D27" s="525">
        <v>2017.9</v>
      </c>
      <c r="E27" s="525">
        <f>'Haver Pivoted'!GZ26</f>
        <v>0</v>
      </c>
      <c r="F27" s="525">
        <f t="shared" si="0"/>
        <v>-2017.9</v>
      </c>
      <c r="G27" s="533">
        <f t="shared" si="1"/>
        <v>-1</v>
      </c>
    </row>
    <row r="28" spans="1:7" x14ac:dyDescent="0.35">
      <c r="A28" s="525" t="s">
        <v>83</v>
      </c>
      <c r="B28" s="525" t="s">
        <v>164</v>
      </c>
      <c r="C28" s="525" t="s">
        <v>165</v>
      </c>
      <c r="D28" s="525">
        <v>1928.3</v>
      </c>
      <c r="E28" s="525">
        <f>'Haver Pivoted'!GZ27</f>
        <v>0</v>
      </c>
      <c r="F28" s="525">
        <f t="shared" si="0"/>
        <v>-1928.3</v>
      </c>
      <c r="G28" s="533">
        <f t="shared" si="1"/>
        <v>-1</v>
      </c>
    </row>
    <row r="29" spans="1:7" x14ac:dyDescent="0.35">
      <c r="A29" s="525" t="s">
        <v>83</v>
      </c>
      <c r="B29" s="525" t="s">
        <v>166</v>
      </c>
      <c r="C29" s="525" t="s">
        <v>167</v>
      </c>
      <c r="D29" s="525">
        <v>177.8</v>
      </c>
      <c r="E29" s="525">
        <f>'Haver Pivoted'!GZ28</f>
        <v>0</v>
      </c>
      <c r="F29" s="525">
        <f t="shared" si="0"/>
        <v>-177.8</v>
      </c>
      <c r="G29" s="533">
        <f t="shared" si="1"/>
        <v>-1</v>
      </c>
    </row>
    <row r="30" spans="1:7" x14ac:dyDescent="0.35">
      <c r="A30" s="525" t="s">
        <v>83</v>
      </c>
      <c r="B30" s="525" t="s">
        <v>168</v>
      </c>
      <c r="C30" s="525" t="s">
        <v>169</v>
      </c>
      <c r="D30" s="525">
        <v>275.10000000000002</v>
      </c>
      <c r="E30" s="525">
        <f>'Haver Pivoted'!GZ29</f>
        <v>0</v>
      </c>
      <c r="F30" s="525">
        <f t="shared" si="0"/>
        <v>-275.10000000000002</v>
      </c>
      <c r="G30" s="533">
        <f t="shared" si="1"/>
        <v>-1</v>
      </c>
    </row>
    <row r="31" spans="1:7" x14ac:dyDescent="0.35">
      <c r="A31" s="525" t="s">
        <v>83</v>
      </c>
      <c r="B31" s="525" t="s">
        <v>170</v>
      </c>
      <c r="C31" s="525" t="s">
        <v>171</v>
      </c>
      <c r="D31" s="525">
        <v>1542.2</v>
      </c>
      <c r="E31" s="525">
        <f>'Haver Pivoted'!GZ30</f>
        <v>0</v>
      </c>
      <c r="F31" s="525">
        <f t="shared" si="0"/>
        <v>-1542.2</v>
      </c>
      <c r="G31" s="533">
        <f t="shared" si="1"/>
        <v>-1</v>
      </c>
    </row>
    <row r="32" spans="1:7" x14ac:dyDescent="0.35">
      <c r="A32" s="525" t="s">
        <v>172</v>
      </c>
      <c r="B32" s="525" t="s">
        <v>173</v>
      </c>
      <c r="C32" s="525" t="str">
        <f>'Haver Pivoted'!A31</f>
        <v>gftfp</v>
      </c>
      <c r="D32" s="525">
        <v>3372.3</v>
      </c>
      <c r="E32" s="525">
        <f>'Haver Pivoted'!GZ31</f>
        <v>0</v>
      </c>
      <c r="F32" s="525">
        <f t="shared" si="0"/>
        <v>-3372.3</v>
      </c>
      <c r="G32" s="533">
        <f t="shared" si="1"/>
        <v>-1</v>
      </c>
    </row>
    <row r="33" spans="1:10" x14ac:dyDescent="0.35">
      <c r="A33" s="525" t="s">
        <v>75</v>
      </c>
      <c r="B33" s="524" t="s">
        <v>174</v>
      </c>
      <c r="C33" s="525" t="str">
        <f>'Haver Pivoted'!A32</f>
        <v>gfeg</v>
      </c>
      <c r="D33" s="525">
        <v>1632.2</v>
      </c>
      <c r="E33" s="525">
        <f>'Haver Pivoted'!GZ32</f>
        <v>0</v>
      </c>
      <c r="F33" s="525">
        <f t="shared" si="0"/>
        <v>-1632.2</v>
      </c>
      <c r="G33" s="533">
        <f t="shared" si="1"/>
        <v>-1</v>
      </c>
    </row>
    <row r="34" spans="1:10" x14ac:dyDescent="0.35">
      <c r="A34" s="525" t="s">
        <v>83</v>
      </c>
      <c r="B34" s="525" t="s">
        <v>175</v>
      </c>
      <c r="C34" s="525" t="str">
        <f>'Haver Pivoted'!A33</f>
        <v>gsrpt</v>
      </c>
      <c r="D34" s="525">
        <v>586.4</v>
      </c>
      <c r="E34" s="525">
        <f>'Haver Pivoted'!GZ33</f>
        <v>0</v>
      </c>
      <c r="F34" s="525">
        <f t="shared" si="0"/>
        <v>-586.4</v>
      </c>
      <c r="G34" s="533">
        <f t="shared" si="1"/>
        <v>-1</v>
      </c>
    </row>
    <row r="35" spans="1:10" x14ac:dyDescent="0.35">
      <c r="A35" s="525" t="s">
        <v>83</v>
      </c>
      <c r="B35" s="525" t="s">
        <v>176</v>
      </c>
      <c r="C35" s="525" t="str">
        <f>'Haver Pivoted'!A34</f>
        <v>gsrpri</v>
      </c>
      <c r="D35" s="525">
        <v>1458.5</v>
      </c>
      <c r="E35" s="525">
        <f>'Haver Pivoted'!GZ34</f>
        <v>0</v>
      </c>
      <c r="F35" s="525">
        <f t="shared" si="0"/>
        <v>-1458.5</v>
      </c>
      <c r="G35" s="533">
        <f t="shared" si="1"/>
        <v>-1</v>
      </c>
    </row>
    <row r="36" spans="1:10" x14ac:dyDescent="0.35">
      <c r="A36" s="525" t="s">
        <v>83</v>
      </c>
      <c r="B36" s="525" t="s">
        <v>177</v>
      </c>
      <c r="C36" s="525" t="str">
        <f>'Haver Pivoted'!A35</f>
        <v>gsrcp</v>
      </c>
      <c r="D36" s="525">
        <v>91.9</v>
      </c>
      <c r="E36" s="525">
        <f>'Haver Pivoted'!GZ35</f>
        <v>0</v>
      </c>
      <c r="F36" s="525">
        <f t="shared" si="0"/>
        <v>-91.9</v>
      </c>
      <c r="G36" s="533">
        <f t="shared" si="1"/>
        <v>-1</v>
      </c>
    </row>
    <row r="37" spans="1:10" x14ac:dyDescent="0.35">
      <c r="A37" s="525" t="s">
        <v>83</v>
      </c>
      <c r="B37" s="525" t="s">
        <v>178</v>
      </c>
      <c r="C37" s="525" t="str">
        <f>'Haver Pivoted'!A36</f>
        <v>gsrs</v>
      </c>
      <c r="D37" s="525">
        <v>21.9</v>
      </c>
      <c r="E37" s="525">
        <f>'Haver Pivoted'!GZ36</f>
        <v>0</v>
      </c>
      <c r="F37" s="525">
        <f t="shared" si="0"/>
        <v>-21.9</v>
      </c>
      <c r="G37" s="533">
        <f t="shared" si="1"/>
        <v>-1</v>
      </c>
    </row>
    <row r="38" spans="1:10" x14ac:dyDescent="0.35">
      <c r="A38" s="525" t="s">
        <v>82</v>
      </c>
      <c r="B38" s="525" t="s">
        <v>179</v>
      </c>
      <c r="C38" s="525" t="str">
        <f>'Haver Pivoted'!A37</f>
        <v>gstfp</v>
      </c>
      <c r="D38" s="525">
        <v>885.5</v>
      </c>
      <c r="E38" s="525">
        <f>'Haver Pivoted'!GZ37</f>
        <v>0</v>
      </c>
      <c r="F38" s="525">
        <f t="shared" si="0"/>
        <v>-885.5</v>
      </c>
      <c r="G38" s="533">
        <f t="shared" si="1"/>
        <v>-1</v>
      </c>
    </row>
    <row r="39" spans="1:10" x14ac:dyDescent="0.35">
      <c r="B39" s="525" t="s">
        <v>180</v>
      </c>
      <c r="C39" s="525" t="str">
        <f>'Haver Pivoted'!A38</f>
        <v>gset</v>
      </c>
      <c r="D39" s="525">
        <v>3337.6</v>
      </c>
      <c r="E39" s="525">
        <f>'Haver Pivoted'!GZ38</f>
        <v>0</v>
      </c>
      <c r="F39" s="525">
        <f t="shared" si="0"/>
        <v>-3337.6</v>
      </c>
      <c r="G39" s="533">
        <f t="shared" si="1"/>
        <v>-1</v>
      </c>
    </row>
    <row r="40" spans="1:10" x14ac:dyDescent="0.35">
      <c r="B40" s="525" t="s">
        <v>181</v>
      </c>
      <c r="C40" s="525" t="str">
        <f>'Haver Pivoted'!A39</f>
        <v>gfeghhx</v>
      </c>
      <c r="D40" s="525">
        <v>553.56399999999996</v>
      </c>
      <c r="E40" s="525">
        <f>'Haver Pivoted'!GZ39</f>
        <v>0</v>
      </c>
      <c r="F40" s="525">
        <f t="shared" si="0"/>
        <v>-553.56399999999996</v>
      </c>
      <c r="G40" s="533">
        <f t="shared" si="1"/>
        <v>-1</v>
      </c>
    </row>
    <row r="41" spans="1:10" x14ac:dyDescent="0.35">
      <c r="A41" s="525" t="s">
        <v>182</v>
      </c>
      <c r="B41" s="525" t="s">
        <v>183</v>
      </c>
      <c r="C41" s="525" t="str">
        <f>'Haver Pivoted'!A40</f>
        <v>gfeghdx</v>
      </c>
      <c r="D41" s="525">
        <v>520.72900000000004</v>
      </c>
      <c r="E41" s="525">
        <f>'Haver Pivoted'!GZ40</f>
        <v>0</v>
      </c>
      <c r="F41" s="525">
        <f t="shared" si="0"/>
        <v>-520.72900000000004</v>
      </c>
      <c r="G41" s="533">
        <f t="shared" si="1"/>
        <v>-1</v>
      </c>
    </row>
    <row r="42" spans="1:10" x14ac:dyDescent="0.35">
      <c r="A42" s="525" t="s">
        <v>75</v>
      </c>
      <c r="B42" s="525" t="s">
        <v>184</v>
      </c>
      <c r="C42" s="525" t="str">
        <f>'Haver Pivoted'!A41</f>
        <v>gfeigx</v>
      </c>
      <c r="D42" s="525">
        <v>77.703999999999994</v>
      </c>
      <c r="E42" s="525">
        <f>'Haver Pivoted'!GZ41</f>
        <v>0</v>
      </c>
      <c r="F42" s="525">
        <f t="shared" si="0"/>
        <v>-77.703999999999994</v>
      </c>
      <c r="G42" s="533">
        <f t="shared" si="1"/>
        <v>-1</v>
      </c>
    </row>
    <row r="43" spans="1:10" x14ac:dyDescent="0.35">
      <c r="B43" s="525" t="s">
        <v>185</v>
      </c>
      <c r="C43" s="525" t="str">
        <f>'Haver Pivoted'!A42</f>
        <v>gfsub</v>
      </c>
      <c r="D43" s="525">
        <v>697</v>
      </c>
      <c r="E43" s="525">
        <f>'Haver Pivoted'!GZ42</f>
        <v>0</v>
      </c>
      <c r="F43" s="525">
        <f t="shared" si="0"/>
        <v>-697</v>
      </c>
      <c r="G43" s="533">
        <f t="shared" si="1"/>
        <v>-1</v>
      </c>
      <c r="I43" s="537"/>
      <c r="J43" s="534"/>
    </row>
    <row r="44" spans="1:10" x14ac:dyDescent="0.35">
      <c r="B44" s="525" t="s">
        <v>186</v>
      </c>
      <c r="C44" s="525" t="str">
        <f>'Haver Pivoted'!A43</f>
        <v>gssub</v>
      </c>
      <c r="D44" s="525">
        <v>8.6</v>
      </c>
      <c r="E44" s="525">
        <f>'Haver Pivoted'!GZ43</f>
        <v>0</v>
      </c>
      <c r="F44" s="525">
        <f t="shared" si="0"/>
        <v>-8.6</v>
      </c>
      <c r="G44" s="533">
        <f t="shared" si="1"/>
        <v>-1</v>
      </c>
      <c r="I44" s="526"/>
      <c r="J44" s="534"/>
    </row>
    <row r="45" spans="1:10" x14ac:dyDescent="0.35">
      <c r="B45" s="525" t="s">
        <v>77</v>
      </c>
      <c r="C45" s="525" t="str">
        <f>'Haver Pivoted'!A44</f>
        <v>gsub</v>
      </c>
      <c r="D45" s="525">
        <v>705.6</v>
      </c>
      <c r="E45" s="525">
        <f>'Haver Pivoted'!GZ44</f>
        <v>0</v>
      </c>
      <c r="F45" s="525">
        <f t="shared" si="0"/>
        <v>-705.6</v>
      </c>
      <c r="G45" s="533">
        <f t="shared" si="1"/>
        <v>-1</v>
      </c>
      <c r="I45" s="526"/>
      <c r="J45" s="535"/>
    </row>
    <row r="46" spans="1:10" x14ac:dyDescent="0.35">
      <c r="A46" s="525" t="s">
        <v>81</v>
      </c>
      <c r="B46" s="525" t="s">
        <v>81</v>
      </c>
      <c r="C46" s="525" t="str">
        <f>'Haver Pivoted'!A45</f>
        <v>gftfpe</v>
      </c>
      <c r="D46" s="525">
        <v>290.10000000000002</v>
      </c>
      <c r="E46" s="525">
        <f>'Haver Pivoted'!GZ45</f>
        <v>0</v>
      </c>
      <c r="F46" s="525">
        <f t="shared" si="0"/>
        <v>-290.10000000000002</v>
      </c>
      <c r="G46" s="533">
        <f t="shared" si="1"/>
        <v>-1</v>
      </c>
      <c r="I46" s="526"/>
      <c r="J46" s="535"/>
    </row>
    <row r="47" spans="1:10" x14ac:dyDescent="0.35">
      <c r="B47" s="525" t="s">
        <v>187</v>
      </c>
      <c r="C47" s="525" t="str">
        <f>'Haver Pivoted'!A46</f>
        <v>gftfpr</v>
      </c>
      <c r="D47" s="525">
        <v>14.1</v>
      </c>
      <c r="E47" s="525">
        <f>'Haver Pivoted'!GZ46</f>
        <v>0</v>
      </c>
      <c r="F47" s="525">
        <f t="shared" si="0"/>
        <v>-14.1</v>
      </c>
      <c r="G47" s="533">
        <f t="shared" si="1"/>
        <v>-1</v>
      </c>
      <c r="I47" s="526"/>
      <c r="J47" s="535"/>
    </row>
    <row r="48" spans="1:10" x14ac:dyDescent="0.35">
      <c r="A48" s="525" t="s">
        <v>74</v>
      </c>
      <c r="B48" s="525" t="s">
        <v>188</v>
      </c>
      <c r="C48" s="525" t="str">
        <f>'Haver Pivoted'!A47</f>
        <v>gftfpp</v>
      </c>
      <c r="D48" s="525">
        <v>24.7</v>
      </c>
      <c r="E48" s="525">
        <f>'Haver Pivoted'!GZ47</f>
        <v>0</v>
      </c>
      <c r="F48" s="525">
        <f t="shared" si="0"/>
        <v>-24.7</v>
      </c>
      <c r="G48" s="533">
        <f t="shared" si="1"/>
        <v>-1</v>
      </c>
      <c r="J48" s="535"/>
    </row>
    <row r="49" spans="1:9" x14ac:dyDescent="0.35">
      <c r="A49" s="525" t="s">
        <v>73</v>
      </c>
      <c r="B49" s="525" t="s">
        <v>189</v>
      </c>
      <c r="C49" s="525" t="str">
        <f>'Haver Pivoted'!A48</f>
        <v>gftfpv</v>
      </c>
      <c r="D49" s="525">
        <v>26.6</v>
      </c>
      <c r="E49" s="525">
        <f>'Haver Pivoted'!GZ48</f>
        <v>0</v>
      </c>
      <c r="F49" s="525">
        <f t="shared" si="0"/>
        <v>-26.6</v>
      </c>
      <c r="G49" s="533">
        <f t="shared" si="1"/>
        <v>-1</v>
      </c>
      <c r="H49" s="527"/>
      <c r="I49" s="527"/>
    </row>
    <row r="50" spans="1:9" x14ac:dyDescent="0.35">
      <c r="A50" s="525" t="s">
        <v>190</v>
      </c>
      <c r="B50" s="283" t="s">
        <v>191</v>
      </c>
      <c r="C50" s="525" t="str">
        <f>'Haver Pivoted'!A49</f>
        <v>gfsubp</v>
      </c>
      <c r="D50" s="525">
        <v>427.2</v>
      </c>
      <c r="E50" s="525">
        <f>'Haver Pivoted'!GZ49</f>
        <v>0</v>
      </c>
      <c r="F50" s="525">
        <f t="shared" si="0"/>
        <v>-427.2</v>
      </c>
      <c r="G50" s="533">
        <f t="shared" si="1"/>
        <v>-1</v>
      </c>
      <c r="H50" s="97"/>
      <c r="I50" s="108"/>
    </row>
    <row r="51" spans="1:9" x14ac:dyDescent="0.35">
      <c r="A51" s="525" t="s">
        <v>77</v>
      </c>
      <c r="B51" s="283" t="s">
        <v>192</v>
      </c>
      <c r="C51" s="525" t="str">
        <f>'Haver Pivoted'!A50</f>
        <v>gfsubg</v>
      </c>
      <c r="D51" s="525">
        <v>47.3</v>
      </c>
      <c r="E51" s="525">
        <f>'Haver Pivoted'!GZ50</f>
        <v>0</v>
      </c>
      <c r="F51" s="525">
        <f t="shared" si="0"/>
        <v>-47.3</v>
      </c>
      <c r="G51" s="533">
        <f t="shared" si="1"/>
        <v>-1</v>
      </c>
      <c r="H51" s="96"/>
      <c r="I51" s="575"/>
    </row>
    <row r="52" spans="1:9" x14ac:dyDescent="0.35">
      <c r="A52" s="525" t="s">
        <v>77</v>
      </c>
      <c r="B52" s="283" t="s">
        <v>193</v>
      </c>
      <c r="C52" s="525" t="str">
        <f>'Haver Pivoted'!A51</f>
        <v>gfsube</v>
      </c>
      <c r="D52" s="525">
        <v>62.9</v>
      </c>
      <c r="E52" s="525">
        <f>'Haver Pivoted'!GZ51</f>
        <v>0</v>
      </c>
      <c r="F52" s="525">
        <f t="shared" si="0"/>
        <v>-62.9</v>
      </c>
      <c r="G52" s="533">
        <f t="shared" si="1"/>
        <v>-1</v>
      </c>
      <c r="H52" s="261"/>
      <c r="I52" s="108"/>
    </row>
    <row r="53" spans="1:9" x14ac:dyDescent="0.35">
      <c r="A53" s="525" t="s">
        <v>77</v>
      </c>
      <c r="B53" s="283" t="s">
        <v>194</v>
      </c>
      <c r="C53" s="525" t="str">
        <f>'Haver Pivoted'!A52</f>
        <v>gfsubs</v>
      </c>
      <c r="D53" s="525">
        <v>12.3</v>
      </c>
      <c r="E53" s="525">
        <f>'Haver Pivoted'!GZ52</f>
        <v>0</v>
      </c>
      <c r="F53" s="525">
        <f t="shared" si="0"/>
        <v>-12.3</v>
      </c>
      <c r="G53" s="533">
        <f t="shared" si="1"/>
        <v>-1</v>
      </c>
      <c r="H53" s="261"/>
      <c r="I53" s="108"/>
    </row>
    <row r="54" spans="1:9" x14ac:dyDescent="0.35">
      <c r="A54" s="525" t="s">
        <v>77</v>
      </c>
      <c r="B54" s="283" t="s">
        <v>195</v>
      </c>
      <c r="C54" s="525" t="str">
        <f>'Haver Pivoted'!A53</f>
        <v>gfsubf</v>
      </c>
      <c r="D54" s="525">
        <v>14.3</v>
      </c>
      <c r="E54" s="525">
        <f>'Haver Pivoted'!GZ53</f>
        <v>0</v>
      </c>
      <c r="F54" s="525">
        <f t="shared" si="0"/>
        <v>-14.3</v>
      </c>
      <c r="G54" s="533">
        <f t="shared" si="1"/>
        <v>-1</v>
      </c>
      <c r="H54" s="97"/>
      <c r="I54" s="108"/>
    </row>
    <row r="55" spans="1:9" x14ac:dyDescent="0.35">
      <c r="A55" s="525" t="s">
        <v>196</v>
      </c>
      <c r="B55" s="283" t="s">
        <v>197</v>
      </c>
      <c r="C55" s="525" t="str">
        <f>'Haver Pivoted'!A54</f>
        <v>gfsubv</v>
      </c>
      <c r="D55" s="525">
        <v>16</v>
      </c>
      <c r="E55" s="525">
        <f>'Haver Pivoted'!GZ54</f>
        <v>0</v>
      </c>
      <c r="F55" s="525">
        <f t="shared" si="0"/>
        <v>-16</v>
      </c>
      <c r="G55" s="533">
        <f t="shared" si="1"/>
        <v>-1</v>
      </c>
      <c r="H55"/>
      <c r="I55"/>
    </row>
    <row r="56" spans="1:9" x14ac:dyDescent="0.35">
      <c r="A56" s="525" t="s">
        <v>77</v>
      </c>
      <c r="B56" s="283" t="s">
        <v>198</v>
      </c>
      <c r="C56" s="525" t="str">
        <f>'Haver Pivoted'!A55</f>
        <v>gfsubk</v>
      </c>
      <c r="D56" s="525">
        <v>8</v>
      </c>
      <c r="E56" s="525">
        <f>'Haver Pivoted'!GZ55</f>
        <v>0</v>
      </c>
      <c r="F56" s="525">
        <f t="shared" si="0"/>
        <v>-8</v>
      </c>
      <c r="G56" s="533">
        <f t="shared" si="1"/>
        <v>-1</v>
      </c>
      <c r="H56" s="97"/>
      <c r="I56" s="108"/>
    </row>
    <row r="57" spans="1:9" x14ac:dyDescent="0.35">
      <c r="A57" s="525" t="s">
        <v>75</v>
      </c>
      <c r="B57" s="524" t="s">
        <v>199</v>
      </c>
      <c r="C57" s="525" t="str">
        <f>'Haver Pivoted'!A56</f>
        <v>gfegc</v>
      </c>
      <c r="D57" s="525">
        <v>785.9</v>
      </c>
      <c r="E57" s="525">
        <f>'Haver Pivoted'!GZ56</f>
        <v>0</v>
      </c>
      <c r="F57" s="525">
        <f t="shared" si="0"/>
        <v>-785.9</v>
      </c>
      <c r="G57" s="533"/>
      <c r="H57" s="97"/>
      <c r="I57" s="108"/>
    </row>
    <row r="58" spans="1:9" x14ac:dyDescent="0.35">
      <c r="A58" s="525" t="s">
        <v>75</v>
      </c>
      <c r="B58" s="524" t="s">
        <v>200</v>
      </c>
      <c r="C58" s="525" t="str">
        <f>'Haver Pivoted'!A57</f>
        <v>gfege</v>
      </c>
      <c r="D58" s="525">
        <v>67.599999999999994</v>
      </c>
      <c r="E58" s="525">
        <f>'Haver Pivoted'!GZ57</f>
        <v>0</v>
      </c>
      <c r="F58" s="525">
        <f t="shared" si="0"/>
        <v>-67.599999999999994</v>
      </c>
      <c r="G58" s="533">
        <f t="shared" si="1"/>
        <v>-1</v>
      </c>
      <c r="H58" s="97"/>
      <c r="I58" s="108"/>
    </row>
    <row r="59" spans="1:9" x14ac:dyDescent="0.35">
      <c r="A59" s="525" t="s">
        <v>201</v>
      </c>
      <c r="B59" s="524" t="s">
        <v>202</v>
      </c>
      <c r="C59" s="525" t="str">
        <f>'Haver Pivoted'!A58</f>
        <v>gfegv</v>
      </c>
      <c r="D59" s="525">
        <v>10.6</v>
      </c>
      <c r="E59" s="525">
        <f>'Haver Pivoted'!GZ58</f>
        <v>0</v>
      </c>
      <c r="F59" s="525">
        <f t="shared" si="0"/>
        <v>-10.6</v>
      </c>
      <c r="G59" s="533">
        <f t="shared" si="1"/>
        <v>-1</v>
      </c>
    </row>
    <row r="60" spans="1:9" x14ac:dyDescent="0.35">
      <c r="A60" s="525" t="s">
        <v>78</v>
      </c>
      <c r="B60" s="525" t="s">
        <v>203</v>
      </c>
      <c r="C60" s="525" t="str">
        <f>'Haver Pivoted'!A59</f>
        <v>yptue</v>
      </c>
      <c r="D60" s="525">
        <v>104.5</v>
      </c>
      <c r="E60" s="525">
        <f>'Haver Pivoted'!GZ59</f>
        <v>0</v>
      </c>
      <c r="F60" s="525">
        <f t="shared" si="0"/>
        <v>-104.5</v>
      </c>
      <c r="G60" s="533">
        <f t="shared" si="1"/>
        <v>-1</v>
      </c>
    </row>
    <row r="61" spans="1:9" x14ac:dyDescent="0.35">
      <c r="A61" s="525" t="s">
        <v>78</v>
      </c>
      <c r="B61" s="525" t="s">
        <v>204</v>
      </c>
      <c r="C61" s="525" t="str">
        <f>'Haver Pivoted'!A60</f>
        <v>yptup</v>
      </c>
      <c r="D61" s="525">
        <v>82.1</v>
      </c>
      <c r="E61" s="525">
        <f>'Haver Pivoted'!GZ60</f>
        <v>0</v>
      </c>
      <c r="F61" s="525">
        <f t="shared" si="0"/>
        <v>-82.1</v>
      </c>
      <c r="G61" s="533">
        <f t="shared" si="1"/>
        <v>-1</v>
      </c>
    </row>
    <row r="62" spans="1:9" x14ac:dyDescent="0.35">
      <c r="A62" s="525" t="s">
        <v>78</v>
      </c>
      <c r="B62" s="525" t="s">
        <v>205</v>
      </c>
      <c r="C62" s="525" t="str">
        <f>'Haver Pivoted'!A61</f>
        <v>yptuc</v>
      </c>
      <c r="D62" s="525">
        <v>237.2</v>
      </c>
      <c r="E62" s="525">
        <f>'Haver Pivoted'!GZ61</f>
        <v>0</v>
      </c>
      <c r="F62" s="525">
        <f t="shared" si="0"/>
        <v>-237.2</v>
      </c>
      <c r="G62" s="533">
        <f t="shared" si="1"/>
        <v>-1</v>
      </c>
    </row>
    <row r="63" spans="1:9" x14ac:dyDescent="0.35">
      <c r="B63" s="525" t="s">
        <v>206</v>
      </c>
      <c r="C63" s="525" t="str">
        <f>'Haver Pivoted'!A62</f>
        <v>gftfpu</v>
      </c>
      <c r="D63" s="525">
        <v>429.7</v>
      </c>
      <c r="E63" s="525">
        <f>'Haver Pivoted'!GZ62</f>
        <v>0</v>
      </c>
      <c r="F63" s="525">
        <f t="shared" si="0"/>
        <v>-429.7</v>
      </c>
      <c r="G63" s="533">
        <f t="shared" si="1"/>
        <v>-1</v>
      </c>
      <c r="H63" s="524"/>
      <c r="I63" s="524"/>
    </row>
    <row r="64" spans="1:9" x14ac:dyDescent="0.35">
      <c r="A64" s="525" t="s">
        <v>78</v>
      </c>
      <c r="B64" s="528" t="s">
        <v>207</v>
      </c>
      <c r="C64" s="525" t="str">
        <f>'Haver Pivoted'!A63</f>
        <v>yptub</v>
      </c>
      <c r="D64" s="525">
        <v>5.8</v>
      </c>
      <c r="E64" s="525">
        <f>'Haver Pivoted'!GZ63</f>
        <v>0</v>
      </c>
      <c r="F64" s="525">
        <f t="shared" si="0"/>
        <v>-5.8</v>
      </c>
      <c r="G64" s="533">
        <f t="shared" si="1"/>
        <v>-1</v>
      </c>
      <c r="H64" s="524"/>
      <c r="I64" s="524"/>
    </row>
    <row r="65" spans="1:9" x14ac:dyDescent="0.35">
      <c r="A65" s="525" t="s">
        <v>78</v>
      </c>
      <c r="B65" s="525" t="s">
        <v>208</v>
      </c>
      <c r="C65" s="525" t="str">
        <f>'Haver Pivoted'!A64</f>
        <v>yptol</v>
      </c>
      <c r="D65" s="525">
        <v>0.6</v>
      </c>
      <c r="E65" s="525">
        <f>'Haver Pivoted'!GZ64</f>
        <v>0</v>
      </c>
      <c r="F65" s="525">
        <f t="shared" si="0"/>
        <v>-0.6</v>
      </c>
      <c r="G65" s="533">
        <f t="shared" si="1"/>
        <v>-1</v>
      </c>
      <c r="H65" s="524"/>
      <c r="I65" s="524"/>
    </row>
    <row r="66" spans="1:9" x14ac:dyDescent="0.35">
      <c r="B66" s="525" t="s">
        <v>209</v>
      </c>
      <c r="C66" s="525" t="str">
        <f>'Haver Pivoted'!A65</f>
        <v>gfctp</v>
      </c>
      <c r="D66" s="525">
        <v>89.9</v>
      </c>
      <c r="E66" s="525">
        <f>'Haver Pivoted'!GZ65</f>
        <v>0</v>
      </c>
      <c r="F66" s="525">
        <f t="shared" si="0"/>
        <v>-89.9</v>
      </c>
      <c r="G66" s="533">
        <f t="shared" si="1"/>
        <v>-1</v>
      </c>
      <c r="H66" s="529"/>
      <c r="I66" s="529"/>
    </row>
    <row r="67" spans="1:9" x14ac:dyDescent="0.35">
      <c r="A67" s="525" t="s">
        <v>82</v>
      </c>
      <c r="B67" s="473" t="s">
        <v>210</v>
      </c>
      <c r="C67" s="525" t="str">
        <f>'Haver Pivoted'!A66</f>
        <v>gftffx</v>
      </c>
      <c r="D67" s="525">
        <v>128.93899999999999</v>
      </c>
      <c r="E67" s="525">
        <f>'Haver Pivoted'!GZ66</f>
        <v>0</v>
      </c>
      <c r="F67" s="525">
        <f t="shared" si="0"/>
        <v>-128.93899999999999</v>
      </c>
      <c r="G67" s="533">
        <f t="shared" si="1"/>
        <v>-1</v>
      </c>
      <c r="H67" s="529"/>
      <c r="I67" s="529"/>
    </row>
    <row r="68" spans="1:9" x14ac:dyDescent="0.35">
      <c r="B68" s="525" t="s">
        <v>211</v>
      </c>
      <c r="C68" s="525" t="str">
        <f>'Haver Pivoted'!A67</f>
        <v>cpiu</v>
      </c>
      <c r="D68" s="525">
        <v>268.78800000000001</v>
      </c>
      <c r="E68" s="525">
        <f>'Haver Pivoted'!GZ67</f>
        <v>0</v>
      </c>
      <c r="F68" s="525">
        <f t="shared" ref="F68:F81" si="2">E68-D68</f>
        <v>-268.78800000000001</v>
      </c>
      <c r="G68" s="533">
        <f t="shared" ref="G68:G81" si="3">F68/D68</f>
        <v>-1</v>
      </c>
      <c r="H68" s="529"/>
      <c r="I68" s="529"/>
    </row>
    <row r="69" spans="1:9" x14ac:dyDescent="0.35">
      <c r="C69" s="525" t="str">
        <f>'Haver Pivoted'!A68</f>
        <v>pcw</v>
      </c>
      <c r="D69" s="525">
        <v>263.125333333333</v>
      </c>
      <c r="E69" s="525">
        <f>'Haver Pivoted'!GZ68</f>
        <v>0</v>
      </c>
      <c r="F69" s="525">
        <f t="shared" si="2"/>
        <v>-263.125333333333</v>
      </c>
      <c r="G69" s="533">
        <f t="shared" si="3"/>
        <v>-1</v>
      </c>
    </row>
    <row r="70" spans="1:9" x14ac:dyDescent="0.35">
      <c r="B70" s="525" t="s">
        <v>212</v>
      </c>
      <c r="C70" s="525" t="str">
        <f>'Haver Pivoted'!A69</f>
        <v>gdppothq</v>
      </c>
      <c r="D70" s="525">
        <v>19697.400000000001</v>
      </c>
      <c r="E70" s="525">
        <f>'Haver Pivoted'!GZ69</f>
        <v>0</v>
      </c>
      <c r="F70" s="525">
        <f t="shared" si="2"/>
        <v>-19697.400000000001</v>
      </c>
      <c r="G70" s="533">
        <f t="shared" si="3"/>
        <v>-1</v>
      </c>
    </row>
    <row r="71" spans="1:9" x14ac:dyDescent="0.35">
      <c r="B71" s="525" t="s">
        <v>213</v>
      </c>
      <c r="C71" s="525" t="str">
        <f>'Haver Pivoted'!A70</f>
        <v>gdppotq</v>
      </c>
      <c r="D71" s="525">
        <v>22983.3</v>
      </c>
      <c r="E71" s="525">
        <f>'Haver Pivoted'!GZ70</f>
        <v>0</v>
      </c>
      <c r="F71" s="525">
        <f t="shared" si="2"/>
        <v>-22983.3</v>
      </c>
      <c r="G71" s="533">
        <f t="shared" si="3"/>
        <v>-1</v>
      </c>
    </row>
    <row r="72" spans="1:9" x14ac:dyDescent="0.35">
      <c r="B72" s="525" t="s">
        <v>214</v>
      </c>
      <c r="C72" s="525" t="str">
        <f>'Haver Pivoted'!A71</f>
        <v>recessq</v>
      </c>
      <c r="D72" s="525">
        <v>-1</v>
      </c>
      <c r="E72" s="525">
        <f>'Haver Pivoted'!GZ71</f>
        <v>0</v>
      </c>
      <c r="F72" s="525">
        <f t="shared" si="2"/>
        <v>1</v>
      </c>
      <c r="G72" s="533">
        <f t="shared" si="3"/>
        <v>-1</v>
      </c>
    </row>
    <row r="73" spans="1:9" x14ac:dyDescent="0.35">
      <c r="A73" s="525" t="s">
        <v>215</v>
      </c>
      <c r="B73" s="525" t="s">
        <v>216</v>
      </c>
      <c r="C73" s="525" t="str">
        <f>'Haver Pivoted'!A72</f>
        <v>lasgova</v>
      </c>
      <c r="D73" s="525">
        <v>5023</v>
      </c>
      <c r="E73" s="525">
        <f>'Haver Pivoted'!GZ72</f>
        <v>0</v>
      </c>
      <c r="F73" s="525">
        <f t="shared" si="2"/>
        <v>-5023</v>
      </c>
      <c r="G73" s="533">
        <f t="shared" si="3"/>
        <v>-1</v>
      </c>
    </row>
    <row r="74" spans="1:9" x14ac:dyDescent="0.35">
      <c r="A74" s="525" t="s">
        <v>215</v>
      </c>
      <c r="B74" s="525" t="s">
        <v>217</v>
      </c>
      <c r="C74" s="525" t="str">
        <f>'Haver Pivoted'!A73</f>
        <v>lalgova</v>
      </c>
      <c r="D74" s="525">
        <v>13769.333333333299</v>
      </c>
      <c r="E74" s="525">
        <f>'Haver Pivoted'!GZ73</f>
        <v>0</v>
      </c>
      <c r="F74" s="525">
        <f t="shared" si="2"/>
        <v>-13769.333333333299</v>
      </c>
      <c r="G74" s="533">
        <f t="shared" si="3"/>
        <v>-1</v>
      </c>
    </row>
    <row r="75" spans="1:9" x14ac:dyDescent="0.35">
      <c r="A75" s="525" t="s">
        <v>215</v>
      </c>
      <c r="B75" s="525" t="s">
        <v>218</v>
      </c>
      <c r="C75" s="525" t="str">
        <f>'Haver Pivoted'!A74</f>
        <v>cpgs</v>
      </c>
      <c r="D75" s="525">
        <v>317506.66666666698</v>
      </c>
      <c r="E75" s="525">
        <f>'Haver Pivoted'!GZ74</f>
        <v>0</v>
      </c>
      <c r="F75" s="525">
        <f t="shared" si="2"/>
        <v>-317506.66666666698</v>
      </c>
      <c r="G75" s="533">
        <f t="shared" si="3"/>
        <v>-1</v>
      </c>
    </row>
    <row r="76" spans="1:9" x14ac:dyDescent="0.35">
      <c r="B76" s="525" t="s">
        <v>219</v>
      </c>
      <c r="C76" s="525" t="str">
        <f>'Haver Pivoted'!A75</f>
        <v>jgdp_growth</v>
      </c>
      <c r="D76" s="525">
        <v>1.48498609983942E-2</v>
      </c>
      <c r="E76" s="525">
        <f>'Haver Pivoted'!GZ75</f>
        <v>0</v>
      </c>
      <c r="F76" s="525">
        <f t="shared" si="2"/>
        <v>-1.48498609983942E-2</v>
      </c>
      <c r="G76" s="533">
        <f t="shared" si="3"/>
        <v>-1</v>
      </c>
    </row>
    <row r="77" spans="1:9" x14ac:dyDescent="0.35">
      <c r="B77" s="525" t="s">
        <v>220</v>
      </c>
      <c r="C77" s="525" t="str">
        <f>'Haver Pivoted'!A76</f>
        <v>jc_growth</v>
      </c>
      <c r="D77" s="525">
        <v>1.5780297197072201E-2</v>
      </c>
      <c r="E77" s="525">
        <f>'Haver Pivoted'!GZ76</f>
        <v>0</v>
      </c>
      <c r="F77" s="525">
        <f t="shared" si="2"/>
        <v>-1.5780297197072201E-2</v>
      </c>
      <c r="G77" s="533">
        <f t="shared" si="3"/>
        <v>-1</v>
      </c>
    </row>
    <row r="78" spans="1:9" x14ac:dyDescent="0.35">
      <c r="B78" s="525" t="s">
        <v>221</v>
      </c>
      <c r="C78" s="525" t="str">
        <f>'Haver Pivoted'!A77</f>
        <v>jgf_growth</v>
      </c>
      <c r="D78" s="525">
        <v>1.0195940910884001E-2</v>
      </c>
      <c r="E78" s="525">
        <f>'Haver Pivoted'!GZ77</f>
        <v>0</v>
      </c>
      <c r="F78" s="525">
        <f t="shared" si="2"/>
        <v>-1.0195940910884001E-2</v>
      </c>
      <c r="G78" s="533">
        <f t="shared" si="3"/>
        <v>-1</v>
      </c>
    </row>
    <row r="79" spans="1:9" x14ac:dyDescent="0.35">
      <c r="B79" s="525" t="s">
        <v>222</v>
      </c>
      <c r="C79" s="525" t="str">
        <f>'Haver Pivoted'!A78</f>
        <v>jgs_growth</v>
      </c>
      <c r="D79" s="525">
        <v>1.78200576137202E-2</v>
      </c>
      <c r="E79" s="525">
        <f>'Haver Pivoted'!GZ78</f>
        <v>0</v>
      </c>
      <c r="F79" s="525">
        <f t="shared" si="2"/>
        <v>-1.78200576137202E-2</v>
      </c>
      <c r="G79" s="533">
        <f t="shared" si="3"/>
        <v>-1</v>
      </c>
    </row>
    <row r="80" spans="1:9" x14ac:dyDescent="0.35">
      <c r="B80" s="525" t="s">
        <v>223</v>
      </c>
      <c r="C80" s="525" t="str">
        <f>'Haver Pivoted'!A79</f>
        <v>jgse_growth</v>
      </c>
      <c r="D80" s="525">
        <v>1.6797996968656699E-2</v>
      </c>
      <c r="E80" s="525">
        <f>'Haver Pivoted'!GZ79</f>
        <v>0</v>
      </c>
      <c r="F80" s="525">
        <f t="shared" si="2"/>
        <v>-1.6797996968656699E-2</v>
      </c>
      <c r="G80" s="533">
        <f t="shared" si="3"/>
        <v>-1</v>
      </c>
    </row>
    <row r="81" spans="2:7" x14ac:dyDescent="0.35">
      <c r="B81" s="525" t="s">
        <v>224</v>
      </c>
      <c r="C81" s="525" t="str">
        <f>'Haver Pivoted'!A80</f>
        <v>jgsi_growth</v>
      </c>
      <c r="D81" s="525">
        <v>2.24844241977624E-2</v>
      </c>
      <c r="E81" s="525">
        <f>'Haver Pivoted'!GZ80</f>
        <v>0</v>
      </c>
      <c r="F81" s="525">
        <f t="shared" si="2"/>
        <v>-2.24844241977624E-2</v>
      </c>
      <c r="G81" s="533">
        <f t="shared" si="3"/>
        <v>-1</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20" zoomScale="82" workbookViewId="0">
      <selection activeCell="B3" sqref="B3"/>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026" t="s">
        <v>225</v>
      </c>
      <c r="C2" s="1026"/>
      <c r="D2" s="1026"/>
      <c r="E2" s="1026"/>
      <c r="F2" s="1026"/>
      <c r="G2" s="1026"/>
      <c r="H2" s="1026"/>
      <c r="I2" s="1026"/>
      <c r="J2" s="1026"/>
      <c r="K2" s="1026"/>
      <c r="L2" s="1026"/>
      <c r="M2" s="1026"/>
      <c r="N2" s="1026"/>
      <c r="O2" s="1026"/>
      <c r="P2" s="1026"/>
      <c r="Q2" s="1026"/>
      <c r="R2" s="1026"/>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226</v>
      </c>
      <c r="Q3" t="s">
        <v>227</v>
      </c>
      <c r="R3" t="s">
        <v>228</v>
      </c>
    </row>
    <row r="4" spans="2:18" x14ac:dyDescent="0.35">
      <c r="B4" t="str">
        <f>forecast!A2</f>
        <v>Consumption Grants</v>
      </c>
      <c r="C4" t="str">
        <f>forecast!B2</f>
        <v>consumption_grants</v>
      </c>
      <c r="D4" s="216">
        <f>forecast!C2</f>
        <v>-34.256</v>
      </c>
      <c r="E4" s="216" t="e">
        <f>forecast!D2</f>
        <v>#DIV/0!</v>
      </c>
      <c r="F4" s="216" t="e">
        <f>forecast!E2</f>
        <v>#DIV/0!</v>
      </c>
      <c r="G4" s="216" t="e">
        <f>forecast!F2</f>
        <v>#DIV/0!</v>
      </c>
      <c r="H4" s="216" t="e">
        <f>forecast!G2</f>
        <v>#DIV/0!</v>
      </c>
      <c r="I4" s="216">
        <f>forecast!H2</f>
        <v>49.935991634052229</v>
      </c>
      <c r="J4" s="216">
        <f>forecast!I2</f>
        <v>54.299929299414316</v>
      </c>
      <c r="K4" s="216">
        <f>forecast!J2</f>
        <v>30.051664103390891</v>
      </c>
      <c r="L4" s="216">
        <f>forecast!K2</f>
        <v>20.06163690752652</v>
      </c>
      <c r="M4" s="216">
        <f>forecast!L2</f>
        <v>15.03172414382756</v>
      </c>
      <c r="N4" s="216">
        <f>forecast!M2</f>
        <v>-15.26297425041929</v>
      </c>
      <c r="O4" s="216">
        <f>forecast!N2</f>
        <v>-42.809780700436079</v>
      </c>
      <c r="P4" s="216">
        <f>forecast!O2</f>
        <v>-48.345755288453518</v>
      </c>
      <c r="Q4" s="216">
        <f>forecast!P2</f>
        <v>-54.983802999991639</v>
      </c>
      <c r="R4" s="216">
        <f>forecast!Q2</f>
        <v>-69.968936847991301</v>
      </c>
    </row>
    <row r="5" spans="2:18" x14ac:dyDescent="0.35">
      <c r="B5" t="str">
        <f>forecast!A3</f>
        <v>Investment Grants</v>
      </c>
      <c r="C5" t="str">
        <f>forecast!B3</f>
        <v>investment_grants</v>
      </c>
      <c r="D5" s="216">
        <f>forecast!C3</f>
        <v>0</v>
      </c>
      <c r="E5" s="216">
        <f>forecast!D3</f>
        <v>75.34842857142857</v>
      </c>
      <c r="F5" s="216">
        <f>forecast!E3</f>
        <v>75.34842857142857</v>
      </c>
      <c r="G5" s="216">
        <f>forecast!F3</f>
        <v>75.34842857142857</v>
      </c>
      <c r="H5" s="216">
        <f>forecast!G3</f>
        <v>75.34842857142857</v>
      </c>
      <c r="I5" s="216">
        <f>forecast!H3</f>
        <v>75.34842857142857</v>
      </c>
      <c r="J5" s="216">
        <f>forecast!I3</f>
        <v>75.34842857142857</v>
      </c>
      <c r="K5" s="216">
        <f>forecast!J3</f>
        <v>75.34842857142857</v>
      </c>
      <c r="L5" s="216">
        <f>forecast!K3</f>
        <v>75.34842857142857</v>
      </c>
      <c r="M5" s="216">
        <f>forecast!L3</f>
        <v>75.34842857142857</v>
      </c>
      <c r="N5" s="216">
        <f>forecast!M3</f>
        <v>75.34842857142857</v>
      </c>
      <c r="O5" s="216">
        <f>forecast!N3</f>
        <v>75.34842857142857</v>
      </c>
      <c r="P5" s="216">
        <f>forecast!O3</f>
        <v>75.34842857142857</v>
      </c>
      <c r="Q5" s="216">
        <f>forecast!P3</f>
        <v>75.34842857142857</v>
      </c>
      <c r="R5" s="216">
        <f>forecast!Q3</f>
        <v>75.34842857142857</v>
      </c>
    </row>
    <row r="6" spans="2:18" x14ac:dyDescent="0.35">
      <c r="B6" t="str">
        <f>forecast!A4</f>
        <v>Federal Purchases (NIPA Consistent)</v>
      </c>
      <c r="C6" t="str">
        <f>forecast!B4</f>
        <v>federal_purchases</v>
      </c>
      <c r="D6" s="216">
        <f>forecast!C4</f>
        <v>0</v>
      </c>
      <c r="E6" s="216">
        <f>forecast!D4</f>
        <v>0</v>
      </c>
      <c r="F6" s="216">
        <f>forecast!E4</f>
        <v>0</v>
      </c>
      <c r="G6" s="216">
        <f>forecast!F4</f>
        <v>0</v>
      </c>
      <c r="H6" s="216">
        <f>forecast!G4</f>
        <v>0</v>
      </c>
      <c r="I6" s="216">
        <f>forecast!H4</f>
        <v>0</v>
      </c>
      <c r="J6" s="216">
        <f>forecast!I4</f>
        <v>0</v>
      </c>
      <c r="K6" s="216">
        <f>forecast!J4</f>
        <v>0</v>
      </c>
      <c r="L6" s="216">
        <f>forecast!K4</f>
        <v>0</v>
      </c>
      <c r="M6" s="216">
        <f>forecast!L4</f>
        <v>0</v>
      </c>
      <c r="N6" s="216">
        <f>forecast!M4</f>
        <v>0</v>
      </c>
      <c r="O6" s="216">
        <f>forecast!N4</f>
        <v>0</v>
      </c>
      <c r="P6" s="216">
        <f>forecast!O4</f>
        <v>0</v>
      </c>
      <c r="Q6" s="216">
        <f>forecast!P4</f>
        <v>0</v>
      </c>
      <c r="R6" s="216">
        <f>forecast!Q4</f>
        <v>0</v>
      </c>
    </row>
    <row r="7" spans="2:18" x14ac:dyDescent="0.35">
      <c r="B7" t="str">
        <f>forecast!A5</f>
        <v>State Purchases (NIPA Consistent)</v>
      </c>
      <c r="C7" t="str">
        <f>forecast!B5</f>
        <v>state_purchases</v>
      </c>
      <c r="D7" s="216">
        <f>forecast!C5</f>
        <v>0</v>
      </c>
      <c r="E7" s="216">
        <f>forecast!D5</f>
        <v>0</v>
      </c>
      <c r="F7" s="216">
        <f>forecast!E5</f>
        <v>0</v>
      </c>
      <c r="G7" s="216">
        <f>forecast!F5</f>
        <v>0</v>
      </c>
      <c r="H7" s="216">
        <f>forecast!G5</f>
        <v>0</v>
      </c>
      <c r="I7" s="216">
        <f>forecast!H5</f>
        <v>0</v>
      </c>
      <c r="J7" s="216">
        <f>forecast!I5</f>
        <v>0</v>
      </c>
      <c r="K7" s="216">
        <f>forecast!J5</f>
        <v>0</v>
      </c>
      <c r="L7" s="216">
        <f>forecast!K5</f>
        <v>0</v>
      </c>
      <c r="M7" s="216">
        <f>forecast!L5</f>
        <v>0</v>
      </c>
      <c r="N7" s="216">
        <f>forecast!M5</f>
        <v>0</v>
      </c>
      <c r="O7" s="216">
        <f>forecast!N5</f>
        <v>0</v>
      </c>
      <c r="P7" s="216">
        <f>forecast!O5</f>
        <v>0</v>
      </c>
      <c r="Q7" s="216">
        <f>forecast!P5</f>
        <v>0</v>
      </c>
      <c r="R7" s="216">
        <f>forecast!Q5</f>
        <v>0</v>
      </c>
    </row>
    <row r="8" spans="2:18" x14ac:dyDescent="0.35">
      <c r="B8" t="str">
        <f>forecast!A6</f>
        <v>Non-ARP Subsidies + ARP Provider Relief and PPP</v>
      </c>
      <c r="C8" t="str">
        <f>forecast!B6</f>
        <v>federal_subsidies</v>
      </c>
      <c r="D8" s="216">
        <f>forecast!C6</f>
        <v>-267.78904</v>
      </c>
      <c r="E8" s="216" t="e">
        <f>forecast!D6</f>
        <v>#DIV/0!</v>
      </c>
      <c r="F8" s="216" t="e">
        <f>forecast!E6</f>
        <v>#DIV/0!</v>
      </c>
      <c r="G8" s="216" t="e">
        <f>forecast!F6</f>
        <v>#DIV/0!</v>
      </c>
      <c r="H8" s="216" t="e">
        <f>forecast!G6</f>
        <v>#DIV/0!</v>
      </c>
      <c r="I8" s="216">
        <f>forecast!H6</f>
        <v>75.736000000000004</v>
      </c>
      <c r="J8" s="216">
        <f>forecast!I6</f>
        <v>75.736000000000004</v>
      </c>
      <c r="K8" s="216">
        <f>forecast!J6</f>
        <v>75.736000000000004</v>
      </c>
      <c r="L8" s="216">
        <f>forecast!K6</f>
        <v>75.736000000000004</v>
      </c>
      <c r="M8" s="216">
        <f>forecast!L6</f>
        <v>74.060000000000016</v>
      </c>
      <c r="N8" s="216">
        <f>forecast!M6</f>
        <v>74.060000000000016</v>
      </c>
      <c r="O8" s="216">
        <f>forecast!N6</f>
        <v>74.060000000000016</v>
      </c>
      <c r="P8" s="216">
        <f>forecast!O6</f>
        <v>74.060000000000016</v>
      </c>
      <c r="Q8" s="216">
        <f>forecast!P6</f>
        <v>77.001000000000005</v>
      </c>
      <c r="R8" s="216">
        <f>forecast!Q6</f>
        <v>77.001000000000005</v>
      </c>
    </row>
    <row r="9" spans="2:18" x14ac:dyDescent="0.35">
      <c r="B9" t="str">
        <f>forecast!A7</f>
        <v>ARP Subsidies less Provider Relief and PPP</v>
      </c>
      <c r="C9" t="str">
        <f>forecast!B7</f>
        <v>federal_aid_to_small_businesses_arp</v>
      </c>
      <c r="D9" s="216">
        <f>forecast!C7</f>
        <v>267.78904</v>
      </c>
      <c r="E9" s="216">
        <f>forecast!D7</f>
        <v>110.24799999999999</v>
      </c>
      <c r="F9" s="216">
        <f>forecast!E7</f>
        <v>110.24799999999999</v>
      </c>
      <c r="G9" s="216">
        <f>forecast!F7</f>
        <v>110.24799999999999</v>
      </c>
      <c r="H9" s="216">
        <f>forecast!G7</f>
        <v>110.24799999999999</v>
      </c>
      <c r="I9" s="216">
        <f>forecast!H7</f>
        <v>12.726000000000001</v>
      </c>
      <c r="J9" s="216">
        <f>forecast!I7</f>
        <v>12.726000000000001</v>
      </c>
      <c r="K9" s="216">
        <f>forecast!J7</f>
        <v>12.726000000000001</v>
      </c>
      <c r="L9" s="216">
        <f>forecast!K7</f>
        <v>12.726000000000001</v>
      </c>
      <c r="M9" s="216">
        <f>forecast!L7</f>
        <v>1.365</v>
      </c>
      <c r="N9" s="216">
        <f>forecast!M7</f>
        <v>1.365</v>
      </c>
      <c r="O9" s="216">
        <f>forecast!N7</f>
        <v>1.365</v>
      </c>
      <c r="P9" s="216">
        <f>forecast!O7</f>
        <v>1.365</v>
      </c>
      <c r="Q9" s="216">
        <f>forecast!P7</f>
        <v>-0.90100000000000025</v>
      </c>
      <c r="R9" s="216">
        <f>forecast!Q7</f>
        <v>-0.90100000000000025</v>
      </c>
    </row>
    <row r="10" spans="2:18" x14ac:dyDescent="0.35">
      <c r="B10" t="str">
        <f>forecast!A8</f>
        <v>Federal UI</v>
      </c>
      <c r="C10" t="str">
        <f>forecast!B8</f>
        <v>federal_ui</v>
      </c>
      <c r="D10" s="216">
        <f>forecast!C8</f>
        <v>0</v>
      </c>
      <c r="E10" s="216">
        <f>forecast!D8</f>
        <v>0</v>
      </c>
      <c r="F10" s="216">
        <f>forecast!E8</f>
        <v>0</v>
      </c>
      <c r="G10" s="216">
        <f>forecast!F8</f>
        <v>0</v>
      </c>
      <c r="H10" s="216">
        <f>forecast!G8</f>
        <v>0</v>
      </c>
      <c r="I10" s="216">
        <f>forecast!H8</f>
        <v>0</v>
      </c>
      <c r="J10" s="216">
        <f>forecast!I8</f>
        <v>0</v>
      </c>
      <c r="K10" s="216">
        <f>forecast!J8</f>
        <v>0</v>
      </c>
      <c r="L10" s="216">
        <f>forecast!K8</f>
        <v>0</v>
      </c>
      <c r="M10" s="216">
        <f>forecast!L8</f>
        <v>0</v>
      </c>
      <c r="N10" s="216">
        <f>forecast!M8</f>
        <v>0</v>
      </c>
      <c r="O10" s="216">
        <f>forecast!N8</f>
        <v>0</v>
      </c>
      <c r="P10" s="216">
        <f>forecast!O8</f>
        <v>0</v>
      </c>
      <c r="Q10" s="216">
        <f>forecast!P8</f>
        <v>0</v>
      </c>
      <c r="R10" s="216">
        <f>forecast!Q8</f>
        <v>0</v>
      </c>
    </row>
    <row r="11" spans="2:18" x14ac:dyDescent="0.35">
      <c r="B11" t="str">
        <f>forecast!A9</f>
        <v>State UI</v>
      </c>
      <c r="C11" t="str">
        <f>forecast!B9</f>
        <v>state_ui</v>
      </c>
      <c r="D11" s="216">
        <f>forecast!C9</f>
        <v>0</v>
      </c>
      <c r="E11" s="216">
        <f>forecast!D9</f>
        <v>0</v>
      </c>
      <c r="F11" s="216">
        <f>forecast!E9</f>
        <v>0</v>
      </c>
      <c r="G11" s="216">
        <f>forecast!F9</f>
        <v>0</v>
      </c>
      <c r="H11" s="216">
        <f>forecast!G9</f>
        <v>0</v>
      </c>
      <c r="I11" s="216">
        <f>forecast!H9</f>
        <v>0</v>
      </c>
      <c r="J11" s="216">
        <f>forecast!I9</f>
        <v>0</v>
      </c>
      <c r="K11" s="216">
        <f>forecast!J9</f>
        <v>0</v>
      </c>
      <c r="L11" s="216">
        <f>forecast!K9</f>
        <v>0</v>
      </c>
      <c r="M11" s="216">
        <f>forecast!L9</f>
        <v>0</v>
      </c>
      <c r="N11" s="216">
        <f>forecast!M9</f>
        <v>0</v>
      </c>
      <c r="O11" s="216">
        <f>forecast!N9</f>
        <v>0</v>
      </c>
      <c r="P11" s="216">
        <f>forecast!O9</f>
        <v>0</v>
      </c>
      <c r="Q11" s="216">
        <f>forecast!P9</f>
        <v>0</v>
      </c>
      <c r="R11" s="216">
        <f>forecast!Q9</f>
        <v>0</v>
      </c>
    </row>
    <row r="12" spans="2:18" x14ac:dyDescent="0.35">
      <c r="B12" t="str">
        <f>forecast!A10</f>
        <v>Federal Medicaid</v>
      </c>
      <c r="C12" t="str">
        <f>forecast!B10</f>
        <v>medicaid_grants</v>
      </c>
      <c r="D12" s="216">
        <f>forecast!C10</f>
        <v>0</v>
      </c>
      <c r="E12" s="216" t="e">
        <f>forecast!D10</f>
        <v>#DIV/0!</v>
      </c>
      <c r="F12" s="216" t="e">
        <f>forecast!E10</f>
        <v>#DIV/0!</v>
      </c>
      <c r="G12" s="216" t="e">
        <f>forecast!F10</f>
        <v>#DIV/0!</v>
      </c>
      <c r="H12" s="216" t="e">
        <f>forecast!G10</f>
        <v>#DIV/0!</v>
      </c>
      <c r="I12" s="216" t="e">
        <f>forecast!H10</f>
        <v>#DIV/0!</v>
      </c>
      <c r="J12" s="216" t="e">
        <f>forecast!I10</f>
        <v>#DIV/0!</v>
      </c>
      <c r="K12" s="216" t="e">
        <f>forecast!J10</f>
        <v>#DIV/0!</v>
      </c>
      <c r="L12" s="216" t="e">
        <f>forecast!K10</f>
        <v>#DIV/0!</v>
      </c>
      <c r="M12" s="216" t="e">
        <f>forecast!L10</f>
        <v>#DIV/0!</v>
      </c>
      <c r="N12" s="216" t="e">
        <f>forecast!M10</f>
        <v>#DIV/0!</v>
      </c>
      <c r="O12" s="216" t="e">
        <f>forecast!N10</f>
        <v>#DIV/0!</v>
      </c>
      <c r="P12" s="216" t="e">
        <f>forecast!O10</f>
        <v>#DIV/0!</v>
      </c>
      <c r="Q12" s="216" t="e">
        <f>forecast!P10</f>
        <v>#DIV/0!</v>
      </c>
      <c r="R12" s="216" t="e">
        <f>forecast!Q10</f>
        <v>#DIV/0!</v>
      </c>
    </row>
    <row r="13" spans="2:18" x14ac:dyDescent="0.35">
      <c r="B13" t="str">
        <f>forecast!A11</f>
        <v>Total Medicaid</v>
      </c>
      <c r="C13" t="str">
        <f>forecast!B11</f>
        <v>medicaid</v>
      </c>
      <c r="D13" s="216">
        <f>forecast!C11</f>
        <v>0</v>
      </c>
      <c r="E13" s="216" t="e">
        <f>forecast!D11</f>
        <v>#DIV/0!</v>
      </c>
      <c r="F13" s="216" t="e">
        <f>forecast!E11</f>
        <v>#DIV/0!</v>
      </c>
      <c r="G13" s="216" t="e">
        <f>forecast!F11</f>
        <v>#DIV/0!</v>
      </c>
      <c r="H13" s="216" t="e">
        <f>forecast!G11</f>
        <v>#DIV/0!</v>
      </c>
      <c r="I13" s="216" t="e">
        <f>forecast!H11</f>
        <v>#DIV/0!</v>
      </c>
      <c r="J13" s="216" t="e">
        <f>forecast!I11</f>
        <v>#DIV/0!</v>
      </c>
      <c r="K13" s="216" t="e">
        <f>forecast!J11</f>
        <v>#DIV/0!</v>
      </c>
      <c r="L13" s="216" t="e">
        <f>forecast!K11</f>
        <v>#DIV/0!</v>
      </c>
      <c r="M13" s="216" t="e">
        <f>forecast!L11</f>
        <v>#DIV/0!</v>
      </c>
      <c r="N13" s="216" t="e">
        <f>forecast!M11</f>
        <v>#DIV/0!</v>
      </c>
      <c r="O13" s="216" t="e">
        <f>forecast!N11</f>
        <v>#DIV/0!</v>
      </c>
      <c r="P13" s="216" t="e">
        <f>forecast!O11</f>
        <v>#DIV/0!</v>
      </c>
      <c r="Q13" s="216" t="e">
        <f>forecast!P11</f>
        <v>#DIV/0!</v>
      </c>
      <c r="R13" s="216" t="e">
        <f>forecast!Q11</f>
        <v>#DIV/0!</v>
      </c>
    </row>
    <row r="14" spans="2:18" x14ac:dyDescent="0.35">
      <c r="B14" t="str">
        <f>forecast!A12</f>
        <v>Medicare</v>
      </c>
      <c r="C14" t="str">
        <f>forecast!B12</f>
        <v>medicare</v>
      </c>
      <c r="D14" s="216">
        <f>forecast!C12</f>
        <v>0</v>
      </c>
      <c r="E14" s="216">
        <f>forecast!D12</f>
        <v>-0.24817867266275329</v>
      </c>
      <c r="F14" s="216">
        <f>forecast!E12</f>
        <v>-16.514588757086585</v>
      </c>
      <c r="G14" s="216">
        <f>forecast!F12</f>
        <v>-16.78598013313465</v>
      </c>
      <c r="H14" s="216">
        <f>forecast!G12</f>
        <v>-31.062445940172523</v>
      </c>
      <c r="I14" s="216">
        <f>forecast!H12</f>
        <v>-31.344081059070202</v>
      </c>
      <c r="J14" s="216">
        <f>forecast!I12</f>
        <v>-31.630547174254353</v>
      </c>
      <c r="K14" s="216">
        <f>forecast!J12</f>
        <v>-31.922361464727253</v>
      </c>
      <c r="L14" s="216">
        <f>forecast!K12</f>
        <v>-32.219623778175603</v>
      </c>
      <c r="M14" s="216">
        <f>forecast!L12</f>
        <v>-32.52243582639116</v>
      </c>
      <c r="N14" s="216">
        <f>forecast!M12</f>
        <v>-32.826488519509027</v>
      </c>
      <c r="O14" s="216">
        <f>forecast!N12</f>
        <v>-33.13613651595648</v>
      </c>
      <c r="P14" s="216">
        <f>forecast!O12</f>
        <v>-33.45148278281804</v>
      </c>
      <c r="Q14" s="216">
        <f>forecast!P12</f>
        <v>-33.772632182021063</v>
      </c>
      <c r="R14" s="216">
        <f>forecast!Q12</f>
        <v>-34.099691505205442</v>
      </c>
    </row>
    <row r="15" spans="2:18" x14ac:dyDescent="0.35">
      <c r="B15" t="str">
        <f>forecast!A13</f>
        <v>Non-ARP Rebate Checks</v>
      </c>
      <c r="C15" t="str">
        <f>forecast!B13</f>
        <v>rebate_checks</v>
      </c>
      <c r="D15" s="216">
        <f>forecast!C13</f>
        <v>0</v>
      </c>
      <c r="E15" s="216">
        <f>forecast!D13</f>
        <v>0</v>
      </c>
      <c r="F15" s="216">
        <f>forecast!E13</f>
        <v>0</v>
      </c>
      <c r="G15" s="216">
        <f>forecast!F13</f>
        <v>0</v>
      </c>
      <c r="H15" s="216">
        <f>forecast!G13</f>
        <v>0</v>
      </c>
      <c r="I15" s="216">
        <f>forecast!H13</f>
        <v>0</v>
      </c>
      <c r="J15" s="216">
        <f>forecast!I13</f>
        <v>0</v>
      </c>
      <c r="K15" s="216">
        <f>forecast!J13</f>
        <v>0</v>
      </c>
      <c r="L15" s="216">
        <f>forecast!K13</f>
        <v>0</v>
      </c>
      <c r="M15" s="216">
        <f>forecast!L13</f>
        <v>0</v>
      </c>
      <c r="N15" s="216">
        <f>forecast!M13</f>
        <v>0</v>
      </c>
      <c r="O15" s="216">
        <f>forecast!N13</f>
        <v>0</v>
      </c>
      <c r="P15" s="216">
        <f>forecast!O13</f>
        <v>0</v>
      </c>
      <c r="Q15" s="216">
        <f>forecast!P13</f>
        <v>0</v>
      </c>
      <c r="R15" s="216">
        <f>forecast!Q13</f>
        <v>0</v>
      </c>
    </row>
    <row r="16" spans="2:18" x14ac:dyDescent="0.35">
      <c r="B16" t="str">
        <f>forecast!A14</f>
        <v>ARP Rebate Checks</v>
      </c>
      <c r="C16" t="str">
        <f>forecast!B14</f>
        <v>rebate_checks_arp</v>
      </c>
      <c r="D16" s="216">
        <f>forecast!C14</f>
        <v>0</v>
      </c>
      <c r="E16" s="216">
        <f>forecast!D14</f>
        <v>0</v>
      </c>
      <c r="F16" s="216">
        <f>forecast!E14</f>
        <v>14.93</v>
      </c>
      <c r="G16" s="216">
        <f>forecast!F14</f>
        <v>14.93</v>
      </c>
      <c r="H16" s="216">
        <f>forecast!G14</f>
        <v>0</v>
      </c>
      <c r="I16" s="216">
        <f>forecast!H14</f>
        <v>0</v>
      </c>
      <c r="J16" s="216">
        <f>forecast!I14</f>
        <v>0</v>
      </c>
      <c r="K16" s="216">
        <f>forecast!J14</f>
        <v>0</v>
      </c>
      <c r="L16" s="216">
        <f>forecast!K14</f>
        <v>0</v>
      </c>
      <c r="M16" s="216">
        <f>forecast!L14</f>
        <v>0</v>
      </c>
      <c r="N16" s="216">
        <f>forecast!M14</f>
        <v>0</v>
      </c>
      <c r="O16" s="216">
        <f>forecast!N14</f>
        <v>0</v>
      </c>
      <c r="P16" s="216">
        <f>forecast!O14</f>
        <v>0</v>
      </c>
      <c r="Q16" s="216">
        <f>forecast!P14</f>
        <v>0</v>
      </c>
      <c r="R16" s="216">
        <f>forecast!Q14</f>
        <v>0</v>
      </c>
    </row>
    <row r="17" spans="2:18" x14ac:dyDescent="0.35">
      <c r="B17" t="str">
        <f>forecast!A15</f>
        <v>ARP Other Vulnerable</v>
      </c>
      <c r="C17" t="str">
        <f>forecast!B15</f>
        <v>federal_other_vulnerable_arp</v>
      </c>
      <c r="D17" s="216">
        <f>forecast!C15</f>
        <v>137.43936000000005</v>
      </c>
      <c r="E17" s="216">
        <f>forecast!D15</f>
        <v>52.756999999999998</v>
      </c>
      <c r="F17" s="216">
        <f>forecast!E15</f>
        <v>52.756999999999998</v>
      </c>
      <c r="G17" s="216">
        <f>forecast!F15</f>
        <v>52.756999999999998</v>
      </c>
      <c r="H17" s="216">
        <f>forecast!G15</f>
        <v>52.756999999999998</v>
      </c>
      <c r="I17" s="216">
        <f>forecast!H15</f>
        <v>12</v>
      </c>
      <c r="J17" s="216">
        <f>forecast!I15</f>
        <v>12</v>
      </c>
      <c r="K17" s="216">
        <f>forecast!J15</f>
        <v>12</v>
      </c>
      <c r="L17" s="216">
        <f>forecast!K15</f>
        <v>12</v>
      </c>
      <c r="M17" s="216">
        <f>forecast!L15</f>
        <v>4.2219999999999995</v>
      </c>
      <c r="N17" s="216">
        <f>forecast!M15</f>
        <v>4.2219999999999995</v>
      </c>
      <c r="O17" s="216">
        <f>forecast!N15</f>
        <v>4.2219999999999995</v>
      </c>
      <c r="P17" s="216">
        <f>forecast!O15</f>
        <v>4.2219999999999995</v>
      </c>
      <c r="Q17" s="216">
        <f>forecast!P15</f>
        <v>2.3719999999999999</v>
      </c>
      <c r="R17" s="216">
        <f>forecast!Q15</f>
        <v>2.3719999999999999</v>
      </c>
    </row>
    <row r="18" spans="2:18" x14ac:dyDescent="0.35">
      <c r="B18" t="str">
        <f>forecast!A16</f>
        <v>ARP Other Direct Aid</v>
      </c>
      <c r="C18" t="str">
        <f>forecast!B16</f>
        <v>federal_other_direct_aid_arp</v>
      </c>
      <c r="D18" s="216">
        <f>forecast!C16</f>
        <v>203.10400000000004</v>
      </c>
      <c r="E18" s="216">
        <f>forecast!D16</f>
        <v>74.718999999999994</v>
      </c>
      <c r="F18" s="216">
        <f>forecast!E16</f>
        <v>74.718999999999994</v>
      </c>
      <c r="G18" s="216">
        <f>forecast!F16</f>
        <v>74.718999999999994</v>
      </c>
      <c r="H18" s="216">
        <f>forecast!G16</f>
        <v>74.718999999999994</v>
      </c>
      <c r="I18" s="216">
        <f>forecast!H16</f>
        <v>2.1159999999999997</v>
      </c>
      <c r="J18" s="216">
        <f>forecast!I16</f>
        <v>2.1159999999999997</v>
      </c>
      <c r="K18" s="216">
        <f>forecast!J16</f>
        <v>2.1159999999999997</v>
      </c>
      <c r="L18" s="216">
        <f>forecast!K16</f>
        <v>2.1159999999999997</v>
      </c>
      <c r="M18" s="216">
        <f>forecast!L16</f>
        <v>2.1789999999999998</v>
      </c>
      <c r="N18" s="216">
        <f>forecast!M16</f>
        <v>2.1789999999999998</v>
      </c>
      <c r="O18" s="216">
        <f>forecast!N16</f>
        <v>2.1789999999999998</v>
      </c>
      <c r="P18" s="216">
        <f>forecast!O16</f>
        <v>2.1789999999999998</v>
      </c>
      <c r="Q18" s="216">
        <f>forecast!P16</f>
        <v>2.33</v>
      </c>
      <c r="R18" s="216">
        <f>forecast!Q16</f>
        <v>2.33</v>
      </c>
    </row>
    <row r="19" spans="2:18" x14ac:dyDescent="0.35">
      <c r="B19" t="str">
        <f>forecast!A17</f>
        <v>Other Federal Social Benefits (including all SNAP)</v>
      </c>
      <c r="C19" t="str">
        <f>forecast!B17</f>
        <v>federal_social_benefits</v>
      </c>
      <c r="D19" s="216" t="e">
        <f>forecast!C17</f>
        <v>#VALUE!</v>
      </c>
      <c r="E19" s="216" t="e">
        <f>forecast!D17</f>
        <v>#VALUE!</v>
      </c>
      <c r="F19" s="216">
        <f>forecast!E17</f>
        <v>1710.3262120071224</v>
      </c>
      <c r="G19" s="216">
        <f>forecast!F17</f>
        <v>1712.4262120071226</v>
      </c>
      <c r="H19" s="216">
        <f>forecast!G17</f>
        <v>1704.5262120071227</v>
      </c>
      <c r="I19" s="216">
        <f>forecast!H17</f>
        <v>1706.6262120071228</v>
      </c>
      <c r="J19" s="216">
        <f>forecast!I17</f>
        <v>1783.9785508694649</v>
      </c>
      <c r="K19" s="216">
        <f>forecast!J17</f>
        <v>1791.0785508694651</v>
      </c>
      <c r="L19" s="216">
        <f>forecast!K17</f>
        <v>1798.1785508694652</v>
      </c>
      <c r="M19" s="216">
        <f>forecast!L17</f>
        <v>1805.2785508694653</v>
      </c>
      <c r="N19" s="216">
        <f>forecast!M17</f>
        <v>1878.701320206336</v>
      </c>
      <c r="O19" s="216">
        <f>forecast!N17</f>
        <v>1885.8013202063362</v>
      </c>
      <c r="P19" s="216">
        <f>forecast!O17</f>
        <v>1892.9013202063363</v>
      </c>
      <c r="Q19" s="216">
        <f>forecast!P17</f>
        <v>1900.0013202063365</v>
      </c>
      <c r="R19" s="216">
        <f>forecast!Q17</f>
        <v>1907.1013202063366</v>
      </c>
    </row>
    <row r="20" spans="2:18" x14ac:dyDescent="0.35">
      <c r="B20" t="str">
        <f>forecast!A18</f>
        <v>State Social Benefits ex Medicaid</v>
      </c>
      <c r="C20" t="str">
        <f>forecast!B18</f>
        <v>state_social_benefits</v>
      </c>
      <c r="D20" s="216">
        <f>forecast!C18</f>
        <v>0</v>
      </c>
      <c r="E20" s="216">
        <f>forecast!D18</f>
        <v>0</v>
      </c>
      <c r="F20" s="216">
        <f>forecast!E18</f>
        <v>0</v>
      </c>
      <c r="G20" s="216">
        <f>forecast!F18</f>
        <v>0</v>
      </c>
      <c r="H20" s="216">
        <f>forecast!G18</f>
        <v>0</v>
      </c>
      <c r="I20" s="216">
        <f>forecast!H18</f>
        <v>0</v>
      </c>
      <c r="J20" s="216">
        <f>forecast!I18</f>
        <v>0</v>
      </c>
      <c r="K20" s="216">
        <f>forecast!J18</f>
        <v>0</v>
      </c>
      <c r="L20" s="216">
        <f>forecast!K18</f>
        <v>0</v>
      </c>
      <c r="M20" s="216">
        <f>forecast!L18</f>
        <v>0</v>
      </c>
      <c r="N20" s="216">
        <f>forecast!M18</f>
        <v>0</v>
      </c>
      <c r="O20" s="216">
        <f>forecast!N18</f>
        <v>0</v>
      </c>
      <c r="P20" s="216">
        <f>forecast!O18</f>
        <v>0</v>
      </c>
      <c r="Q20" s="216">
        <f>forecast!P18</f>
        <v>0</v>
      </c>
      <c r="R20" s="216">
        <f>forecast!Q18</f>
        <v>0</v>
      </c>
    </row>
    <row r="21" spans="2:18" x14ac:dyDescent="0.35">
      <c r="B21" t="str">
        <f>forecast!A19</f>
        <v>Federal Non-Corporate Taxes</v>
      </c>
      <c r="C21" t="str">
        <f>forecast!B19</f>
        <v>federal_non_corporate_taxes</v>
      </c>
      <c r="D21" s="216">
        <f>forecast!C19</f>
        <v>0</v>
      </c>
      <c r="E21" s="216">
        <f>forecast!D19</f>
        <v>0</v>
      </c>
      <c r="F21" s="216">
        <f>forecast!E19</f>
        <v>3790.7238057954069</v>
      </c>
      <c r="G21" s="216">
        <f>forecast!F19</f>
        <v>3840.889887743801</v>
      </c>
      <c r="H21" s="216">
        <f>forecast!G19</f>
        <v>3887.0163916019224</v>
      </c>
      <c r="I21" s="216">
        <f>forecast!H19</f>
        <v>3930.0199767154968</v>
      </c>
      <c r="J21" s="216">
        <f>forecast!I19</f>
        <v>3964.5192614697726</v>
      </c>
      <c r="K21" s="216">
        <f>forecast!J19</f>
        <v>4003.335054718309</v>
      </c>
      <c r="L21" s="216">
        <f>forecast!K19</f>
        <v>4041.8237980896938</v>
      </c>
      <c r="M21" s="216">
        <f>forecast!L19</f>
        <v>4079.4959409347007</v>
      </c>
      <c r="N21" s="216">
        <f>forecast!M19</f>
        <v>4115.8988989802419</v>
      </c>
      <c r="O21" s="216">
        <f>forecast!N19</f>
        <v>4151.9534136676202</v>
      </c>
      <c r="P21" s="216">
        <f>forecast!O19</f>
        <v>4189.6512564334271</v>
      </c>
      <c r="Q21" s="216">
        <f>forecast!P19</f>
        <v>4227.3775725223713</v>
      </c>
      <c r="R21" s="216">
        <f>forecast!Q19</f>
        <v>4266.1932043264842</v>
      </c>
    </row>
    <row r="22" spans="2:18" x14ac:dyDescent="0.35">
      <c r="B22" t="str">
        <f>forecast!A20</f>
        <v>State Non-Corporate Taxes</v>
      </c>
      <c r="C22" t="str">
        <f>forecast!B20</f>
        <v>state_non_corporate_taxes</v>
      </c>
      <c r="D22" s="216">
        <f>forecast!C20</f>
        <v>0</v>
      </c>
      <c r="E22" s="216" t="e">
        <f>forecast!D20</f>
        <v>#DIV/0!</v>
      </c>
      <c r="F22" s="216" t="e">
        <f>forecast!E20</f>
        <v>#DIV/0!</v>
      </c>
      <c r="G22" s="216" t="e">
        <f>forecast!F20</f>
        <v>#DIV/0!</v>
      </c>
      <c r="H22" s="216" t="e">
        <f>forecast!G20</f>
        <v>#DIV/0!</v>
      </c>
      <c r="I22" s="216" t="e">
        <f>forecast!H20</f>
        <v>#DIV/0!</v>
      </c>
      <c r="J22" s="216" t="e">
        <f>forecast!I20</f>
        <v>#DIV/0!</v>
      </c>
      <c r="K22" s="216" t="e">
        <f>forecast!J20</f>
        <v>#DIV/0!</v>
      </c>
      <c r="L22" s="216" t="e">
        <f>forecast!K20</f>
        <v>#DIV/0!</v>
      </c>
      <c r="M22" s="216" t="e">
        <f>forecast!L20</f>
        <v>#DIV/0!</v>
      </c>
      <c r="N22" s="216" t="e">
        <f>forecast!M20</f>
        <v>#DIV/0!</v>
      </c>
      <c r="O22" s="216" t="e">
        <f>forecast!N20</f>
        <v>#DIV/0!</v>
      </c>
      <c r="P22" s="216" t="e">
        <f>forecast!O20</f>
        <v>#DIV/0!</v>
      </c>
      <c r="Q22" s="216" t="e">
        <f>forecast!P20</f>
        <v>#DIV/0!</v>
      </c>
      <c r="R22" s="216" t="e">
        <f>forecast!Q20</f>
        <v>#DIV/0!</v>
      </c>
    </row>
    <row r="23" spans="2:18" x14ac:dyDescent="0.35">
      <c r="B23" t="str">
        <f>forecast!A21</f>
        <v>Federal Corporate Taxes</v>
      </c>
      <c r="C23" t="str">
        <f>forecast!B21</f>
        <v>federal_corporate_taxes</v>
      </c>
      <c r="D23" s="216">
        <f>forecast!C21</f>
        <v>0</v>
      </c>
      <c r="E23" s="216">
        <f>forecast!D21</f>
        <v>0</v>
      </c>
      <c r="F23" s="216">
        <f>forecast!E21</f>
        <v>331.9957125021694</v>
      </c>
      <c r="G23" s="216">
        <f>forecast!F21</f>
        <v>337.72752744381148</v>
      </c>
      <c r="H23" s="216">
        <f>forecast!G21</f>
        <v>339.30096683955634</v>
      </c>
      <c r="I23" s="216">
        <f>forecast!H21</f>
        <v>339.07618978302133</v>
      </c>
      <c r="J23" s="216">
        <f>forecast!I21</f>
        <v>337.39036185900898</v>
      </c>
      <c r="K23" s="216">
        <f>forecast!J21</f>
        <v>334.46826012405421</v>
      </c>
      <c r="L23" s="216">
        <f>forecast!K21</f>
        <v>332.67004367177435</v>
      </c>
      <c r="M23" s="216">
        <f>forecast!L21</f>
        <v>332.67004367177435</v>
      </c>
      <c r="N23" s="216">
        <f>forecast!M21</f>
        <v>332.1755341473974</v>
      </c>
      <c r="O23" s="216">
        <f>forecast!N21</f>
        <v>333.80516780727601</v>
      </c>
      <c r="P23" s="216">
        <f>forecast!O21</f>
        <v>335.18754670496617</v>
      </c>
      <c r="Q23" s="216">
        <f>forecast!P21</f>
        <v>337.08691283268678</v>
      </c>
      <c r="R23" s="216">
        <f>forecast!Q21</f>
        <v>337.99725991165343</v>
      </c>
    </row>
    <row r="24" spans="2:18" x14ac:dyDescent="0.35">
      <c r="B24" t="str">
        <f>forecast!A22</f>
        <v>State Corporate Taxes</v>
      </c>
      <c r="C24" t="str">
        <f>forecast!B22</f>
        <v>state_corporate_taxes</v>
      </c>
      <c r="D24" s="216">
        <f>forecast!C22</f>
        <v>0</v>
      </c>
      <c r="E24" s="216" t="e">
        <f>forecast!D22</f>
        <v>#VALUE!</v>
      </c>
      <c r="F24" s="216" t="e">
        <f>forecast!E22</f>
        <v>#VALUE!</v>
      </c>
      <c r="G24" s="216" t="e">
        <f>forecast!F22</f>
        <v>#VALUE!</v>
      </c>
      <c r="H24" s="216" t="e">
        <f>forecast!G22</f>
        <v>#VALUE!</v>
      </c>
      <c r="I24" s="216" t="e">
        <f>forecast!H22</f>
        <v>#VALUE!</v>
      </c>
      <c r="J24" s="216" t="e">
        <f>forecast!I22</f>
        <v>#VALUE!</v>
      </c>
      <c r="K24" s="216" t="e">
        <f>forecast!J22</f>
        <v>#VALUE!</v>
      </c>
      <c r="L24" s="216" t="e">
        <f>forecast!K22</f>
        <v>#VALUE!</v>
      </c>
      <c r="M24" s="216" t="e">
        <f>forecast!L22</f>
        <v>#VALUE!</v>
      </c>
      <c r="N24" s="216" t="e">
        <f>forecast!M22</f>
        <v>#VALUE!</v>
      </c>
      <c r="O24" s="216" t="e">
        <f>forecast!N22</f>
        <v>#VALUE!</v>
      </c>
      <c r="P24" s="216" t="e">
        <f>forecast!O22</f>
        <v>#VALUE!</v>
      </c>
      <c r="Q24" s="216" t="e">
        <f>forecast!P22</f>
        <v>#VALUE!</v>
      </c>
      <c r="R24" s="216" t="e">
        <f>forecast!Q22</f>
        <v>#VALUE!</v>
      </c>
    </row>
    <row r="27" spans="2:18" x14ac:dyDescent="0.35">
      <c r="B27" s="1026" t="s">
        <v>229</v>
      </c>
      <c r="C27" s="1026"/>
      <c r="D27" s="1026"/>
      <c r="E27" s="1026"/>
      <c r="F27" s="1026"/>
      <c r="G27" s="1026"/>
      <c r="H27" s="1026"/>
      <c r="I27" s="1026"/>
      <c r="J27" s="1026"/>
      <c r="K27" s="1026"/>
      <c r="L27" s="1026"/>
      <c r="M27" s="1026"/>
      <c r="N27" s="1026"/>
      <c r="O27" s="1026"/>
      <c r="P27" s="1026"/>
      <c r="Q27" s="1026"/>
      <c r="R27" s="1026"/>
    </row>
    <row r="28" spans="2:18" x14ac:dyDescent="0.35">
      <c r="B28" t="s">
        <v>230</v>
      </c>
      <c r="C28" t="s">
        <v>231</v>
      </c>
      <c r="D28" t="s">
        <v>232</v>
      </c>
      <c r="E28" t="s">
        <v>233</v>
      </c>
      <c r="F28" t="s">
        <v>234</v>
      </c>
      <c r="G28" t="s">
        <v>235</v>
      </c>
      <c r="H28" t="s">
        <v>236</v>
      </c>
      <c r="I28" t="s">
        <v>237</v>
      </c>
      <c r="J28" t="s">
        <v>238</v>
      </c>
      <c r="K28" t="s">
        <v>239</v>
      </c>
      <c r="L28" t="s">
        <v>240</v>
      </c>
      <c r="M28" t="s">
        <v>241</v>
      </c>
      <c r="N28" t="s">
        <v>242</v>
      </c>
      <c r="O28" t="s">
        <v>243</v>
      </c>
      <c r="P28" t="s">
        <v>226</v>
      </c>
      <c r="Q28" t="s">
        <v>227</v>
      </c>
      <c r="R28" t="s">
        <v>228</v>
      </c>
    </row>
    <row r="29" spans="2:18" x14ac:dyDescent="0.35">
      <c r="B29" t="s">
        <v>244</v>
      </c>
      <c r="C29" t="s">
        <v>245</v>
      </c>
      <c r="D29" s="216">
        <v>357.37317644110277</v>
      </c>
      <c r="E29" s="216">
        <v>393.13708782957406</v>
      </c>
      <c r="F29" s="216">
        <v>401.59684440561404</v>
      </c>
      <c r="G29" s="216">
        <v>419.69377636126723</v>
      </c>
      <c r="H29" s="216">
        <v>438.34081535917659</v>
      </c>
      <c r="I29" s="216">
        <v>458.27990750346845</v>
      </c>
      <c r="J29" s="216">
        <v>478.97760180360723</v>
      </c>
      <c r="K29" s="216">
        <v>471.71644350775153</v>
      </c>
      <c r="L29" s="216">
        <v>479.39300748806158</v>
      </c>
      <c r="M29" s="216">
        <v>492.73634954758404</v>
      </c>
      <c r="N29" s="216">
        <v>481.54983616948743</v>
      </c>
      <c r="O29" s="741">
        <v>473.87554213626697</v>
      </c>
      <c r="P29" s="741">
        <v>489.00698046171772</v>
      </c>
      <c r="Q29" s="741">
        <v>503.86304218018643</v>
      </c>
      <c r="R29" s="741">
        <v>511.23178213939389</v>
      </c>
    </row>
    <row r="30" spans="2:18" x14ac:dyDescent="0.35">
      <c r="B30" t="s">
        <v>184</v>
      </c>
      <c r="C30" t="s">
        <v>246</v>
      </c>
      <c r="D30" s="216">
        <v>75.205285714285722</v>
      </c>
      <c r="E30" s="216">
        <v>75.205285714285722</v>
      </c>
      <c r="F30" s="216">
        <v>75.205285714285722</v>
      </c>
      <c r="G30" s="216">
        <v>75.205285714285722</v>
      </c>
      <c r="H30" s="216">
        <v>75.205285714285722</v>
      </c>
      <c r="I30" s="216">
        <v>75.205285714285722</v>
      </c>
      <c r="J30" s="216">
        <v>75.205285714285722</v>
      </c>
      <c r="K30" s="216">
        <v>75.205285714285722</v>
      </c>
      <c r="L30" s="216">
        <v>75.205285714285722</v>
      </c>
      <c r="M30" s="216">
        <v>75.205285714285722</v>
      </c>
      <c r="N30" s="216">
        <v>75.205285714285722</v>
      </c>
      <c r="O30" s="741">
        <v>75.205285714285722</v>
      </c>
      <c r="P30" s="741">
        <v>75.205285714285722</v>
      </c>
      <c r="Q30" s="741">
        <v>75.205285714285722</v>
      </c>
      <c r="R30" s="741">
        <v>75.205285714285722</v>
      </c>
    </row>
    <row r="31" spans="2:18" x14ac:dyDescent="0.35">
      <c r="B31" t="s">
        <v>247</v>
      </c>
      <c r="C31" t="s">
        <v>248</v>
      </c>
      <c r="D31" s="216">
        <v>1574.4706324651618</v>
      </c>
      <c r="E31" s="216">
        <v>1586.3910806856957</v>
      </c>
      <c r="F31" s="216">
        <v>1598.4948253539787</v>
      </c>
      <c r="G31" s="216">
        <v>1600.4852269719188</v>
      </c>
      <c r="H31" s="216">
        <v>1599.8246179233195</v>
      </c>
      <c r="I31" s="216">
        <v>1599.9925730575819</v>
      </c>
      <c r="J31" s="216">
        <v>1604.2713586599725</v>
      </c>
      <c r="K31" s="216">
        <v>1610.249863080161</v>
      </c>
      <c r="L31" s="216">
        <v>1617.9041839311014</v>
      </c>
      <c r="M31" s="216">
        <v>1626.9012547503785</v>
      </c>
      <c r="N31" s="216">
        <v>1635.7763242754954</v>
      </c>
      <c r="O31" s="741">
        <v>1644.6998090678856</v>
      </c>
      <c r="P31" s="741">
        <v>1654.0763434825342</v>
      </c>
      <c r="Q31" s="741">
        <v>1663.0996585149583</v>
      </c>
      <c r="R31" s="741">
        <v>1673.3979812645641</v>
      </c>
    </row>
    <row r="32" spans="2:18" x14ac:dyDescent="0.35">
      <c r="B32" t="s">
        <v>249</v>
      </c>
      <c r="C32" t="s">
        <v>250</v>
      </c>
      <c r="D32" s="216">
        <v>2511.8436452174183</v>
      </c>
      <c r="E32" s="216">
        <v>2572.4134619069305</v>
      </c>
      <c r="F32" s="216">
        <v>2628.4359475389774</v>
      </c>
      <c r="G32" s="216">
        <v>2679.4973817692357</v>
      </c>
      <c r="H32" s="216">
        <v>2725.2056548484343</v>
      </c>
      <c r="I32" s="216">
        <v>2761.9282764357772</v>
      </c>
      <c r="J32" s="216">
        <v>2795.8233077203895</v>
      </c>
      <c r="K32" s="216">
        <v>2830.1343067749062</v>
      </c>
      <c r="L32" s="216">
        <v>2864.8663784533146</v>
      </c>
      <c r="M32" s="216">
        <v>2900.0246902575668</v>
      </c>
      <c r="N32" s="216">
        <v>2935.6144731064101</v>
      </c>
      <c r="O32" s="741">
        <v>2935.6144731064101</v>
      </c>
      <c r="P32" s="741">
        <v>2935.6144731064101</v>
      </c>
      <c r="Q32" s="741">
        <v>2935.6144731064101</v>
      </c>
      <c r="R32" s="741">
        <v>2935.6144731064101</v>
      </c>
    </row>
    <row r="33" spans="2:18" x14ac:dyDescent="0.35">
      <c r="B33" t="s">
        <v>251</v>
      </c>
      <c r="C33" t="s">
        <v>252</v>
      </c>
      <c r="D33" s="216">
        <v>684.23865117608079</v>
      </c>
      <c r="E33" s="216">
        <v>116.33678854309761</v>
      </c>
      <c r="F33" s="216">
        <v>83.047368421052624</v>
      </c>
      <c r="G33" s="216">
        <v>77.633834586466179</v>
      </c>
      <c r="H33" s="216">
        <v>77.633834586466179</v>
      </c>
      <c r="I33" s="216">
        <v>75.736000000000004</v>
      </c>
      <c r="J33" s="216">
        <v>75.736000000000004</v>
      </c>
      <c r="K33" s="216">
        <v>75.736000000000004</v>
      </c>
      <c r="L33" s="216">
        <v>75.736000000000004</v>
      </c>
      <c r="M33" s="216">
        <v>74.060000000000016</v>
      </c>
      <c r="N33" s="216">
        <v>74.060000000000016</v>
      </c>
      <c r="O33" s="741">
        <v>74.060000000000016</v>
      </c>
      <c r="P33" s="741">
        <v>74.060000000000016</v>
      </c>
      <c r="Q33" s="741">
        <v>77.001000000000005</v>
      </c>
      <c r="R33" s="741">
        <v>77.001000000000005</v>
      </c>
    </row>
    <row r="34" spans="2:18" x14ac:dyDescent="0.35">
      <c r="B34" t="s">
        <v>253</v>
      </c>
      <c r="C34" t="s">
        <v>254</v>
      </c>
      <c r="D34" s="216">
        <v>267.78904</v>
      </c>
      <c r="E34" s="216">
        <v>110.24799999999999</v>
      </c>
      <c r="F34" s="216">
        <v>110.24799999999999</v>
      </c>
      <c r="G34" s="216">
        <v>110.24799999999999</v>
      </c>
      <c r="H34" s="216">
        <v>110.24799999999999</v>
      </c>
      <c r="I34" s="216">
        <v>12.726000000000001</v>
      </c>
      <c r="J34" s="216">
        <v>12.726000000000001</v>
      </c>
      <c r="K34" s="216">
        <v>12.726000000000001</v>
      </c>
      <c r="L34" s="216">
        <v>12.726000000000001</v>
      </c>
      <c r="M34" s="216">
        <v>1.365</v>
      </c>
      <c r="N34" s="216">
        <v>1.365</v>
      </c>
      <c r="O34" s="741">
        <v>1.365</v>
      </c>
      <c r="P34" s="741">
        <v>1.365</v>
      </c>
      <c r="Q34" s="741">
        <v>-0.90100000000000025</v>
      </c>
      <c r="R34" s="741">
        <v>-0.90100000000000025</v>
      </c>
    </row>
    <row r="35" spans="2:18" x14ac:dyDescent="0.35">
      <c r="B35" t="s">
        <v>255</v>
      </c>
      <c r="C35" t="s">
        <v>256</v>
      </c>
      <c r="D35" s="216">
        <v>232.99999999999997</v>
      </c>
      <c r="E35" s="216">
        <v>0</v>
      </c>
      <c r="F35" s="216">
        <v>0</v>
      </c>
      <c r="G35" s="216">
        <v>0</v>
      </c>
      <c r="H35" s="216">
        <v>0</v>
      </c>
      <c r="I35" s="216">
        <v>0</v>
      </c>
      <c r="J35" s="216">
        <v>0</v>
      </c>
      <c r="K35" s="216">
        <v>0</v>
      </c>
      <c r="L35" s="216">
        <v>0</v>
      </c>
      <c r="M35" s="216">
        <v>0</v>
      </c>
      <c r="N35" s="216">
        <v>0</v>
      </c>
      <c r="O35" s="741">
        <v>0</v>
      </c>
      <c r="P35" s="741">
        <v>0</v>
      </c>
      <c r="Q35" s="741">
        <v>0</v>
      </c>
      <c r="R35" s="741">
        <v>0</v>
      </c>
    </row>
    <row r="36" spans="2:18" x14ac:dyDescent="0.35">
      <c r="B36" t="s">
        <v>257</v>
      </c>
      <c r="C36" t="s">
        <v>258</v>
      </c>
      <c r="D36" s="216">
        <v>41.434647398843964</v>
      </c>
      <c r="E36" s="216">
        <v>36.046109826589621</v>
      </c>
      <c r="F36" s="216">
        <v>32.09660115606939</v>
      </c>
      <c r="G36" s="216">
        <v>29.867670520231236</v>
      </c>
      <c r="H36" s="216">
        <v>28.796219653179211</v>
      </c>
      <c r="I36" s="216">
        <v>28.444283236994242</v>
      </c>
      <c r="J36" s="216">
        <v>28.639803468208115</v>
      </c>
      <c r="K36" s="216">
        <v>29.077768786127191</v>
      </c>
      <c r="L36" s="216">
        <v>29.52355491329482</v>
      </c>
      <c r="M36" s="216">
        <v>29.992803468208116</v>
      </c>
      <c r="N36" s="216">
        <v>30.579364161849735</v>
      </c>
      <c r="O36" s="741">
        <v>31.064254335260141</v>
      </c>
      <c r="P36" s="741">
        <v>31.447473988439334</v>
      </c>
      <c r="Q36" s="741">
        <v>31.924543352601184</v>
      </c>
      <c r="R36" s="741">
        <v>32.385971098265927</v>
      </c>
    </row>
    <row r="37" spans="2:18" x14ac:dyDescent="0.35">
      <c r="B37" t="s">
        <v>259</v>
      </c>
      <c r="C37" t="s">
        <v>260</v>
      </c>
      <c r="D37" s="216">
        <v>552.98943075574527</v>
      </c>
      <c r="E37" s="216">
        <v>561.55321472104822</v>
      </c>
      <c r="F37" s="216">
        <v>595.71048950195052</v>
      </c>
      <c r="G37" s="216">
        <v>604.93586643363528</v>
      </c>
      <c r="H37" s="216">
        <v>557.70430033183629</v>
      </c>
      <c r="I37" s="216">
        <v>556.8347699065057</v>
      </c>
      <c r="J37" s="216">
        <v>558.52568720215106</v>
      </c>
      <c r="K37" s="216">
        <v>560.22173923696005</v>
      </c>
      <c r="L37" s="216">
        <v>561.92294160338429</v>
      </c>
      <c r="M37" s="216">
        <v>584.9437111499708</v>
      </c>
      <c r="N37" s="216">
        <v>608.90759191569498</v>
      </c>
      <c r="O37" s="741">
        <v>633.85322113072698</v>
      </c>
      <c r="P37" s="741">
        <v>659.82081890912684</v>
      </c>
      <c r="Q37" s="741">
        <v>686.85225309617954</v>
      </c>
      <c r="R37" s="741">
        <v>714.99110677238536</v>
      </c>
    </row>
    <row r="38" spans="2:18" x14ac:dyDescent="0.35">
      <c r="B38" t="s">
        <v>261</v>
      </c>
      <c r="C38" t="s">
        <v>262</v>
      </c>
      <c r="D38" s="216">
        <v>770.8</v>
      </c>
      <c r="E38" s="216">
        <v>782.73687313595531</v>
      </c>
      <c r="F38" s="216">
        <v>794.85860478289123</v>
      </c>
      <c r="G38" s="216">
        <v>807.16805772310374</v>
      </c>
      <c r="H38" s="216">
        <v>819.66813907291714</v>
      </c>
      <c r="I38" s="216">
        <v>822.15719167514692</v>
      </c>
      <c r="J38" s="216">
        <v>824.65380268127376</v>
      </c>
      <c r="K38" s="216">
        <v>827.15799504359268</v>
      </c>
      <c r="L38" s="216">
        <v>829.66979178409679</v>
      </c>
      <c r="M38" s="216">
        <v>863.65957163171674</v>
      </c>
      <c r="N38" s="216">
        <v>899.04183936491506</v>
      </c>
      <c r="O38" s="741">
        <v>935.87364220553832</v>
      </c>
      <c r="P38" s="741">
        <v>974.21436447692884</v>
      </c>
      <c r="Q38" s="741">
        <v>1014.1258233499268</v>
      </c>
      <c r="R38" s="741">
        <v>1055.6723685113786</v>
      </c>
    </row>
    <row r="39" spans="2:18" x14ac:dyDescent="0.35">
      <c r="B39" t="s">
        <v>80</v>
      </c>
      <c r="C39" t="s">
        <v>263</v>
      </c>
      <c r="D39" s="216">
        <v>829.40291089552829</v>
      </c>
      <c r="E39" s="216">
        <v>843.85759747491386</v>
      </c>
      <c r="F39" s="216">
        <v>843.37413735570783</v>
      </c>
      <c r="G39" s="216">
        <v>859.18080292867467</v>
      </c>
      <c r="H39" s="216">
        <v>861.28301891594344</v>
      </c>
      <c r="I39" s="216">
        <v>877.68631147019892</v>
      </c>
      <c r="J39" s="216">
        <v>894.37097605549116</v>
      </c>
      <c r="K39" s="216">
        <v>911.36713476209957</v>
      </c>
      <c r="L39" s="216">
        <v>928.68060302533706</v>
      </c>
      <c r="M39" s="216">
        <v>946.31730485170817</v>
      </c>
      <c r="N39" s="216">
        <v>964.02626563984654</v>
      </c>
      <c r="O39" s="741">
        <v>982.06111404386252</v>
      </c>
      <c r="P39" s="741">
        <v>1000.427847182359</v>
      </c>
      <c r="Q39" s="741">
        <v>1019.1325725353943</v>
      </c>
      <c r="R39" s="741">
        <v>1038.181509975399</v>
      </c>
    </row>
    <row r="40" spans="2:18" x14ac:dyDescent="0.35">
      <c r="B40" t="s">
        <v>264</v>
      </c>
      <c r="C40" t="s">
        <v>265</v>
      </c>
      <c r="D40" s="216">
        <v>0</v>
      </c>
      <c r="E40" s="216">
        <v>0</v>
      </c>
      <c r="F40" s="216">
        <v>0</v>
      </c>
      <c r="G40" s="216">
        <v>0</v>
      </c>
      <c r="H40" s="216">
        <v>0</v>
      </c>
      <c r="I40" s="216">
        <v>0</v>
      </c>
      <c r="J40" s="216">
        <v>0</v>
      </c>
      <c r="K40" s="216">
        <v>0</v>
      </c>
      <c r="L40" s="216">
        <v>0</v>
      </c>
      <c r="M40" s="216">
        <v>0</v>
      </c>
      <c r="N40" s="216">
        <v>0</v>
      </c>
      <c r="O40" s="741">
        <v>0</v>
      </c>
      <c r="P40" s="741">
        <v>0</v>
      </c>
      <c r="Q40" s="741">
        <v>0</v>
      </c>
      <c r="R40" s="741">
        <v>0</v>
      </c>
    </row>
    <row r="41" spans="2:18" x14ac:dyDescent="0.35">
      <c r="B41" t="s">
        <v>266</v>
      </c>
      <c r="C41" t="s">
        <v>267</v>
      </c>
      <c r="D41" s="216">
        <v>20</v>
      </c>
      <c r="E41" s="216">
        <v>0</v>
      </c>
      <c r="F41" s="216">
        <v>14.93</v>
      </c>
      <c r="G41" s="216">
        <v>34.93</v>
      </c>
      <c r="H41" s="216">
        <v>0</v>
      </c>
      <c r="I41" s="216">
        <v>0</v>
      </c>
      <c r="J41" s="216">
        <v>0</v>
      </c>
      <c r="K41" s="216">
        <v>0</v>
      </c>
      <c r="L41" s="216">
        <v>0</v>
      </c>
      <c r="M41" s="216">
        <v>0</v>
      </c>
      <c r="N41" s="216">
        <v>0</v>
      </c>
      <c r="O41" s="741">
        <v>0</v>
      </c>
      <c r="P41" s="741">
        <v>0</v>
      </c>
      <c r="Q41" s="741">
        <v>0</v>
      </c>
      <c r="R41" s="741">
        <v>0</v>
      </c>
    </row>
    <row r="42" spans="2:18" x14ac:dyDescent="0.35">
      <c r="B42" t="s">
        <v>268</v>
      </c>
      <c r="C42" t="s">
        <v>269</v>
      </c>
      <c r="D42" s="216">
        <v>137.43936000000005</v>
      </c>
      <c r="E42" s="216">
        <v>52.756999999999998</v>
      </c>
      <c r="F42" s="216">
        <v>52.756999999999998</v>
      </c>
      <c r="G42" s="216">
        <v>52.756999999999998</v>
      </c>
      <c r="H42" s="216">
        <v>52.756999999999998</v>
      </c>
      <c r="I42" s="216">
        <v>12</v>
      </c>
      <c r="J42" s="216">
        <v>12</v>
      </c>
      <c r="K42" s="216">
        <v>12</v>
      </c>
      <c r="L42" s="216">
        <v>12</v>
      </c>
      <c r="M42" s="216">
        <v>4.2219999999999995</v>
      </c>
      <c r="N42" s="216">
        <v>4.2219999999999995</v>
      </c>
      <c r="O42" s="741">
        <v>4.2219999999999995</v>
      </c>
      <c r="P42" s="741">
        <v>4.2219999999999995</v>
      </c>
      <c r="Q42" s="741">
        <v>2.3719999999999999</v>
      </c>
      <c r="R42" s="741">
        <v>2.3719999999999999</v>
      </c>
    </row>
    <row r="43" spans="2:18" x14ac:dyDescent="0.35">
      <c r="B43" t="s">
        <v>270</v>
      </c>
      <c r="C43" t="s">
        <v>271</v>
      </c>
      <c r="D43" s="216">
        <v>203.10400000000004</v>
      </c>
      <c r="E43" s="216">
        <v>74.718999999999994</v>
      </c>
      <c r="F43" s="216">
        <v>74.718999999999994</v>
      </c>
      <c r="G43" s="216">
        <v>74.718999999999994</v>
      </c>
      <c r="H43" s="216">
        <v>74.718999999999994</v>
      </c>
      <c r="I43" s="216">
        <v>2.1159999999999997</v>
      </c>
      <c r="J43" s="216">
        <v>2.1159999999999997</v>
      </c>
      <c r="K43" s="216">
        <v>2.1159999999999997</v>
      </c>
      <c r="L43" s="216">
        <v>2.1159999999999997</v>
      </c>
      <c r="M43" s="216">
        <v>2.1789999999999998</v>
      </c>
      <c r="N43" s="216">
        <v>2.1789999999999998</v>
      </c>
      <c r="O43" s="741">
        <v>2.1789999999999998</v>
      </c>
      <c r="P43" s="741">
        <v>2.1789999999999998</v>
      </c>
      <c r="Q43" s="741">
        <v>2.33</v>
      </c>
      <c r="R43" s="741">
        <v>2.33</v>
      </c>
    </row>
    <row r="44" spans="2:18" x14ac:dyDescent="0.35">
      <c r="B44" t="s">
        <v>272</v>
      </c>
      <c r="C44" t="s">
        <v>273</v>
      </c>
      <c r="D44" s="216">
        <v>1692.5000000000009</v>
      </c>
      <c r="E44" s="216">
        <v>1669.600000000001</v>
      </c>
      <c r="F44" s="216">
        <v>1710.3262120071224</v>
      </c>
      <c r="G44" s="216">
        <v>1712.4262120071226</v>
      </c>
      <c r="H44" s="216">
        <v>1704.5262120071227</v>
      </c>
      <c r="I44" s="216">
        <v>1706.6262120071228</v>
      </c>
      <c r="J44" s="216">
        <v>1783.9785508694649</v>
      </c>
      <c r="K44" s="216">
        <v>1791.0785508694651</v>
      </c>
      <c r="L44" s="216">
        <v>1798.1785508694652</v>
      </c>
      <c r="M44" s="216">
        <v>1805.2785508694653</v>
      </c>
      <c r="N44" s="216">
        <v>1878.701320206336</v>
      </c>
      <c r="O44" s="741">
        <v>1885.8013202063362</v>
      </c>
      <c r="P44" s="741">
        <v>1892.9013202063363</v>
      </c>
      <c r="Q44" s="741">
        <v>1900.0013202063365</v>
      </c>
      <c r="R44" s="741">
        <v>1907.1013202063366</v>
      </c>
    </row>
    <row r="45" spans="2:18" x14ac:dyDescent="0.35">
      <c r="B45" t="s">
        <v>274</v>
      </c>
      <c r="C45" t="s">
        <v>275</v>
      </c>
      <c r="D45" s="216">
        <v>156.86404345185662</v>
      </c>
      <c r="E45" s="216">
        <v>158.75050405203845</v>
      </c>
      <c r="F45" s="216">
        <v>160.65965139111677</v>
      </c>
      <c r="G45" s="216">
        <v>162.59175830178242</v>
      </c>
      <c r="H45" s="216">
        <v>164.54710089783592</v>
      </c>
      <c r="I45" s="216">
        <v>166.52595861364625</v>
      </c>
      <c r="J45" s="216">
        <v>168.52861424408439</v>
      </c>
      <c r="K45" s="216">
        <v>170.555353984937</v>
      </c>
      <c r="L45" s="216">
        <v>172.60646747380608</v>
      </c>
      <c r="M45" s="216">
        <v>174.68224783150058</v>
      </c>
      <c r="N45" s="216">
        <v>176.78299170392575</v>
      </c>
      <c r="O45" s="741">
        <v>178.90899930447623</v>
      </c>
      <c r="P45" s="741">
        <v>181.06057445693898</v>
      </c>
      <c r="Q45" s="741">
        <v>183.23802463891224</v>
      </c>
      <c r="R45" s="741">
        <v>185.44166102574647</v>
      </c>
    </row>
    <row r="46" spans="2:18" x14ac:dyDescent="0.35">
      <c r="B46" t="s">
        <v>276</v>
      </c>
      <c r="C46" t="s">
        <v>277</v>
      </c>
      <c r="D46" s="216">
        <v>3702.7279180746473</v>
      </c>
      <c r="E46" s="216">
        <v>3753.1986685626935</v>
      </c>
      <c r="F46" s="216">
        <v>3789.474466066139</v>
      </c>
      <c r="G46" s="216">
        <v>3839.6232913716235</v>
      </c>
      <c r="H46" s="216">
        <v>3885.73396048325</v>
      </c>
      <c r="I46" s="216">
        <v>3928.7228259014305</v>
      </c>
      <c r="J46" s="216">
        <v>3963.2082474974463</v>
      </c>
      <c r="K46" s="216">
        <v>4002.0105959242255</v>
      </c>
      <c r="L46" s="216">
        <v>4040.4862419569254</v>
      </c>
      <c r="M46" s="216">
        <v>4078.1458539417649</v>
      </c>
      <c r="N46" s="216">
        <v>4114.5364253800335</v>
      </c>
      <c r="O46" s="741">
        <v>4150.5791355082993</v>
      </c>
      <c r="P46" s="741">
        <v>4188.264463641015</v>
      </c>
      <c r="Q46" s="741">
        <v>4225.9780741350496</v>
      </c>
      <c r="R46" s="741">
        <v>4264.7804553946153</v>
      </c>
    </row>
    <row r="47" spans="2:18" x14ac:dyDescent="0.35">
      <c r="B47" t="s">
        <v>278</v>
      </c>
      <c r="C47" t="s">
        <v>279</v>
      </c>
      <c r="D47" s="216">
        <v>2164.4482919103875</v>
      </c>
      <c r="E47" s="216">
        <v>2194.3223121532637</v>
      </c>
      <c r="F47" s="216">
        <v>2224.5413720016322</v>
      </c>
      <c r="G47" s="216">
        <v>2253.7176920087013</v>
      </c>
      <c r="H47" s="216">
        <v>2284.0426377976205</v>
      </c>
      <c r="I47" s="216">
        <v>2311.8513323667312</v>
      </c>
      <c r="J47" s="216">
        <v>2336.816532152634</v>
      </c>
      <c r="K47" s="216">
        <v>2360.4098395562496</v>
      </c>
      <c r="L47" s="216">
        <v>2383.8947046963863</v>
      </c>
      <c r="M47" s="216">
        <v>2406.1925927068878</v>
      </c>
      <c r="N47" s="216">
        <v>2427.4681701856962</v>
      </c>
      <c r="O47" s="741">
        <v>2448.7029333186206</v>
      </c>
      <c r="P47" s="741">
        <v>2470.8658012154724</v>
      </c>
      <c r="Q47" s="741">
        <v>2492.091879620777</v>
      </c>
      <c r="R47" s="741">
        <v>2514.7144630554176</v>
      </c>
    </row>
    <row r="48" spans="2:18" x14ac:dyDescent="0.35">
      <c r="B48" t="s">
        <v>280</v>
      </c>
      <c r="C48" t="s">
        <v>281</v>
      </c>
      <c r="D48" s="216">
        <v>275.36144578313252</v>
      </c>
      <c r="E48" s="216">
        <v>278.50843373493979</v>
      </c>
      <c r="F48" s="216">
        <v>331.9957125021694</v>
      </c>
      <c r="G48" s="216">
        <v>337.72752744381148</v>
      </c>
      <c r="H48" s="216">
        <v>339.30096683955634</v>
      </c>
      <c r="I48" s="216">
        <v>339.07618978302133</v>
      </c>
      <c r="J48" s="216">
        <v>337.39036185900898</v>
      </c>
      <c r="K48" s="216">
        <v>334.46826012405421</v>
      </c>
      <c r="L48" s="216">
        <v>332.67004367177435</v>
      </c>
      <c r="M48" s="216">
        <v>332.67004367177435</v>
      </c>
      <c r="N48" s="216">
        <v>332.1755341473974</v>
      </c>
      <c r="O48" s="741">
        <v>333.80516780727601</v>
      </c>
      <c r="P48" s="741">
        <v>335.18754670496617</v>
      </c>
      <c r="Q48" s="741">
        <v>337.08691283268678</v>
      </c>
      <c r="R48" s="741">
        <v>337.99725991165343</v>
      </c>
    </row>
    <row r="49" spans="2:18" x14ac:dyDescent="0.35">
      <c r="B49" t="s">
        <v>282</v>
      </c>
      <c r="C49" t="s">
        <v>283</v>
      </c>
      <c r="D49" s="216">
        <v>119.87954743783622</v>
      </c>
      <c r="E49" s="216">
        <v>121.24959940855436</v>
      </c>
      <c r="F49" s="216">
        <v>119.03333886768679</v>
      </c>
      <c r="G49" s="216">
        <v>121.08841682376399</v>
      </c>
      <c r="H49" s="216">
        <v>121.65255587053028</v>
      </c>
      <c r="I49" s="216">
        <v>121.57196457813509</v>
      </c>
      <c r="J49" s="216">
        <v>120.96752988517122</v>
      </c>
      <c r="K49" s="216">
        <v>119.91984308403381</v>
      </c>
      <c r="L49" s="216">
        <v>119.27511274487235</v>
      </c>
      <c r="M49" s="216">
        <v>119.27511274487235</v>
      </c>
      <c r="N49" s="216">
        <v>119.09781190160294</v>
      </c>
      <c r="O49" s="741">
        <v>119.68209877146802</v>
      </c>
      <c r="P49" s="741">
        <v>120.17773521969842</v>
      </c>
      <c r="Q49" s="741">
        <v>120.85873164043772</v>
      </c>
      <c r="R49" s="741">
        <v>121.18512637463822</v>
      </c>
    </row>
    <row r="52" spans="2:18" x14ac:dyDescent="0.35">
      <c r="B52" s="1026" t="s">
        <v>284</v>
      </c>
      <c r="C52" s="1026"/>
      <c r="D52" s="1026"/>
      <c r="E52" s="1026"/>
      <c r="F52" s="1026"/>
      <c r="G52" s="1026"/>
      <c r="H52" s="1026"/>
      <c r="I52" s="1026"/>
      <c r="J52" s="1026"/>
      <c r="K52" s="1026"/>
      <c r="L52" s="1026"/>
      <c r="M52" s="1026"/>
      <c r="N52" s="1026"/>
      <c r="O52" s="1026"/>
      <c r="P52" s="1026"/>
      <c r="Q52" s="1026"/>
      <c r="R52" s="1026"/>
    </row>
    <row r="53" spans="2:18" x14ac:dyDescent="0.35">
      <c r="B53" t="s">
        <v>230</v>
      </c>
      <c r="C53" t="s">
        <v>231</v>
      </c>
      <c r="D53" t="s">
        <v>232</v>
      </c>
      <c r="E53" t="s">
        <v>233</v>
      </c>
      <c r="F53" t="s">
        <v>234</v>
      </c>
      <c r="G53" t="s">
        <v>235</v>
      </c>
      <c r="H53" t="s">
        <v>236</v>
      </c>
      <c r="I53" t="s">
        <v>237</v>
      </c>
      <c r="J53" t="s">
        <v>238</v>
      </c>
      <c r="K53" t="s">
        <v>239</v>
      </c>
      <c r="L53" t="s">
        <v>240</v>
      </c>
      <c r="M53" t="s">
        <v>241</v>
      </c>
      <c r="N53" t="s">
        <v>242</v>
      </c>
      <c r="O53" t="s">
        <v>243</v>
      </c>
      <c r="P53" t="s">
        <v>226</v>
      </c>
      <c r="Q53" t="s">
        <v>227</v>
      </c>
      <c r="R53" t="s">
        <v>228</v>
      </c>
    </row>
    <row r="54" spans="2:18" x14ac:dyDescent="0.35">
      <c r="B54" t="s">
        <v>244</v>
      </c>
      <c r="C54" t="s">
        <v>245</v>
      </c>
      <c r="D54" s="216">
        <f t="shared" ref="D54:N54" si="0">D4-D29</f>
        <v>-391.6291764411028</v>
      </c>
      <c r="E54" s="216" t="e">
        <f t="shared" si="0"/>
        <v>#DIV/0!</v>
      </c>
      <c r="F54" s="216" t="e">
        <f t="shared" si="0"/>
        <v>#DIV/0!</v>
      </c>
      <c r="G54" s="216" t="e">
        <f t="shared" si="0"/>
        <v>#DIV/0!</v>
      </c>
      <c r="H54" s="216" t="e">
        <f t="shared" si="0"/>
        <v>#DIV/0!</v>
      </c>
      <c r="I54" s="216">
        <f t="shared" si="0"/>
        <v>-408.34391586941621</v>
      </c>
      <c r="J54" s="216">
        <f t="shared" si="0"/>
        <v>-424.67767250419291</v>
      </c>
      <c r="K54" s="216">
        <f t="shared" si="0"/>
        <v>-441.66477940436062</v>
      </c>
      <c r="L54" s="216">
        <f t="shared" si="0"/>
        <v>-459.33137058053507</v>
      </c>
      <c r="M54" s="216">
        <f t="shared" si="0"/>
        <v>-477.70462540375649</v>
      </c>
      <c r="N54" s="216">
        <f t="shared" si="0"/>
        <v>-496.81281041990673</v>
      </c>
      <c r="O54" s="216">
        <f t="shared" ref="O54:R54" si="1">O4-O29</f>
        <v>-516.68532283670311</v>
      </c>
      <c r="P54" s="216">
        <f t="shared" si="1"/>
        <v>-537.35273575017118</v>
      </c>
      <c r="Q54" s="216">
        <f t="shared" si="1"/>
        <v>-558.84684518017809</v>
      </c>
      <c r="R54" s="216">
        <f t="shared" si="1"/>
        <v>-581.20071898738524</v>
      </c>
    </row>
    <row r="55" spans="2:18" x14ac:dyDescent="0.35">
      <c r="B55" t="s">
        <v>184</v>
      </c>
      <c r="C55" t="s">
        <v>246</v>
      </c>
      <c r="D55" s="216">
        <f t="shared" ref="D55:N55" si="2">D5-D30</f>
        <v>-75.205285714285722</v>
      </c>
      <c r="E55" s="216">
        <f t="shared" si="2"/>
        <v>0.14314285714284836</v>
      </c>
      <c r="F55" s="216">
        <f t="shared" si="2"/>
        <v>0.14314285714284836</v>
      </c>
      <c r="G55" s="216">
        <f t="shared" si="2"/>
        <v>0.14314285714284836</v>
      </c>
      <c r="H55" s="216">
        <f t="shared" si="2"/>
        <v>0.14314285714284836</v>
      </c>
      <c r="I55" s="216">
        <f t="shared" si="2"/>
        <v>0.14314285714284836</v>
      </c>
      <c r="J55" s="216">
        <f t="shared" si="2"/>
        <v>0.14314285714284836</v>
      </c>
      <c r="K55" s="216">
        <f t="shared" si="2"/>
        <v>0.14314285714284836</v>
      </c>
      <c r="L55" s="216">
        <f t="shared" si="2"/>
        <v>0.14314285714284836</v>
      </c>
      <c r="M55" s="216">
        <f t="shared" si="2"/>
        <v>0.14314285714284836</v>
      </c>
      <c r="N55" s="216">
        <f t="shared" si="2"/>
        <v>0.14314285714284836</v>
      </c>
      <c r="O55" s="216">
        <f t="shared" ref="O55:R55" si="3">O5-O30</f>
        <v>0.14314285714284836</v>
      </c>
      <c r="P55" s="216">
        <f t="shared" si="3"/>
        <v>0.14314285714284836</v>
      </c>
      <c r="Q55" s="216">
        <f t="shared" si="3"/>
        <v>0.14314285714284836</v>
      </c>
      <c r="R55" s="216">
        <f t="shared" si="3"/>
        <v>0.14314285714284836</v>
      </c>
    </row>
    <row r="56" spans="2:18" x14ac:dyDescent="0.35">
      <c r="B56" t="s">
        <v>247</v>
      </c>
      <c r="C56" t="s">
        <v>248</v>
      </c>
      <c r="D56" s="216">
        <f t="shared" ref="D56:N74" si="4">D6-D31</f>
        <v>-1574.4706324651618</v>
      </c>
      <c r="E56" s="216">
        <f t="shared" si="4"/>
        <v>-1586.3910806856957</v>
      </c>
      <c r="F56" s="216">
        <f t="shared" si="4"/>
        <v>-1598.4948253539787</v>
      </c>
      <c r="G56" s="216">
        <f t="shared" si="4"/>
        <v>-1600.4852269719188</v>
      </c>
      <c r="H56" s="216">
        <f t="shared" si="4"/>
        <v>-1599.8246179233195</v>
      </c>
      <c r="I56" s="216">
        <f t="shared" si="4"/>
        <v>-1599.9925730575819</v>
      </c>
      <c r="J56" s="216">
        <f t="shared" si="4"/>
        <v>-1604.2713586599725</v>
      </c>
      <c r="K56" s="216">
        <f t="shared" si="4"/>
        <v>-1610.249863080161</v>
      </c>
      <c r="L56" s="216">
        <f t="shared" si="4"/>
        <v>-1617.9041839311014</v>
      </c>
      <c r="M56" s="216">
        <f t="shared" si="4"/>
        <v>-1626.9012547503785</v>
      </c>
      <c r="N56" s="216">
        <f t="shared" si="4"/>
        <v>-1635.7763242754954</v>
      </c>
      <c r="O56" s="216">
        <f t="shared" ref="O56:R56" si="5">O6-O31</f>
        <v>-1644.6998090678856</v>
      </c>
      <c r="P56" s="216">
        <f t="shared" si="5"/>
        <v>-1654.0763434825342</v>
      </c>
      <c r="Q56" s="216">
        <f t="shared" si="5"/>
        <v>-1663.0996585149583</v>
      </c>
      <c r="R56" s="216">
        <f t="shared" si="5"/>
        <v>-1673.3979812645641</v>
      </c>
    </row>
    <row r="57" spans="2:18" x14ac:dyDescent="0.35">
      <c r="B57" t="s">
        <v>249</v>
      </c>
      <c r="C57" t="s">
        <v>250</v>
      </c>
      <c r="D57" s="216">
        <f t="shared" si="4"/>
        <v>-2511.8436452174183</v>
      </c>
      <c r="E57" s="216">
        <f t="shared" si="4"/>
        <v>-2572.4134619069305</v>
      </c>
      <c r="F57" s="216">
        <f t="shared" si="4"/>
        <v>-2628.4359475389774</v>
      </c>
      <c r="G57" s="216">
        <f t="shared" si="4"/>
        <v>-2679.4973817692357</v>
      </c>
      <c r="H57" s="216">
        <f t="shared" si="4"/>
        <v>-2725.2056548484343</v>
      </c>
      <c r="I57" s="216">
        <f t="shared" si="4"/>
        <v>-2761.9282764357772</v>
      </c>
      <c r="J57" s="216">
        <f t="shared" si="4"/>
        <v>-2795.8233077203895</v>
      </c>
      <c r="K57" s="216">
        <f t="shared" si="4"/>
        <v>-2830.1343067749062</v>
      </c>
      <c r="L57" s="216">
        <f t="shared" si="4"/>
        <v>-2864.8663784533146</v>
      </c>
      <c r="M57" s="216">
        <f t="shared" si="4"/>
        <v>-2900.0246902575668</v>
      </c>
      <c r="N57" s="216">
        <f t="shared" si="4"/>
        <v>-2935.6144731064101</v>
      </c>
      <c r="O57" s="216">
        <f t="shared" ref="O57:R57" si="6">O7-O32</f>
        <v>-2935.6144731064101</v>
      </c>
      <c r="P57" s="216">
        <f t="shared" si="6"/>
        <v>-2935.6144731064101</v>
      </c>
      <c r="Q57" s="216">
        <f t="shared" si="6"/>
        <v>-2935.6144731064101</v>
      </c>
      <c r="R57" s="216">
        <f t="shared" si="6"/>
        <v>-2935.6144731064101</v>
      </c>
    </row>
    <row r="58" spans="2:18" x14ac:dyDescent="0.35">
      <c r="B58" t="s">
        <v>251</v>
      </c>
      <c r="C58" t="s">
        <v>252</v>
      </c>
      <c r="D58" s="216">
        <f t="shared" si="4"/>
        <v>-952.02769117608079</v>
      </c>
      <c r="E58" s="216" t="e">
        <f t="shared" si="4"/>
        <v>#DIV/0!</v>
      </c>
      <c r="F58" s="216" t="e">
        <f t="shared" si="4"/>
        <v>#DIV/0!</v>
      </c>
      <c r="G58" s="216" t="e">
        <f t="shared" si="4"/>
        <v>#DIV/0!</v>
      </c>
      <c r="H58" s="216" t="e">
        <f t="shared" si="4"/>
        <v>#DIV/0!</v>
      </c>
      <c r="I58" s="216">
        <f t="shared" si="4"/>
        <v>0</v>
      </c>
      <c r="J58" s="216">
        <f t="shared" si="4"/>
        <v>0</v>
      </c>
      <c r="K58" s="216">
        <f t="shared" si="4"/>
        <v>0</v>
      </c>
      <c r="L58" s="216">
        <f t="shared" si="4"/>
        <v>0</v>
      </c>
      <c r="M58" s="216">
        <f t="shared" si="4"/>
        <v>0</v>
      </c>
      <c r="N58" s="216">
        <f t="shared" si="4"/>
        <v>0</v>
      </c>
      <c r="O58" s="216">
        <f t="shared" ref="O58:R58" si="7">O8-O33</f>
        <v>0</v>
      </c>
      <c r="P58" s="216">
        <f t="shared" si="7"/>
        <v>0</v>
      </c>
      <c r="Q58" s="216">
        <f t="shared" si="7"/>
        <v>0</v>
      </c>
      <c r="R58" s="216">
        <f t="shared" si="7"/>
        <v>0</v>
      </c>
    </row>
    <row r="59" spans="2:18" x14ac:dyDescent="0.35">
      <c r="B59" t="s">
        <v>253</v>
      </c>
      <c r="C59" t="s">
        <v>254</v>
      </c>
      <c r="D59" s="216">
        <f t="shared" si="4"/>
        <v>0</v>
      </c>
      <c r="E59" s="216">
        <f t="shared" si="4"/>
        <v>0</v>
      </c>
      <c r="F59" s="216">
        <f t="shared" si="4"/>
        <v>0</v>
      </c>
      <c r="G59" s="216">
        <f t="shared" si="4"/>
        <v>0</v>
      </c>
      <c r="H59" s="216">
        <f t="shared" si="4"/>
        <v>0</v>
      </c>
      <c r="I59" s="216">
        <f t="shared" si="4"/>
        <v>0</v>
      </c>
      <c r="J59" s="216">
        <f t="shared" si="4"/>
        <v>0</v>
      </c>
      <c r="K59" s="216">
        <f t="shared" si="4"/>
        <v>0</v>
      </c>
      <c r="L59" s="216">
        <f t="shared" si="4"/>
        <v>0</v>
      </c>
      <c r="M59" s="216">
        <f t="shared" si="4"/>
        <v>0</v>
      </c>
      <c r="N59" s="216">
        <f t="shared" si="4"/>
        <v>0</v>
      </c>
      <c r="O59" s="216">
        <f t="shared" ref="O59:R59" si="8">O9-O34</f>
        <v>0</v>
      </c>
      <c r="P59" s="216">
        <f t="shared" si="8"/>
        <v>0</v>
      </c>
      <c r="Q59" s="216">
        <f t="shared" si="8"/>
        <v>0</v>
      </c>
      <c r="R59" s="216">
        <f t="shared" si="8"/>
        <v>0</v>
      </c>
    </row>
    <row r="60" spans="2:18" x14ac:dyDescent="0.35">
      <c r="B60" t="s">
        <v>255</v>
      </c>
      <c r="C60" t="s">
        <v>256</v>
      </c>
      <c r="D60" s="216">
        <f t="shared" si="4"/>
        <v>-232.99999999999997</v>
      </c>
      <c r="E60" s="216">
        <f t="shared" si="4"/>
        <v>0</v>
      </c>
      <c r="F60" s="216">
        <f t="shared" si="4"/>
        <v>0</v>
      </c>
      <c r="G60" s="216">
        <f t="shared" si="4"/>
        <v>0</v>
      </c>
      <c r="H60" s="216">
        <f t="shared" si="4"/>
        <v>0</v>
      </c>
      <c r="I60" s="216">
        <f t="shared" si="4"/>
        <v>0</v>
      </c>
      <c r="J60" s="216">
        <f t="shared" si="4"/>
        <v>0</v>
      </c>
      <c r="K60" s="216">
        <f t="shared" si="4"/>
        <v>0</v>
      </c>
      <c r="L60" s="216">
        <f t="shared" si="4"/>
        <v>0</v>
      </c>
      <c r="M60" s="216">
        <f t="shared" si="4"/>
        <v>0</v>
      </c>
      <c r="N60" s="216">
        <f t="shared" si="4"/>
        <v>0</v>
      </c>
      <c r="O60" s="216">
        <f t="shared" ref="O60:R60" si="9">O10-O35</f>
        <v>0</v>
      </c>
      <c r="P60" s="216">
        <f t="shared" si="9"/>
        <v>0</v>
      </c>
      <c r="Q60" s="216">
        <f t="shared" si="9"/>
        <v>0</v>
      </c>
      <c r="R60" s="216">
        <f t="shared" si="9"/>
        <v>0</v>
      </c>
    </row>
    <row r="61" spans="2:18" x14ac:dyDescent="0.35">
      <c r="B61" t="s">
        <v>257</v>
      </c>
      <c r="C61" t="s">
        <v>258</v>
      </c>
      <c r="D61" s="216">
        <f t="shared" si="4"/>
        <v>-41.434647398843964</v>
      </c>
      <c r="E61" s="216">
        <f t="shared" si="4"/>
        <v>-36.046109826589621</v>
      </c>
      <c r="F61" s="216">
        <f t="shared" si="4"/>
        <v>-32.09660115606939</v>
      </c>
      <c r="G61" s="216">
        <f t="shared" si="4"/>
        <v>-29.867670520231236</v>
      </c>
      <c r="H61" s="216">
        <f t="shared" si="4"/>
        <v>-28.796219653179211</v>
      </c>
      <c r="I61" s="216">
        <f t="shared" si="4"/>
        <v>-28.444283236994242</v>
      </c>
      <c r="J61" s="216">
        <f t="shared" si="4"/>
        <v>-28.639803468208115</v>
      </c>
      <c r="K61" s="216">
        <f t="shared" si="4"/>
        <v>-29.077768786127191</v>
      </c>
      <c r="L61" s="216">
        <f t="shared" si="4"/>
        <v>-29.52355491329482</v>
      </c>
      <c r="M61" s="216">
        <f t="shared" si="4"/>
        <v>-29.992803468208116</v>
      </c>
      <c r="N61" s="216">
        <f t="shared" si="4"/>
        <v>-30.579364161849735</v>
      </c>
      <c r="O61" s="216">
        <f t="shared" ref="O61:R61" si="10">O11-O36</f>
        <v>-31.064254335260141</v>
      </c>
      <c r="P61" s="216">
        <f t="shared" si="10"/>
        <v>-31.447473988439334</v>
      </c>
      <c r="Q61" s="216">
        <f t="shared" si="10"/>
        <v>-31.924543352601184</v>
      </c>
      <c r="R61" s="216">
        <f t="shared" si="10"/>
        <v>-32.385971098265927</v>
      </c>
    </row>
    <row r="62" spans="2:18" x14ac:dyDescent="0.35">
      <c r="B62" t="s">
        <v>259</v>
      </c>
      <c r="C62" t="s">
        <v>260</v>
      </c>
      <c r="D62" s="216">
        <f t="shared" si="4"/>
        <v>-552.98943075574527</v>
      </c>
      <c r="E62" s="216" t="e">
        <f t="shared" si="4"/>
        <v>#DIV/0!</v>
      </c>
      <c r="F62" s="216" t="e">
        <f t="shared" si="4"/>
        <v>#DIV/0!</v>
      </c>
      <c r="G62" s="216" t="e">
        <f t="shared" si="4"/>
        <v>#DIV/0!</v>
      </c>
      <c r="H62" s="216" t="e">
        <f t="shared" si="4"/>
        <v>#DIV/0!</v>
      </c>
      <c r="I62" s="216" t="e">
        <f t="shared" si="4"/>
        <v>#DIV/0!</v>
      </c>
      <c r="J62" s="216" t="e">
        <f t="shared" si="4"/>
        <v>#DIV/0!</v>
      </c>
      <c r="K62" s="216" t="e">
        <f t="shared" si="4"/>
        <v>#DIV/0!</v>
      </c>
      <c r="L62" s="216" t="e">
        <f t="shared" si="4"/>
        <v>#DIV/0!</v>
      </c>
      <c r="M62" s="216" t="e">
        <f t="shared" si="4"/>
        <v>#DIV/0!</v>
      </c>
      <c r="N62" s="216" t="e">
        <f t="shared" si="4"/>
        <v>#DIV/0!</v>
      </c>
      <c r="O62" s="216" t="e">
        <f t="shared" ref="O62:R62" si="11">O12-O37</f>
        <v>#DIV/0!</v>
      </c>
      <c r="P62" s="216" t="e">
        <f t="shared" si="11"/>
        <v>#DIV/0!</v>
      </c>
      <c r="Q62" s="216" t="e">
        <f t="shared" si="11"/>
        <v>#DIV/0!</v>
      </c>
      <c r="R62" s="216" t="e">
        <f t="shared" si="11"/>
        <v>#DIV/0!</v>
      </c>
    </row>
    <row r="63" spans="2:18" x14ac:dyDescent="0.35">
      <c r="B63" t="s">
        <v>261</v>
      </c>
      <c r="C63" t="s">
        <v>262</v>
      </c>
      <c r="D63" s="216">
        <f t="shared" si="4"/>
        <v>-770.8</v>
      </c>
      <c r="E63" s="216" t="e">
        <f t="shared" si="4"/>
        <v>#DIV/0!</v>
      </c>
      <c r="F63" s="216" t="e">
        <f t="shared" si="4"/>
        <v>#DIV/0!</v>
      </c>
      <c r="G63" s="216" t="e">
        <f t="shared" si="4"/>
        <v>#DIV/0!</v>
      </c>
      <c r="H63" s="216" t="e">
        <f t="shared" si="4"/>
        <v>#DIV/0!</v>
      </c>
      <c r="I63" s="216" t="e">
        <f t="shared" si="4"/>
        <v>#DIV/0!</v>
      </c>
      <c r="J63" s="216" t="e">
        <f t="shared" si="4"/>
        <v>#DIV/0!</v>
      </c>
      <c r="K63" s="216" t="e">
        <f t="shared" si="4"/>
        <v>#DIV/0!</v>
      </c>
      <c r="L63" s="216" t="e">
        <f t="shared" si="4"/>
        <v>#DIV/0!</v>
      </c>
      <c r="M63" s="216" t="e">
        <f t="shared" si="4"/>
        <v>#DIV/0!</v>
      </c>
      <c r="N63" s="216" t="e">
        <f t="shared" si="4"/>
        <v>#DIV/0!</v>
      </c>
      <c r="O63" s="216" t="e">
        <f t="shared" ref="O63:R63" si="12">O13-O38</f>
        <v>#DIV/0!</v>
      </c>
      <c r="P63" s="216" t="e">
        <f t="shared" si="12"/>
        <v>#DIV/0!</v>
      </c>
      <c r="Q63" s="216" t="e">
        <f t="shared" si="12"/>
        <v>#DIV/0!</v>
      </c>
      <c r="R63" s="216" t="e">
        <f t="shared" si="12"/>
        <v>#DIV/0!</v>
      </c>
    </row>
    <row r="64" spans="2:18" x14ac:dyDescent="0.35">
      <c r="B64" t="s">
        <v>80</v>
      </c>
      <c r="C64" t="s">
        <v>263</v>
      </c>
      <c r="D64" s="216">
        <f t="shared" si="4"/>
        <v>-829.40291089552829</v>
      </c>
      <c r="E64" s="216">
        <f t="shared" si="4"/>
        <v>-844.10577614757665</v>
      </c>
      <c r="F64" s="216">
        <f t="shared" si="4"/>
        <v>-859.88872611279442</v>
      </c>
      <c r="G64" s="216">
        <f t="shared" si="4"/>
        <v>-875.96678306180934</v>
      </c>
      <c r="H64" s="216">
        <f t="shared" si="4"/>
        <v>-892.345464856116</v>
      </c>
      <c r="I64" s="216">
        <f t="shared" si="4"/>
        <v>-909.03039252926908</v>
      </c>
      <c r="J64" s="216">
        <f t="shared" si="4"/>
        <v>-926.00152322974554</v>
      </c>
      <c r="K64" s="216">
        <f t="shared" si="4"/>
        <v>-943.28949622682683</v>
      </c>
      <c r="L64" s="216">
        <f t="shared" si="4"/>
        <v>-960.90022680351262</v>
      </c>
      <c r="M64" s="216">
        <f t="shared" si="4"/>
        <v>-978.83974067809936</v>
      </c>
      <c r="N64" s="216">
        <f t="shared" si="4"/>
        <v>-996.85275415935553</v>
      </c>
      <c r="O64" s="216">
        <f t="shared" ref="O64:R64" si="13">O14-O39</f>
        <v>-1015.1972505598189</v>
      </c>
      <c r="P64" s="216">
        <f t="shared" si="13"/>
        <v>-1033.879329965177</v>
      </c>
      <c r="Q64" s="216">
        <f t="shared" si="13"/>
        <v>-1052.9052047174152</v>
      </c>
      <c r="R64" s="216">
        <f t="shared" si="13"/>
        <v>-1072.2812014806045</v>
      </c>
    </row>
    <row r="65" spans="2:18" x14ac:dyDescent="0.35">
      <c r="B65" t="s">
        <v>264</v>
      </c>
      <c r="C65" t="s">
        <v>265</v>
      </c>
      <c r="D65" s="216">
        <f t="shared" si="4"/>
        <v>0</v>
      </c>
      <c r="E65" s="216">
        <f t="shared" si="4"/>
        <v>0</v>
      </c>
      <c r="F65" s="216">
        <f t="shared" si="4"/>
        <v>0</v>
      </c>
      <c r="G65" s="216">
        <f t="shared" si="4"/>
        <v>0</v>
      </c>
      <c r="H65" s="216">
        <f t="shared" si="4"/>
        <v>0</v>
      </c>
      <c r="I65" s="216">
        <f t="shared" si="4"/>
        <v>0</v>
      </c>
      <c r="J65" s="216">
        <f t="shared" si="4"/>
        <v>0</v>
      </c>
      <c r="K65" s="216">
        <f t="shared" si="4"/>
        <v>0</v>
      </c>
      <c r="L65" s="216">
        <f t="shared" si="4"/>
        <v>0</v>
      </c>
      <c r="M65" s="216">
        <f t="shared" si="4"/>
        <v>0</v>
      </c>
      <c r="N65" s="216">
        <f t="shared" si="4"/>
        <v>0</v>
      </c>
      <c r="O65" s="216">
        <f t="shared" ref="O65:R65" si="14">O15-O40</f>
        <v>0</v>
      </c>
      <c r="P65" s="216">
        <f t="shared" si="14"/>
        <v>0</v>
      </c>
      <c r="Q65" s="216">
        <f t="shared" si="14"/>
        <v>0</v>
      </c>
      <c r="R65" s="216">
        <f t="shared" si="14"/>
        <v>0</v>
      </c>
    </row>
    <row r="66" spans="2:18" x14ac:dyDescent="0.35">
      <c r="B66" t="s">
        <v>266</v>
      </c>
      <c r="C66" t="s">
        <v>267</v>
      </c>
      <c r="D66" s="216">
        <f t="shared" si="4"/>
        <v>-20</v>
      </c>
      <c r="E66" s="216">
        <f t="shared" si="4"/>
        <v>0</v>
      </c>
      <c r="F66" s="216">
        <f t="shared" si="4"/>
        <v>0</v>
      </c>
      <c r="G66" s="216">
        <f t="shared" si="4"/>
        <v>-20</v>
      </c>
      <c r="H66" s="216">
        <f t="shared" si="4"/>
        <v>0</v>
      </c>
      <c r="I66" s="216">
        <f t="shared" si="4"/>
        <v>0</v>
      </c>
      <c r="J66" s="216">
        <f t="shared" si="4"/>
        <v>0</v>
      </c>
      <c r="K66" s="216">
        <f t="shared" si="4"/>
        <v>0</v>
      </c>
      <c r="L66" s="216">
        <f t="shared" si="4"/>
        <v>0</v>
      </c>
      <c r="M66" s="216">
        <f t="shared" si="4"/>
        <v>0</v>
      </c>
      <c r="N66" s="216">
        <f t="shared" si="4"/>
        <v>0</v>
      </c>
      <c r="O66" s="216">
        <f t="shared" ref="O66:R66" si="15">O16-O41</f>
        <v>0</v>
      </c>
      <c r="P66" s="216">
        <f t="shared" si="15"/>
        <v>0</v>
      </c>
      <c r="Q66" s="216">
        <f t="shared" si="15"/>
        <v>0</v>
      </c>
      <c r="R66" s="216">
        <f t="shared" si="15"/>
        <v>0</v>
      </c>
    </row>
    <row r="67" spans="2:18" x14ac:dyDescent="0.35">
      <c r="B67" t="s">
        <v>268</v>
      </c>
      <c r="C67" t="s">
        <v>269</v>
      </c>
      <c r="D67" s="216">
        <f t="shared" si="4"/>
        <v>0</v>
      </c>
      <c r="E67" s="216">
        <f t="shared" si="4"/>
        <v>0</v>
      </c>
      <c r="F67" s="216">
        <f t="shared" si="4"/>
        <v>0</v>
      </c>
      <c r="G67" s="216">
        <f t="shared" si="4"/>
        <v>0</v>
      </c>
      <c r="H67" s="216">
        <f t="shared" si="4"/>
        <v>0</v>
      </c>
      <c r="I67" s="216">
        <f t="shared" si="4"/>
        <v>0</v>
      </c>
      <c r="J67" s="216">
        <f t="shared" si="4"/>
        <v>0</v>
      </c>
      <c r="K67" s="216">
        <f t="shared" si="4"/>
        <v>0</v>
      </c>
      <c r="L67" s="216">
        <f t="shared" si="4"/>
        <v>0</v>
      </c>
      <c r="M67" s="216">
        <f t="shared" si="4"/>
        <v>0</v>
      </c>
      <c r="N67" s="216">
        <f t="shared" si="4"/>
        <v>0</v>
      </c>
      <c r="O67" s="216">
        <f t="shared" ref="O67:R67" si="16">O17-O42</f>
        <v>0</v>
      </c>
      <c r="P67" s="216">
        <f t="shared" si="16"/>
        <v>0</v>
      </c>
      <c r="Q67" s="216">
        <f t="shared" si="16"/>
        <v>0</v>
      </c>
      <c r="R67" s="216">
        <f t="shared" si="16"/>
        <v>0</v>
      </c>
    </row>
    <row r="68" spans="2:18" x14ac:dyDescent="0.35">
      <c r="B68" t="s">
        <v>270</v>
      </c>
      <c r="C68" t="s">
        <v>271</v>
      </c>
      <c r="D68" s="216">
        <f t="shared" si="4"/>
        <v>0</v>
      </c>
      <c r="E68" s="216">
        <f t="shared" si="4"/>
        <v>0</v>
      </c>
      <c r="F68" s="216">
        <f t="shared" si="4"/>
        <v>0</v>
      </c>
      <c r="G68" s="216">
        <f t="shared" si="4"/>
        <v>0</v>
      </c>
      <c r="H68" s="216">
        <f t="shared" si="4"/>
        <v>0</v>
      </c>
      <c r="I68" s="216">
        <f t="shared" si="4"/>
        <v>0</v>
      </c>
      <c r="J68" s="216">
        <f t="shared" si="4"/>
        <v>0</v>
      </c>
      <c r="K68" s="216">
        <f t="shared" si="4"/>
        <v>0</v>
      </c>
      <c r="L68" s="216">
        <f t="shared" si="4"/>
        <v>0</v>
      </c>
      <c r="M68" s="216">
        <f t="shared" si="4"/>
        <v>0</v>
      </c>
      <c r="N68" s="216">
        <f t="shared" si="4"/>
        <v>0</v>
      </c>
      <c r="O68" s="216">
        <f t="shared" ref="O68:R68" si="17">O18-O43</f>
        <v>0</v>
      </c>
      <c r="P68" s="216">
        <f t="shared" si="17"/>
        <v>0</v>
      </c>
      <c r="Q68" s="216">
        <f t="shared" si="17"/>
        <v>0</v>
      </c>
      <c r="R68" s="216">
        <f t="shared" si="17"/>
        <v>0</v>
      </c>
    </row>
    <row r="69" spans="2:18" x14ac:dyDescent="0.35">
      <c r="B69" t="s">
        <v>272</v>
      </c>
      <c r="C69" t="s">
        <v>273</v>
      </c>
      <c r="D69" s="216" t="e">
        <f t="shared" si="4"/>
        <v>#VALUE!</v>
      </c>
      <c r="E69" s="216" t="e">
        <f t="shared" si="4"/>
        <v>#VALUE!</v>
      </c>
      <c r="F69" s="216">
        <f t="shared" si="4"/>
        <v>0</v>
      </c>
      <c r="G69" s="216">
        <f t="shared" si="4"/>
        <v>0</v>
      </c>
      <c r="H69" s="216">
        <f t="shared" si="4"/>
        <v>0</v>
      </c>
      <c r="I69" s="216">
        <f t="shared" si="4"/>
        <v>0</v>
      </c>
      <c r="J69" s="216">
        <f t="shared" si="4"/>
        <v>0</v>
      </c>
      <c r="K69" s="216">
        <f t="shared" si="4"/>
        <v>0</v>
      </c>
      <c r="L69" s="216">
        <f t="shared" si="4"/>
        <v>0</v>
      </c>
      <c r="M69" s="216">
        <f t="shared" si="4"/>
        <v>0</v>
      </c>
      <c r="N69" s="216">
        <f t="shared" si="4"/>
        <v>0</v>
      </c>
      <c r="O69" s="216">
        <f t="shared" ref="O69:R69" si="18">O19-O44</f>
        <v>0</v>
      </c>
      <c r="P69" s="216">
        <f t="shared" si="18"/>
        <v>0</v>
      </c>
      <c r="Q69" s="216">
        <f t="shared" si="18"/>
        <v>0</v>
      </c>
      <c r="R69" s="216">
        <f t="shared" si="18"/>
        <v>0</v>
      </c>
    </row>
    <row r="70" spans="2:18" x14ac:dyDescent="0.35">
      <c r="B70" t="s">
        <v>274</v>
      </c>
      <c r="C70" t="s">
        <v>275</v>
      </c>
      <c r="D70" s="216">
        <f t="shared" si="4"/>
        <v>-156.86404345185662</v>
      </c>
      <c r="E70" s="216">
        <f t="shared" si="4"/>
        <v>-158.75050405203845</v>
      </c>
      <c r="F70" s="216">
        <f t="shared" si="4"/>
        <v>-160.65965139111677</v>
      </c>
      <c r="G70" s="216">
        <f t="shared" si="4"/>
        <v>-162.59175830178242</v>
      </c>
      <c r="H70" s="216">
        <f t="shared" si="4"/>
        <v>-164.54710089783592</v>
      </c>
      <c r="I70" s="216">
        <f t="shared" si="4"/>
        <v>-166.52595861364625</v>
      </c>
      <c r="J70" s="216">
        <f t="shared" si="4"/>
        <v>-168.52861424408439</v>
      </c>
      <c r="K70" s="216">
        <f t="shared" si="4"/>
        <v>-170.555353984937</v>
      </c>
      <c r="L70" s="216">
        <f t="shared" si="4"/>
        <v>-172.60646747380608</v>
      </c>
      <c r="M70" s="216">
        <f t="shared" si="4"/>
        <v>-174.68224783150058</v>
      </c>
      <c r="N70" s="216">
        <f t="shared" si="4"/>
        <v>-176.78299170392575</v>
      </c>
      <c r="O70" s="216">
        <f t="shared" ref="O70:R70" si="19">O20-O45</f>
        <v>-178.90899930447623</v>
      </c>
      <c r="P70" s="216">
        <f t="shared" si="19"/>
        <v>-181.06057445693898</v>
      </c>
      <c r="Q70" s="216">
        <f t="shared" si="19"/>
        <v>-183.23802463891224</v>
      </c>
      <c r="R70" s="216">
        <f t="shared" si="19"/>
        <v>-185.44166102574647</v>
      </c>
    </row>
    <row r="71" spans="2:18" x14ac:dyDescent="0.35">
      <c r="B71" t="s">
        <v>276</v>
      </c>
      <c r="C71" t="s">
        <v>277</v>
      </c>
      <c r="D71" s="216">
        <f t="shared" si="4"/>
        <v>-3702.7279180746473</v>
      </c>
      <c r="E71" s="216">
        <f t="shared" si="4"/>
        <v>-3753.1986685626935</v>
      </c>
      <c r="F71" s="216">
        <f t="shared" si="4"/>
        <v>1.249339729267831</v>
      </c>
      <c r="G71" s="216">
        <f t="shared" si="4"/>
        <v>1.266596372177446</v>
      </c>
      <c r="H71" s="216">
        <f t="shared" si="4"/>
        <v>1.2824311186723207</v>
      </c>
      <c r="I71" s="216">
        <f t="shared" si="4"/>
        <v>1.2971508140662991</v>
      </c>
      <c r="J71" s="216">
        <f t="shared" si="4"/>
        <v>1.3110139723262364</v>
      </c>
      <c r="K71" s="216">
        <f t="shared" si="4"/>
        <v>1.3244587940835117</v>
      </c>
      <c r="L71" s="216">
        <f t="shared" si="4"/>
        <v>1.3375561327684409</v>
      </c>
      <c r="M71" s="216">
        <f t="shared" si="4"/>
        <v>1.3500869929357577</v>
      </c>
      <c r="N71" s="216">
        <f t="shared" si="4"/>
        <v>1.3624736002084319</v>
      </c>
      <c r="O71" s="216">
        <f t="shared" ref="O71:R71" si="20">O21-O46</f>
        <v>1.3742781593209656</v>
      </c>
      <c r="P71" s="216">
        <f t="shared" si="20"/>
        <v>1.3867927924120522</v>
      </c>
      <c r="Q71" s="216">
        <f t="shared" si="20"/>
        <v>1.3994983873217279</v>
      </c>
      <c r="R71" s="216">
        <f t="shared" si="20"/>
        <v>1.4127489318689186</v>
      </c>
    </row>
    <row r="72" spans="2:18" x14ac:dyDescent="0.35">
      <c r="B72" t="s">
        <v>278</v>
      </c>
      <c r="C72" t="s">
        <v>279</v>
      </c>
      <c r="D72" s="216">
        <f t="shared" si="4"/>
        <v>-2164.4482919103875</v>
      </c>
      <c r="E72" s="216" t="e">
        <f t="shared" si="4"/>
        <v>#DIV/0!</v>
      </c>
      <c r="F72" s="216" t="e">
        <f t="shared" si="4"/>
        <v>#DIV/0!</v>
      </c>
      <c r="G72" s="216" t="e">
        <f t="shared" si="4"/>
        <v>#DIV/0!</v>
      </c>
      <c r="H72" s="216" t="e">
        <f t="shared" si="4"/>
        <v>#DIV/0!</v>
      </c>
      <c r="I72" s="216" t="e">
        <f t="shared" si="4"/>
        <v>#DIV/0!</v>
      </c>
      <c r="J72" s="216" t="e">
        <f t="shared" si="4"/>
        <v>#DIV/0!</v>
      </c>
      <c r="K72" s="216" t="e">
        <f t="shared" si="4"/>
        <v>#DIV/0!</v>
      </c>
      <c r="L72" s="216" t="e">
        <f t="shared" si="4"/>
        <v>#DIV/0!</v>
      </c>
      <c r="M72" s="216" t="e">
        <f t="shared" si="4"/>
        <v>#DIV/0!</v>
      </c>
      <c r="N72" s="216" t="e">
        <f t="shared" si="4"/>
        <v>#DIV/0!</v>
      </c>
      <c r="O72" s="216" t="e">
        <f t="shared" ref="O72:R72" si="21">O22-O47</f>
        <v>#DIV/0!</v>
      </c>
      <c r="P72" s="216" t="e">
        <f t="shared" si="21"/>
        <v>#DIV/0!</v>
      </c>
      <c r="Q72" s="216" t="e">
        <f t="shared" si="21"/>
        <v>#DIV/0!</v>
      </c>
      <c r="R72" s="216" t="e">
        <f t="shared" si="21"/>
        <v>#DIV/0!</v>
      </c>
    </row>
    <row r="73" spans="2:18" x14ac:dyDescent="0.35">
      <c r="B73" t="s">
        <v>280</v>
      </c>
      <c r="C73" t="s">
        <v>281</v>
      </c>
      <c r="D73" s="216">
        <f t="shared" si="4"/>
        <v>-275.36144578313252</v>
      </c>
      <c r="E73" s="216">
        <f t="shared" si="4"/>
        <v>-278.50843373493979</v>
      </c>
      <c r="F73" s="216">
        <f t="shared" si="4"/>
        <v>0</v>
      </c>
      <c r="G73" s="216">
        <f t="shared" si="4"/>
        <v>0</v>
      </c>
      <c r="H73" s="216">
        <f t="shared" si="4"/>
        <v>0</v>
      </c>
      <c r="I73" s="216">
        <f t="shared" si="4"/>
        <v>0</v>
      </c>
      <c r="J73" s="216">
        <f t="shared" si="4"/>
        <v>0</v>
      </c>
      <c r="K73" s="216">
        <f t="shared" si="4"/>
        <v>0</v>
      </c>
      <c r="L73" s="216">
        <f t="shared" si="4"/>
        <v>0</v>
      </c>
      <c r="M73" s="216">
        <f t="shared" si="4"/>
        <v>0</v>
      </c>
      <c r="N73" s="216">
        <f t="shared" si="4"/>
        <v>0</v>
      </c>
      <c r="O73" s="216">
        <f t="shared" ref="O73:R73" si="22">O23-O48</f>
        <v>0</v>
      </c>
      <c r="P73" s="216">
        <f t="shared" si="22"/>
        <v>0</v>
      </c>
      <c r="Q73" s="216">
        <f t="shared" si="22"/>
        <v>0</v>
      </c>
      <c r="R73" s="216">
        <f t="shared" si="22"/>
        <v>0</v>
      </c>
    </row>
    <row r="74" spans="2:18" x14ac:dyDescent="0.35">
      <c r="B74" t="s">
        <v>282</v>
      </c>
      <c r="C74" t="s">
        <v>283</v>
      </c>
      <c r="D74" s="216">
        <f t="shared" si="4"/>
        <v>-119.87954743783622</v>
      </c>
      <c r="E74" s="216" t="e">
        <f t="shared" si="4"/>
        <v>#VALUE!</v>
      </c>
      <c r="F74" s="216" t="e">
        <f t="shared" si="4"/>
        <v>#VALUE!</v>
      </c>
      <c r="G74" s="216" t="e">
        <f t="shared" si="4"/>
        <v>#VALUE!</v>
      </c>
      <c r="H74" s="216" t="e">
        <f t="shared" si="4"/>
        <v>#VALUE!</v>
      </c>
      <c r="I74" s="216" t="e">
        <f t="shared" si="4"/>
        <v>#VALUE!</v>
      </c>
      <c r="J74" s="216" t="e">
        <f t="shared" si="4"/>
        <v>#VALUE!</v>
      </c>
      <c r="K74" s="216" t="e">
        <f t="shared" si="4"/>
        <v>#VALUE!</v>
      </c>
      <c r="L74" s="216" t="e">
        <f t="shared" si="4"/>
        <v>#VALUE!</v>
      </c>
      <c r="M74" s="216" t="e">
        <f t="shared" si="4"/>
        <v>#VALUE!</v>
      </c>
      <c r="N74" s="216" t="e">
        <f t="shared" si="4"/>
        <v>#VALUE!</v>
      </c>
      <c r="O74" s="216" t="e">
        <f t="shared" ref="O74:R74" si="23">O24-O49</f>
        <v>#VALUE!</v>
      </c>
      <c r="P74" s="216" t="e">
        <f t="shared" si="23"/>
        <v>#VALUE!</v>
      </c>
      <c r="Q74" s="216" t="e">
        <f t="shared" si="23"/>
        <v>#VALUE!</v>
      </c>
      <c r="R74" s="216" t="e">
        <f t="shared" si="23"/>
        <v>#VALUE!</v>
      </c>
    </row>
    <row r="77" spans="2:18" x14ac:dyDescent="0.35">
      <c r="B77" s="1026" t="s">
        <v>285</v>
      </c>
      <c r="C77" s="1026"/>
      <c r="D77" s="1026"/>
      <c r="E77" s="1026"/>
      <c r="F77" s="1026"/>
      <c r="G77" s="1026"/>
      <c r="H77" s="1026"/>
      <c r="I77" s="1026"/>
      <c r="J77" s="1026"/>
      <c r="K77" s="1026"/>
      <c r="L77" s="1026"/>
      <c r="M77" s="1026"/>
      <c r="N77" s="1026"/>
      <c r="O77" s="1026"/>
      <c r="P77" s="1026"/>
      <c r="Q77" s="1026"/>
      <c r="R77" s="1026"/>
    </row>
    <row r="78" spans="2:18" x14ac:dyDescent="0.35">
      <c r="B78" t="s">
        <v>230</v>
      </c>
      <c r="C78" t="s">
        <v>231</v>
      </c>
      <c r="D78" t="s">
        <v>232</v>
      </c>
      <c r="E78" t="s">
        <v>233</v>
      </c>
      <c r="F78" t="s">
        <v>234</v>
      </c>
      <c r="G78" t="s">
        <v>235</v>
      </c>
      <c r="H78" t="s">
        <v>236</v>
      </c>
      <c r="I78" t="s">
        <v>237</v>
      </c>
      <c r="J78" t="s">
        <v>238</v>
      </c>
      <c r="K78" t="s">
        <v>239</v>
      </c>
      <c r="L78" t="s">
        <v>240</v>
      </c>
      <c r="M78" t="s">
        <v>241</v>
      </c>
      <c r="N78" t="s">
        <v>242</v>
      </c>
      <c r="O78" t="s">
        <v>243</v>
      </c>
      <c r="P78" t="s">
        <v>226</v>
      </c>
      <c r="Q78" t="s">
        <v>227</v>
      </c>
      <c r="R78" t="s">
        <v>228</v>
      </c>
    </row>
    <row r="79" spans="2:18" x14ac:dyDescent="0.35">
      <c r="B79" t="s">
        <v>244</v>
      </c>
      <c r="C79" t="s">
        <v>245</v>
      </c>
      <c r="D79" s="842">
        <f t="shared" ref="D79:N79" si="24">(D4/D29-1)</f>
        <v>-1.0958549836927831</v>
      </c>
      <c r="E79" s="842" t="e">
        <f t="shared" si="24"/>
        <v>#DIV/0!</v>
      </c>
      <c r="F79" s="842" t="e">
        <f t="shared" si="24"/>
        <v>#DIV/0!</v>
      </c>
      <c r="G79" s="842" t="e">
        <f t="shared" si="24"/>
        <v>#DIV/0!</v>
      </c>
      <c r="H79" s="842" t="e">
        <f t="shared" si="24"/>
        <v>#DIV/0!</v>
      </c>
      <c r="I79" s="842">
        <f t="shared" si="24"/>
        <v>-0.89103604409347947</v>
      </c>
      <c r="J79" s="842">
        <f t="shared" si="24"/>
        <v>-0.88663367745183486</v>
      </c>
      <c r="K79" s="842">
        <f t="shared" si="24"/>
        <v>-0.9362929477719234</v>
      </c>
      <c r="L79" s="842">
        <f t="shared" si="24"/>
        <v>-0.95815200348322538</v>
      </c>
      <c r="M79" s="842">
        <f t="shared" si="24"/>
        <v>-0.96949337275882075</v>
      </c>
      <c r="N79" s="842">
        <f t="shared" si="24"/>
        <v>-1.0316955237111685</v>
      </c>
      <c r="O79" s="842">
        <f t="shared" ref="O79:R79" si="25">(O4/O29-1)</f>
        <v>-1.0903397134771851</v>
      </c>
      <c r="P79" s="842">
        <f t="shared" si="25"/>
        <v>-1.0988651639344815</v>
      </c>
      <c r="Q79" s="842">
        <f t="shared" si="25"/>
        <v>-1.1091245009002444</v>
      </c>
      <c r="R79" s="842">
        <f t="shared" si="25"/>
        <v>-1.1368634331676064</v>
      </c>
    </row>
    <row r="80" spans="2:18" x14ac:dyDescent="0.35">
      <c r="B80" t="s">
        <v>184</v>
      </c>
      <c r="C80" t="s">
        <v>246</v>
      </c>
      <c r="D80" s="842">
        <f t="shared" ref="D80:N99" si="26">(D5/D30-1)</f>
        <v>-1</v>
      </c>
      <c r="E80" s="842">
        <f t="shared" si="26"/>
        <v>1.9033616558106203E-3</v>
      </c>
      <c r="F80" s="842">
        <f t="shared" si="26"/>
        <v>1.9033616558106203E-3</v>
      </c>
      <c r="G80" s="842">
        <f t="shared" si="26"/>
        <v>1.9033616558106203E-3</v>
      </c>
      <c r="H80" s="842">
        <f t="shared" si="26"/>
        <v>1.9033616558106203E-3</v>
      </c>
      <c r="I80" s="842">
        <f t="shared" si="26"/>
        <v>1.9033616558106203E-3</v>
      </c>
      <c r="J80" s="842">
        <f t="shared" si="26"/>
        <v>1.9033616558106203E-3</v>
      </c>
      <c r="K80" s="842">
        <f t="shared" si="26"/>
        <v>1.9033616558106203E-3</v>
      </c>
      <c r="L80" s="842">
        <f t="shared" si="26"/>
        <v>1.9033616558106203E-3</v>
      </c>
      <c r="M80" s="842">
        <f t="shared" si="26"/>
        <v>1.9033616558106203E-3</v>
      </c>
      <c r="N80" s="842">
        <f t="shared" si="26"/>
        <v>1.9033616558106203E-3</v>
      </c>
      <c r="O80" s="842">
        <f t="shared" ref="O80:R80" si="27">(O5/O30-1)</f>
        <v>1.9033616558106203E-3</v>
      </c>
      <c r="P80" s="842">
        <f t="shared" si="27"/>
        <v>1.9033616558106203E-3</v>
      </c>
      <c r="Q80" s="842">
        <f t="shared" si="27"/>
        <v>1.9033616558106203E-3</v>
      </c>
      <c r="R80" s="842">
        <f t="shared" si="27"/>
        <v>1.9033616558106203E-3</v>
      </c>
    </row>
    <row r="81" spans="2:18" x14ac:dyDescent="0.35">
      <c r="B81" t="s">
        <v>247</v>
      </c>
      <c r="C81" t="s">
        <v>248</v>
      </c>
      <c r="D81" s="842">
        <f t="shared" si="26"/>
        <v>-1</v>
      </c>
      <c r="E81" s="842">
        <f t="shared" si="26"/>
        <v>-1</v>
      </c>
      <c r="F81" s="842">
        <f t="shared" si="26"/>
        <v>-1</v>
      </c>
      <c r="G81" s="842">
        <f t="shared" si="26"/>
        <v>-1</v>
      </c>
      <c r="H81" s="842">
        <f t="shared" si="26"/>
        <v>-1</v>
      </c>
      <c r="I81" s="842">
        <f t="shared" si="26"/>
        <v>-1</v>
      </c>
      <c r="J81" s="842">
        <f t="shared" si="26"/>
        <v>-1</v>
      </c>
      <c r="K81" s="842">
        <f t="shared" si="26"/>
        <v>-1</v>
      </c>
      <c r="L81" s="842">
        <f t="shared" si="26"/>
        <v>-1</v>
      </c>
      <c r="M81" s="842">
        <f t="shared" si="26"/>
        <v>-1</v>
      </c>
      <c r="N81" s="842">
        <f t="shared" si="26"/>
        <v>-1</v>
      </c>
      <c r="O81" s="842">
        <f t="shared" ref="O81:R81" si="28">(O6/O31-1)</f>
        <v>-1</v>
      </c>
      <c r="P81" s="842">
        <f t="shared" si="28"/>
        <v>-1</v>
      </c>
      <c r="Q81" s="842">
        <f t="shared" si="28"/>
        <v>-1</v>
      </c>
      <c r="R81" s="842">
        <f t="shared" si="28"/>
        <v>-1</v>
      </c>
    </row>
    <row r="82" spans="2:18" x14ac:dyDescent="0.35">
      <c r="B82" t="s">
        <v>249</v>
      </c>
      <c r="C82" t="s">
        <v>250</v>
      </c>
      <c r="D82" s="842">
        <f t="shared" si="26"/>
        <v>-1</v>
      </c>
      <c r="E82" s="842">
        <f t="shared" si="26"/>
        <v>-1</v>
      </c>
      <c r="F82" s="842">
        <f t="shared" si="26"/>
        <v>-1</v>
      </c>
      <c r="G82" s="842">
        <f t="shared" si="26"/>
        <v>-1</v>
      </c>
      <c r="H82" s="842">
        <f t="shared" si="26"/>
        <v>-1</v>
      </c>
      <c r="I82" s="842">
        <f t="shared" si="26"/>
        <v>-1</v>
      </c>
      <c r="J82" s="842">
        <f t="shared" si="26"/>
        <v>-1</v>
      </c>
      <c r="K82" s="842">
        <f t="shared" si="26"/>
        <v>-1</v>
      </c>
      <c r="L82" s="842">
        <f t="shared" si="26"/>
        <v>-1</v>
      </c>
      <c r="M82" s="842">
        <f t="shared" si="26"/>
        <v>-1</v>
      </c>
      <c r="N82" s="842">
        <f t="shared" si="26"/>
        <v>-1</v>
      </c>
      <c r="O82" s="842">
        <f t="shared" ref="O82:R82" si="29">(O7/O32-1)</f>
        <v>-1</v>
      </c>
      <c r="P82" s="842">
        <f t="shared" si="29"/>
        <v>-1</v>
      </c>
      <c r="Q82" s="842">
        <f t="shared" si="29"/>
        <v>-1</v>
      </c>
      <c r="R82" s="842">
        <f t="shared" si="29"/>
        <v>-1</v>
      </c>
    </row>
    <row r="83" spans="2:18" x14ac:dyDescent="0.35">
      <c r="B83" t="s">
        <v>251</v>
      </c>
      <c r="C83" t="s">
        <v>252</v>
      </c>
      <c r="D83" s="842">
        <f t="shared" si="26"/>
        <v>-1.3913678941400338</v>
      </c>
      <c r="E83" s="842" t="e">
        <f t="shared" si="26"/>
        <v>#DIV/0!</v>
      </c>
      <c r="F83" s="842" t="e">
        <f t="shared" si="26"/>
        <v>#DIV/0!</v>
      </c>
      <c r="G83" s="842" t="e">
        <f t="shared" si="26"/>
        <v>#DIV/0!</v>
      </c>
      <c r="H83" s="842" t="e">
        <f t="shared" si="26"/>
        <v>#DIV/0!</v>
      </c>
      <c r="I83" s="842">
        <f t="shared" si="26"/>
        <v>0</v>
      </c>
      <c r="J83" s="842">
        <f t="shared" si="26"/>
        <v>0</v>
      </c>
      <c r="K83" s="842">
        <f t="shared" si="26"/>
        <v>0</v>
      </c>
      <c r="L83" s="842">
        <f t="shared" si="26"/>
        <v>0</v>
      </c>
      <c r="M83" s="842">
        <f t="shared" si="26"/>
        <v>0</v>
      </c>
      <c r="N83" s="842">
        <f t="shared" si="26"/>
        <v>0</v>
      </c>
      <c r="O83" s="842">
        <f t="shared" ref="O83:R83" si="30">(O8/O33-1)</f>
        <v>0</v>
      </c>
      <c r="P83" s="842">
        <f t="shared" si="30"/>
        <v>0</v>
      </c>
      <c r="Q83" s="842">
        <f t="shared" si="30"/>
        <v>0</v>
      </c>
      <c r="R83" s="842">
        <f t="shared" si="30"/>
        <v>0</v>
      </c>
    </row>
    <row r="84" spans="2:18" x14ac:dyDescent="0.35">
      <c r="B84" t="s">
        <v>253</v>
      </c>
      <c r="C84" t="s">
        <v>254</v>
      </c>
      <c r="D84" s="842">
        <f t="shared" si="26"/>
        <v>0</v>
      </c>
      <c r="E84" s="842">
        <f t="shared" si="26"/>
        <v>0</v>
      </c>
      <c r="F84" s="842">
        <f t="shared" si="26"/>
        <v>0</v>
      </c>
      <c r="G84" s="842">
        <f t="shared" si="26"/>
        <v>0</v>
      </c>
      <c r="H84" s="842">
        <f t="shared" si="26"/>
        <v>0</v>
      </c>
      <c r="I84" s="842">
        <f t="shared" si="26"/>
        <v>0</v>
      </c>
      <c r="J84" s="842">
        <f t="shared" si="26"/>
        <v>0</v>
      </c>
      <c r="K84" s="842">
        <f t="shared" si="26"/>
        <v>0</v>
      </c>
      <c r="L84" s="842">
        <f t="shared" si="26"/>
        <v>0</v>
      </c>
      <c r="M84" s="842">
        <f t="shared" si="26"/>
        <v>0</v>
      </c>
      <c r="N84" s="842">
        <f t="shared" si="26"/>
        <v>0</v>
      </c>
      <c r="O84" s="842">
        <f t="shared" ref="O84:R84" si="31">(O9/O34-1)</f>
        <v>0</v>
      </c>
      <c r="P84" s="842">
        <f t="shared" si="31"/>
        <v>0</v>
      </c>
      <c r="Q84" s="842">
        <f t="shared" si="31"/>
        <v>0</v>
      </c>
      <c r="R84" s="842">
        <f t="shared" si="31"/>
        <v>0</v>
      </c>
    </row>
    <row r="85" spans="2:18" x14ac:dyDescent="0.35">
      <c r="B85" t="s">
        <v>255</v>
      </c>
      <c r="C85" t="s">
        <v>256</v>
      </c>
      <c r="D85" s="842">
        <f t="shared" si="26"/>
        <v>-1</v>
      </c>
      <c r="E85" s="842" t="e">
        <f t="shared" si="26"/>
        <v>#DIV/0!</v>
      </c>
      <c r="F85" s="842" t="e">
        <f t="shared" si="26"/>
        <v>#DIV/0!</v>
      </c>
      <c r="G85" s="842" t="e">
        <f t="shared" si="26"/>
        <v>#DIV/0!</v>
      </c>
      <c r="H85" s="842" t="e">
        <f t="shared" si="26"/>
        <v>#DIV/0!</v>
      </c>
      <c r="I85" s="842" t="e">
        <f t="shared" si="26"/>
        <v>#DIV/0!</v>
      </c>
      <c r="J85" s="842" t="e">
        <f t="shared" si="26"/>
        <v>#DIV/0!</v>
      </c>
      <c r="K85" s="842" t="e">
        <f t="shared" si="26"/>
        <v>#DIV/0!</v>
      </c>
      <c r="L85" s="842" t="e">
        <f t="shared" si="26"/>
        <v>#DIV/0!</v>
      </c>
      <c r="M85" s="842" t="e">
        <f t="shared" si="26"/>
        <v>#DIV/0!</v>
      </c>
      <c r="N85" s="842" t="e">
        <f t="shared" si="26"/>
        <v>#DIV/0!</v>
      </c>
      <c r="O85" s="842" t="e">
        <f t="shared" ref="O85:R85" si="32">(O10/O35-1)</f>
        <v>#DIV/0!</v>
      </c>
      <c r="P85" s="842" t="e">
        <f t="shared" si="32"/>
        <v>#DIV/0!</v>
      </c>
      <c r="Q85" s="842" t="e">
        <f t="shared" si="32"/>
        <v>#DIV/0!</v>
      </c>
      <c r="R85" s="842" t="e">
        <f t="shared" si="32"/>
        <v>#DIV/0!</v>
      </c>
    </row>
    <row r="86" spans="2:18" x14ac:dyDescent="0.35">
      <c r="B86" t="s">
        <v>257</v>
      </c>
      <c r="C86" t="s">
        <v>258</v>
      </c>
      <c r="D86" s="842">
        <f t="shared" si="26"/>
        <v>-1</v>
      </c>
      <c r="E86" s="842">
        <f t="shared" si="26"/>
        <v>-1</v>
      </c>
      <c r="F86" s="842">
        <f t="shared" si="26"/>
        <v>-1</v>
      </c>
      <c r="G86" s="842">
        <f t="shared" si="26"/>
        <v>-1</v>
      </c>
      <c r="H86" s="842">
        <f t="shared" si="26"/>
        <v>-1</v>
      </c>
      <c r="I86" s="842">
        <f t="shared" si="26"/>
        <v>-1</v>
      </c>
      <c r="J86" s="842">
        <f t="shared" si="26"/>
        <v>-1</v>
      </c>
      <c r="K86" s="842">
        <f t="shared" si="26"/>
        <v>-1</v>
      </c>
      <c r="L86" s="842">
        <f t="shared" si="26"/>
        <v>-1</v>
      </c>
      <c r="M86" s="842">
        <f t="shared" si="26"/>
        <v>-1</v>
      </c>
      <c r="N86" s="842">
        <f t="shared" si="26"/>
        <v>-1</v>
      </c>
      <c r="O86" s="842">
        <f t="shared" ref="O86:R86" si="33">(O11/O36-1)</f>
        <v>-1</v>
      </c>
      <c r="P86" s="842">
        <f t="shared" si="33"/>
        <v>-1</v>
      </c>
      <c r="Q86" s="842">
        <f t="shared" si="33"/>
        <v>-1</v>
      </c>
      <c r="R86" s="842">
        <f t="shared" si="33"/>
        <v>-1</v>
      </c>
    </row>
    <row r="87" spans="2:18" x14ac:dyDescent="0.35">
      <c r="B87" t="s">
        <v>259</v>
      </c>
      <c r="C87" t="s">
        <v>260</v>
      </c>
      <c r="D87" s="842">
        <f t="shared" si="26"/>
        <v>-1</v>
      </c>
      <c r="E87" s="842" t="e">
        <f t="shared" si="26"/>
        <v>#DIV/0!</v>
      </c>
      <c r="F87" s="842" t="e">
        <f t="shared" si="26"/>
        <v>#DIV/0!</v>
      </c>
      <c r="G87" s="842" t="e">
        <f t="shared" si="26"/>
        <v>#DIV/0!</v>
      </c>
      <c r="H87" s="842" t="e">
        <f t="shared" si="26"/>
        <v>#DIV/0!</v>
      </c>
      <c r="I87" s="842" t="e">
        <f t="shared" si="26"/>
        <v>#DIV/0!</v>
      </c>
      <c r="J87" s="842" t="e">
        <f t="shared" si="26"/>
        <v>#DIV/0!</v>
      </c>
      <c r="K87" s="842" t="e">
        <f t="shared" si="26"/>
        <v>#DIV/0!</v>
      </c>
      <c r="L87" s="842" t="e">
        <f t="shared" si="26"/>
        <v>#DIV/0!</v>
      </c>
      <c r="M87" s="842" t="e">
        <f t="shared" si="26"/>
        <v>#DIV/0!</v>
      </c>
      <c r="N87" s="842" t="e">
        <f t="shared" si="26"/>
        <v>#DIV/0!</v>
      </c>
      <c r="O87" s="842" t="e">
        <f t="shared" ref="O87:R87" si="34">(O12/O37-1)</f>
        <v>#DIV/0!</v>
      </c>
      <c r="P87" s="842" t="e">
        <f t="shared" si="34"/>
        <v>#DIV/0!</v>
      </c>
      <c r="Q87" s="842" t="e">
        <f t="shared" si="34"/>
        <v>#DIV/0!</v>
      </c>
      <c r="R87" s="842" t="e">
        <f t="shared" si="34"/>
        <v>#DIV/0!</v>
      </c>
    </row>
    <row r="88" spans="2:18" x14ac:dyDescent="0.35">
      <c r="B88" t="s">
        <v>261</v>
      </c>
      <c r="C88" t="s">
        <v>262</v>
      </c>
      <c r="D88" s="842">
        <f t="shared" si="26"/>
        <v>-1</v>
      </c>
      <c r="E88" s="842" t="e">
        <f t="shared" si="26"/>
        <v>#DIV/0!</v>
      </c>
      <c r="F88" s="842" t="e">
        <f t="shared" si="26"/>
        <v>#DIV/0!</v>
      </c>
      <c r="G88" s="842" t="e">
        <f t="shared" si="26"/>
        <v>#DIV/0!</v>
      </c>
      <c r="H88" s="842" t="e">
        <f t="shared" si="26"/>
        <v>#DIV/0!</v>
      </c>
      <c r="I88" s="842" t="e">
        <f t="shared" si="26"/>
        <v>#DIV/0!</v>
      </c>
      <c r="J88" s="842" t="e">
        <f t="shared" si="26"/>
        <v>#DIV/0!</v>
      </c>
      <c r="K88" s="842" t="e">
        <f t="shared" si="26"/>
        <v>#DIV/0!</v>
      </c>
      <c r="L88" s="842" t="e">
        <f t="shared" si="26"/>
        <v>#DIV/0!</v>
      </c>
      <c r="M88" s="842" t="e">
        <f t="shared" si="26"/>
        <v>#DIV/0!</v>
      </c>
      <c r="N88" s="842" t="e">
        <f t="shared" si="26"/>
        <v>#DIV/0!</v>
      </c>
      <c r="O88" s="842" t="e">
        <f t="shared" ref="O88:R88" si="35">(O13/O38-1)</f>
        <v>#DIV/0!</v>
      </c>
      <c r="P88" s="842" t="e">
        <f t="shared" si="35"/>
        <v>#DIV/0!</v>
      </c>
      <c r="Q88" s="842" t="e">
        <f t="shared" si="35"/>
        <v>#DIV/0!</v>
      </c>
      <c r="R88" s="842" t="e">
        <f t="shared" si="35"/>
        <v>#DIV/0!</v>
      </c>
    </row>
    <row r="89" spans="2:18" x14ac:dyDescent="0.35">
      <c r="B89" t="s">
        <v>80</v>
      </c>
      <c r="C89" t="s">
        <v>263</v>
      </c>
      <c r="D89" s="842">
        <f t="shared" si="26"/>
        <v>-1</v>
      </c>
      <c r="E89" s="842">
        <f t="shared" si="26"/>
        <v>-1.000294100181601</v>
      </c>
      <c r="F89" s="842">
        <f t="shared" si="26"/>
        <v>-1.0195815688738878</v>
      </c>
      <c r="G89" s="842">
        <f t="shared" si="26"/>
        <v>-1.0195371917946916</v>
      </c>
      <c r="H89" s="842">
        <f t="shared" si="26"/>
        <v>-1.0360653179709376</v>
      </c>
      <c r="I89" s="842">
        <f t="shared" si="26"/>
        <v>-1.0357121680598689</v>
      </c>
      <c r="J89" s="842">
        <f t="shared" si="26"/>
        <v>-1.0353662496000897</v>
      </c>
      <c r="K89" s="842">
        <f t="shared" si="26"/>
        <v>-1.0350268955804076</v>
      </c>
      <c r="L89" s="842">
        <f t="shared" si="26"/>
        <v>-1.0346939773192361</v>
      </c>
      <c r="M89" s="842">
        <f t="shared" si="26"/>
        <v>-1.0343673688092256</v>
      </c>
      <c r="N89" s="842">
        <f t="shared" si="26"/>
        <v>-1.0340514461996753</v>
      </c>
      <c r="O89" s="842">
        <f t="shared" ref="O89:R89" si="36">(O14/O39-1)</f>
        <v>-1.033741420001359</v>
      </c>
      <c r="P89" s="842">
        <f t="shared" si="36"/>
        <v>-1.0334371767809463</v>
      </c>
      <c r="Q89" s="842">
        <f t="shared" si="36"/>
        <v>-1.0331386054102869</v>
      </c>
      <c r="R89" s="842">
        <f t="shared" si="36"/>
        <v>-1.0328455970151245</v>
      </c>
    </row>
    <row r="90" spans="2:18" x14ac:dyDescent="0.35">
      <c r="B90" t="s">
        <v>264</v>
      </c>
      <c r="C90" t="s">
        <v>265</v>
      </c>
      <c r="D90" s="842" t="e">
        <f t="shared" si="26"/>
        <v>#DIV/0!</v>
      </c>
      <c r="E90" s="842" t="e">
        <f t="shared" si="26"/>
        <v>#DIV/0!</v>
      </c>
      <c r="F90" s="842" t="e">
        <f t="shared" si="26"/>
        <v>#DIV/0!</v>
      </c>
      <c r="G90" s="842" t="e">
        <f t="shared" si="26"/>
        <v>#DIV/0!</v>
      </c>
      <c r="H90" s="842" t="e">
        <f t="shared" si="26"/>
        <v>#DIV/0!</v>
      </c>
      <c r="I90" s="842" t="e">
        <f t="shared" si="26"/>
        <v>#DIV/0!</v>
      </c>
      <c r="J90" s="842" t="e">
        <f t="shared" si="26"/>
        <v>#DIV/0!</v>
      </c>
      <c r="K90" s="842" t="e">
        <f t="shared" si="26"/>
        <v>#DIV/0!</v>
      </c>
      <c r="L90" s="842" t="e">
        <f t="shared" si="26"/>
        <v>#DIV/0!</v>
      </c>
      <c r="M90" s="842" t="e">
        <f t="shared" si="26"/>
        <v>#DIV/0!</v>
      </c>
      <c r="N90" s="842" t="e">
        <f t="shared" si="26"/>
        <v>#DIV/0!</v>
      </c>
      <c r="O90" s="842" t="e">
        <f t="shared" ref="O90:R90" si="37">(O15/O40-1)</f>
        <v>#DIV/0!</v>
      </c>
      <c r="P90" s="842" t="e">
        <f t="shared" si="37"/>
        <v>#DIV/0!</v>
      </c>
      <c r="Q90" s="842" t="e">
        <f t="shared" si="37"/>
        <v>#DIV/0!</v>
      </c>
      <c r="R90" s="842" t="e">
        <f t="shared" si="37"/>
        <v>#DIV/0!</v>
      </c>
    </row>
    <row r="91" spans="2:18" x14ac:dyDescent="0.35">
      <c r="B91" t="s">
        <v>266</v>
      </c>
      <c r="C91" t="s">
        <v>267</v>
      </c>
      <c r="D91" s="842">
        <f t="shared" si="26"/>
        <v>-1</v>
      </c>
      <c r="E91" s="842" t="e">
        <f t="shared" si="26"/>
        <v>#DIV/0!</v>
      </c>
      <c r="F91" s="842">
        <f t="shared" si="26"/>
        <v>0</v>
      </c>
      <c r="G91" s="842">
        <f t="shared" si="26"/>
        <v>-0.57257371886630404</v>
      </c>
      <c r="H91" s="842" t="e">
        <f t="shared" si="26"/>
        <v>#DIV/0!</v>
      </c>
      <c r="I91" s="842" t="e">
        <f t="shared" si="26"/>
        <v>#DIV/0!</v>
      </c>
      <c r="J91" s="842" t="e">
        <f t="shared" si="26"/>
        <v>#DIV/0!</v>
      </c>
      <c r="K91" s="842" t="e">
        <f t="shared" si="26"/>
        <v>#DIV/0!</v>
      </c>
      <c r="L91" s="842" t="e">
        <f t="shared" si="26"/>
        <v>#DIV/0!</v>
      </c>
      <c r="M91" s="842" t="e">
        <f t="shared" si="26"/>
        <v>#DIV/0!</v>
      </c>
      <c r="N91" s="842" t="e">
        <f t="shared" si="26"/>
        <v>#DIV/0!</v>
      </c>
      <c r="O91" s="842" t="e">
        <f t="shared" ref="O91:R91" si="38">(O16/O41-1)</f>
        <v>#DIV/0!</v>
      </c>
      <c r="P91" s="842" t="e">
        <f t="shared" si="38"/>
        <v>#DIV/0!</v>
      </c>
      <c r="Q91" s="842" t="e">
        <f t="shared" si="38"/>
        <v>#DIV/0!</v>
      </c>
      <c r="R91" s="842" t="e">
        <f t="shared" si="38"/>
        <v>#DIV/0!</v>
      </c>
    </row>
    <row r="92" spans="2:18" x14ac:dyDescent="0.35">
      <c r="B92" t="s">
        <v>268</v>
      </c>
      <c r="C92" t="s">
        <v>269</v>
      </c>
      <c r="D92" s="842">
        <f t="shared" si="26"/>
        <v>0</v>
      </c>
      <c r="E92" s="842">
        <f t="shared" si="26"/>
        <v>0</v>
      </c>
      <c r="F92" s="842">
        <f t="shared" si="26"/>
        <v>0</v>
      </c>
      <c r="G92" s="842">
        <f t="shared" si="26"/>
        <v>0</v>
      </c>
      <c r="H92" s="842">
        <f t="shared" si="26"/>
        <v>0</v>
      </c>
      <c r="I92" s="842">
        <f t="shared" si="26"/>
        <v>0</v>
      </c>
      <c r="J92" s="842">
        <f t="shared" si="26"/>
        <v>0</v>
      </c>
      <c r="K92" s="842">
        <f t="shared" si="26"/>
        <v>0</v>
      </c>
      <c r="L92" s="842">
        <f t="shared" si="26"/>
        <v>0</v>
      </c>
      <c r="M92" s="842">
        <f t="shared" si="26"/>
        <v>0</v>
      </c>
      <c r="N92" s="842">
        <f t="shared" si="26"/>
        <v>0</v>
      </c>
      <c r="O92" s="842">
        <f t="shared" ref="O92:R92" si="39">(O17/O42-1)</f>
        <v>0</v>
      </c>
      <c r="P92" s="842">
        <f t="shared" si="39"/>
        <v>0</v>
      </c>
      <c r="Q92" s="842">
        <f t="shared" si="39"/>
        <v>0</v>
      </c>
      <c r="R92" s="842">
        <f t="shared" si="39"/>
        <v>0</v>
      </c>
    </row>
    <row r="93" spans="2:18" x14ac:dyDescent="0.35">
      <c r="B93" t="s">
        <v>270</v>
      </c>
      <c r="C93" t="s">
        <v>271</v>
      </c>
      <c r="D93" s="842">
        <f t="shared" si="26"/>
        <v>0</v>
      </c>
      <c r="E93" s="842">
        <f t="shared" si="26"/>
        <v>0</v>
      </c>
      <c r="F93" s="842">
        <f t="shared" si="26"/>
        <v>0</v>
      </c>
      <c r="G93" s="842">
        <f t="shared" si="26"/>
        <v>0</v>
      </c>
      <c r="H93" s="842">
        <f t="shared" si="26"/>
        <v>0</v>
      </c>
      <c r="I93" s="842">
        <f t="shared" si="26"/>
        <v>0</v>
      </c>
      <c r="J93" s="842">
        <f t="shared" si="26"/>
        <v>0</v>
      </c>
      <c r="K93" s="842">
        <f t="shared" si="26"/>
        <v>0</v>
      </c>
      <c r="L93" s="842">
        <f t="shared" si="26"/>
        <v>0</v>
      </c>
      <c r="M93" s="842">
        <f t="shared" si="26"/>
        <v>0</v>
      </c>
      <c r="N93" s="842">
        <f t="shared" si="26"/>
        <v>0</v>
      </c>
      <c r="O93" s="842">
        <f t="shared" ref="O93:R93" si="40">(O18/O43-1)</f>
        <v>0</v>
      </c>
      <c r="P93" s="842">
        <f t="shared" si="40"/>
        <v>0</v>
      </c>
      <c r="Q93" s="842">
        <f t="shared" si="40"/>
        <v>0</v>
      </c>
      <c r="R93" s="842">
        <f t="shared" si="40"/>
        <v>0</v>
      </c>
    </row>
    <row r="94" spans="2:18" x14ac:dyDescent="0.35">
      <c r="B94" t="s">
        <v>272</v>
      </c>
      <c r="C94" t="s">
        <v>273</v>
      </c>
      <c r="D94" s="842" t="e">
        <f t="shared" si="26"/>
        <v>#VALUE!</v>
      </c>
      <c r="E94" s="842" t="e">
        <f t="shared" si="26"/>
        <v>#VALUE!</v>
      </c>
      <c r="F94" s="842">
        <f t="shared" si="26"/>
        <v>0</v>
      </c>
      <c r="G94" s="842">
        <f t="shared" si="26"/>
        <v>0</v>
      </c>
      <c r="H94" s="842">
        <f t="shared" si="26"/>
        <v>0</v>
      </c>
      <c r="I94" s="842">
        <f t="shared" si="26"/>
        <v>0</v>
      </c>
      <c r="J94" s="842">
        <f t="shared" si="26"/>
        <v>0</v>
      </c>
      <c r="K94" s="842">
        <f t="shared" si="26"/>
        <v>0</v>
      </c>
      <c r="L94" s="842">
        <f t="shared" si="26"/>
        <v>0</v>
      </c>
      <c r="M94" s="842">
        <f t="shared" si="26"/>
        <v>0</v>
      </c>
      <c r="N94" s="842">
        <f t="shared" si="26"/>
        <v>0</v>
      </c>
      <c r="O94" s="842">
        <f t="shared" ref="O94:R94" si="41">(O19/O44-1)</f>
        <v>0</v>
      </c>
      <c r="P94" s="842">
        <f t="shared" si="41"/>
        <v>0</v>
      </c>
      <c r="Q94" s="842">
        <f t="shared" si="41"/>
        <v>0</v>
      </c>
      <c r="R94" s="842">
        <f t="shared" si="41"/>
        <v>0</v>
      </c>
    </row>
    <row r="95" spans="2:18" x14ac:dyDescent="0.35">
      <c r="B95" t="s">
        <v>274</v>
      </c>
      <c r="C95" t="s">
        <v>275</v>
      </c>
      <c r="D95" s="842">
        <f t="shared" si="26"/>
        <v>-1</v>
      </c>
      <c r="E95" s="842">
        <f t="shared" si="26"/>
        <v>-1</v>
      </c>
      <c r="F95" s="842">
        <f t="shared" si="26"/>
        <v>-1</v>
      </c>
      <c r="G95" s="842">
        <f t="shared" si="26"/>
        <v>-1</v>
      </c>
      <c r="H95" s="842">
        <f t="shared" si="26"/>
        <v>-1</v>
      </c>
      <c r="I95" s="842">
        <f t="shared" si="26"/>
        <v>-1</v>
      </c>
      <c r="J95" s="842">
        <f t="shared" si="26"/>
        <v>-1</v>
      </c>
      <c r="K95" s="842">
        <f t="shared" si="26"/>
        <v>-1</v>
      </c>
      <c r="L95" s="842">
        <f t="shared" si="26"/>
        <v>-1</v>
      </c>
      <c r="M95" s="842">
        <f t="shared" si="26"/>
        <v>-1</v>
      </c>
      <c r="N95" s="842">
        <f t="shared" si="26"/>
        <v>-1</v>
      </c>
      <c r="O95" s="842">
        <f t="shared" ref="O95:R95" si="42">(O20/O45-1)</f>
        <v>-1</v>
      </c>
      <c r="P95" s="842">
        <f t="shared" si="42"/>
        <v>-1</v>
      </c>
      <c r="Q95" s="842">
        <f t="shared" si="42"/>
        <v>-1</v>
      </c>
      <c r="R95" s="842">
        <f t="shared" si="42"/>
        <v>-1</v>
      </c>
    </row>
    <row r="96" spans="2:18" x14ac:dyDescent="0.35">
      <c r="B96" t="s">
        <v>276</v>
      </c>
      <c r="C96" t="s">
        <v>277</v>
      </c>
      <c r="D96" s="842">
        <f t="shared" si="26"/>
        <v>-1</v>
      </c>
      <c r="E96" s="842">
        <f t="shared" si="26"/>
        <v>-1</v>
      </c>
      <c r="F96" s="842">
        <f t="shared" si="26"/>
        <v>3.2968680497935665E-4</v>
      </c>
      <c r="G96" s="842">
        <f t="shared" si="26"/>
        <v>3.2987516640603509E-4</v>
      </c>
      <c r="H96" s="842">
        <f t="shared" si="26"/>
        <v>3.3003574915690947E-4</v>
      </c>
      <c r="I96" s="842">
        <f t="shared" si="26"/>
        <v>3.3017111961020085E-4</v>
      </c>
      <c r="J96" s="842">
        <f t="shared" si="26"/>
        <v>3.3079613546771469E-4</v>
      </c>
      <c r="K96" s="842">
        <f t="shared" si="26"/>
        <v>3.3094834767122272E-4</v>
      </c>
      <c r="L96" s="842">
        <f t="shared" si="26"/>
        <v>3.310384079220352E-4</v>
      </c>
      <c r="M96" s="842">
        <f t="shared" si="26"/>
        <v>3.3105412147804714E-4</v>
      </c>
      <c r="N96" s="842">
        <f t="shared" si="26"/>
        <v>3.3113659944872254E-4</v>
      </c>
      <c r="O96" s="842">
        <f t="shared" ref="O96:R96" si="43">(O21/O46-1)</f>
        <v>3.3110515772705185E-4</v>
      </c>
      <c r="P96" s="842">
        <f t="shared" si="43"/>
        <v>3.3111395052798365E-4</v>
      </c>
      <c r="Q96" s="842">
        <f t="shared" si="43"/>
        <v>3.311655580722217E-4</v>
      </c>
      <c r="R96" s="842">
        <f t="shared" si="43"/>
        <v>3.3125947434919922E-4</v>
      </c>
    </row>
    <row r="97" spans="2:18" x14ac:dyDescent="0.35">
      <c r="B97" t="s">
        <v>278</v>
      </c>
      <c r="C97" t="s">
        <v>279</v>
      </c>
      <c r="D97" s="842">
        <f t="shared" si="26"/>
        <v>-1</v>
      </c>
      <c r="E97" s="842" t="e">
        <f t="shared" si="26"/>
        <v>#DIV/0!</v>
      </c>
      <c r="F97" s="842" t="e">
        <f t="shared" si="26"/>
        <v>#DIV/0!</v>
      </c>
      <c r="G97" s="842" t="e">
        <f t="shared" si="26"/>
        <v>#DIV/0!</v>
      </c>
      <c r="H97" s="842" t="e">
        <f t="shared" si="26"/>
        <v>#DIV/0!</v>
      </c>
      <c r="I97" s="842" t="e">
        <f t="shared" si="26"/>
        <v>#DIV/0!</v>
      </c>
      <c r="J97" s="842" t="e">
        <f t="shared" si="26"/>
        <v>#DIV/0!</v>
      </c>
      <c r="K97" s="842" t="e">
        <f t="shared" si="26"/>
        <v>#DIV/0!</v>
      </c>
      <c r="L97" s="842" t="e">
        <f t="shared" si="26"/>
        <v>#DIV/0!</v>
      </c>
      <c r="M97" s="842" t="e">
        <f t="shared" si="26"/>
        <v>#DIV/0!</v>
      </c>
      <c r="N97" s="842" t="e">
        <f t="shared" si="26"/>
        <v>#DIV/0!</v>
      </c>
      <c r="O97" s="842" t="e">
        <f t="shared" ref="O97:R97" si="44">(O22/O47-1)</f>
        <v>#DIV/0!</v>
      </c>
      <c r="P97" s="842" t="e">
        <f t="shared" si="44"/>
        <v>#DIV/0!</v>
      </c>
      <c r="Q97" s="842" t="e">
        <f t="shared" si="44"/>
        <v>#DIV/0!</v>
      </c>
      <c r="R97" s="842" t="e">
        <f t="shared" si="44"/>
        <v>#DIV/0!</v>
      </c>
    </row>
    <row r="98" spans="2:18" x14ac:dyDescent="0.35">
      <c r="B98" t="s">
        <v>280</v>
      </c>
      <c r="C98" t="s">
        <v>281</v>
      </c>
      <c r="D98" s="842">
        <f t="shared" si="26"/>
        <v>-1</v>
      </c>
      <c r="E98" s="842">
        <f t="shared" si="26"/>
        <v>-1</v>
      </c>
      <c r="F98" s="842">
        <f t="shared" si="26"/>
        <v>0</v>
      </c>
      <c r="G98" s="842">
        <f t="shared" si="26"/>
        <v>0</v>
      </c>
      <c r="H98" s="842">
        <f t="shared" si="26"/>
        <v>0</v>
      </c>
      <c r="I98" s="842">
        <f t="shared" si="26"/>
        <v>0</v>
      </c>
      <c r="J98" s="842">
        <f t="shared" si="26"/>
        <v>0</v>
      </c>
      <c r="K98" s="842">
        <f t="shared" si="26"/>
        <v>0</v>
      </c>
      <c r="L98" s="842">
        <f t="shared" si="26"/>
        <v>0</v>
      </c>
      <c r="M98" s="842">
        <f t="shared" si="26"/>
        <v>0</v>
      </c>
      <c r="N98" s="842">
        <f t="shared" si="26"/>
        <v>0</v>
      </c>
      <c r="O98" s="842">
        <f t="shared" ref="O98:R98" si="45">(O23/O48-1)</f>
        <v>0</v>
      </c>
      <c r="P98" s="842">
        <f t="shared" si="45"/>
        <v>0</v>
      </c>
      <c r="Q98" s="842">
        <f t="shared" si="45"/>
        <v>0</v>
      </c>
      <c r="R98" s="842">
        <f t="shared" si="45"/>
        <v>0</v>
      </c>
    </row>
    <row r="99" spans="2:18" x14ac:dyDescent="0.35">
      <c r="B99" t="s">
        <v>282</v>
      </c>
      <c r="C99" t="s">
        <v>283</v>
      </c>
      <c r="D99" s="842">
        <f t="shared" si="26"/>
        <v>-1</v>
      </c>
      <c r="E99" s="842" t="e">
        <f t="shared" si="26"/>
        <v>#VALUE!</v>
      </c>
      <c r="F99" s="842" t="e">
        <f t="shared" si="26"/>
        <v>#VALUE!</v>
      </c>
      <c r="G99" s="842" t="e">
        <f t="shared" si="26"/>
        <v>#VALUE!</v>
      </c>
      <c r="H99" s="842" t="e">
        <f t="shared" si="26"/>
        <v>#VALUE!</v>
      </c>
      <c r="I99" s="842" t="e">
        <f t="shared" si="26"/>
        <v>#VALUE!</v>
      </c>
      <c r="J99" s="842" t="e">
        <f t="shared" si="26"/>
        <v>#VALUE!</v>
      </c>
      <c r="K99" s="842" t="e">
        <f t="shared" si="26"/>
        <v>#VALUE!</v>
      </c>
      <c r="L99" s="842" t="e">
        <f t="shared" si="26"/>
        <v>#VALUE!</v>
      </c>
      <c r="M99" s="842" t="e">
        <f t="shared" si="26"/>
        <v>#VALUE!</v>
      </c>
      <c r="N99" s="842" t="e">
        <f t="shared" si="26"/>
        <v>#VALUE!</v>
      </c>
      <c r="O99" s="842" t="e">
        <f t="shared" ref="O99:R99" si="46">(O24/O49-1)</f>
        <v>#VALUE!</v>
      </c>
      <c r="P99" s="842" t="e">
        <f t="shared" si="46"/>
        <v>#VALUE!</v>
      </c>
      <c r="Q99" s="842" t="e">
        <f t="shared" si="46"/>
        <v>#VALUE!</v>
      </c>
      <c r="R99" s="842" t="e">
        <f t="shared" si="46"/>
        <v>#VALUE!</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C3" sqref="C3"/>
    </sheetView>
  </sheetViews>
  <sheetFormatPr defaultColWidth="8.81640625" defaultRowHeight="14.5" x14ac:dyDescent="0.35"/>
  <cols>
    <col min="1" max="1" width="41.1796875" customWidth="1"/>
    <col min="2" max="2" width="23.453125" customWidth="1"/>
    <col min="3" max="13" width="10.453125" bestFit="1" customWidth="1"/>
  </cols>
  <sheetData>
    <row r="1" spans="1:17" s="282" customFormat="1" x14ac:dyDescent="0.35">
      <c r="A1" s="282" t="s">
        <v>230</v>
      </c>
      <c r="B1" s="282" t="s">
        <v>231</v>
      </c>
      <c r="C1" s="285" t="s">
        <v>232</v>
      </c>
      <c r="D1" s="285" t="s">
        <v>233</v>
      </c>
      <c r="E1" s="285" t="s">
        <v>234</v>
      </c>
      <c r="F1" s="285" t="s">
        <v>235</v>
      </c>
      <c r="G1" s="285" t="s">
        <v>236</v>
      </c>
      <c r="H1" s="285" t="s">
        <v>237</v>
      </c>
      <c r="I1" s="285" t="s">
        <v>238</v>
      </c>
      <c r="J1" s="285" t="s">
        <v>239</v>
      </c>
      <c r="K1" s="285" t="s">
        <v>240</v>
      </c>
      <c r="L1" s="285" t="s">
        <v>241</v>
      </c>
      <c r="M1" s="285" t="s">
        <v>242</v>
      </c>
      <c r="N1" s="285" t="s">
        <v>243</v>
      </c>
      <c r="O1" s="285" t="s">
        <v>226</v>
      </c>
      <c r="P1" s="285" t="s">
        <v>227</v>
      </c>
      <c r="Q1" s="285" t="s">
        <v>228</v>
      </c>
    </row>
    <row r="2" spans="1:17" x14ac:dyDescent="0.35">
      <c r="A2" t="s">
        <v>244</v>
      </c>
      <c r="B2" t="s">
        <v>245</v>
      </c>
      <c r="C2" s="216">
        <f>Grants!O74</f>
        <v>-34.256</v>
      </c>
      <c r="D2" s="216" t="e">
        <f>Grants!P74</f>
        <v>#DIV/0!</v>
      </c>
      <c r="E2" s="216" t="e">
        <f>Grants!Q74</f>
        <v>#DIV/0!</v>
      </c>
      <c r="F2" s="216" t="e">
        <f>Grants!R74</f>
        <v>#DIV/0!</v>
      </c>
      <c r="G2" s="216" t="e">
        <f>Grants!S74</f>
        <v>#DIV/0!</v>
      </c>
      <c r="H2" s="216">
        <f>Grants!T74</f>
        <v>49.935991634052229</v>
      </c>
      <c r="I2" s="216">
        <f>Grants!U74</f>
        <v>54.299929299414316</v>
      </c>
      <c r="J2" s="216">
        <f>Grants!V74</f>
        <v>30.051664103390891</v>
      </c>
      <c r="K2" s="216">
        <f>Grants!W74</f>
        <v>20.06163690752652</v>
      </c>
      <c r="L2" s="216">
        <f>Grants!X74</f>
        <v>15.03172414382756</v>
      </c>
      <c r="M2" s="216">
        <f>Grants!Y74</f>
        <v>-15.26297425041929</v>
      </c>
      <c r="N2" s="216">
        <f>Grants!Z74</f>
        <v>-42.809780700436079</v>
      </c>
      <c r="O2" s="216">
        <f>Grants!AA74</f>
        <v>-48.345755288453518</v>
      </c>
      <c r="P2" s="216">
        <f>Grants!AB74</f>
        <v>-54.983802999991639</v>
      </c>
      <c r="Q2" s="216">
        <f>Grants!AC74</f>
        <v>-69.968936847991301</v>
      </c>
    </row>
    <row r="3" spans="1:17" x14ac:dyDescent="0.35">
      <c r="A3" t="s">
        <v>184</v>
      </c>
      <c r="B3" t="s">
        <v>246</v>
      </c>
      <c r="C3" s="216">
        <f>Grants!O93</f>
        <v>0</v>
      </c>
      <c r="D3" s="216">
        <f>Grants!P93</f>
        <v>75.34842857142857</v>
      </c>
      <c r="E3" s="216">
        <f>Grants!Q93</f>
        <v>75.34842857142857</v>
      </c>
      <c r="F3" s="216">
        <f>Grants!R93</f>
        <v>75.34842857142857</v>
      </c>
      <c r="G3" s="216">
        <f>Grants!S93</f>
        <v>75.34842857142857</v>
      </c>
      <c r="H3" s="216">
        <f>Grants!T93</f>
        <v>75.34842857142857</v>
      </c>
      <c r="I3" s="216">
        <f>Grants!U93</f>
        <v>75.34842857142857</v>
      </c>
      <c r="J3" s="216">
        <f>Grants!V93</f>
        <v>75.34842857142857</v>
      </c>
      <c r="K3" s="216">
        <f>Grants!W93</f>
        <v>75.34842857142857</v>
      </c>
      <c r="L3" s="216">
        <f>Grants!X93</f>
        <v>75.34842857142857</v>
      </c>
      <c r="M3" s="216">
        <f>Grants!Y93</f>
        <v>75.34842857142857</v>
      </c>
      <c r="N3" s="216">
        <f>Grants!Z93</f>
        <v>75.34842857142857</v>
      </c>
      <c r="O3" s="216">
        <f>Grants!AA93</f>
        <v>75.34842857142857</v>
      </c>
      <c r="P3" s="216">
        <f>Grants!AB93</f>
        <v>75.34842857142857</v>
      </c>
      <c r="Q3" s="216">
        <f>Grants!AC93</f>
        <v>75.34842857142857</v>
      </c>
    </row>
    <row r="4" spans="1:17" x14ac:dyDescent="0.35">
      <c r="A4" t="s">
        <v>247</v>
      </c>
      <c r="B4" t="s">
        <v>248</v>
      </c>
      <c r="C4" s="216">
        <f>'Federal and State Purchases'!O13</f>
        <v>0</v>
      </c>
      <c r="D4" s="216">
        <f>'Federal and State Purchases'!P13</f>
        <v>0</v>
      </c>
      <c r="E4" s="216">
        <f>'Federal and State Purchases'!Q13</f>
        <v>0</v>
      </c>
      <c r="F4" s="216">
        <f>'Federal and State Purchases'!R13</f>
        <v>0</v>
      </c>
      <c r="G4" s="216">
        <f>'Federal and State Purchases'!S13</f>
        <v>0</v>
      </c>
      <c r="H4" s="216">
        <f>'Federal and State Purchases'!T13</f>
        <v>0</v>
      </c>
      <c r="I4" s="216">
        <f>'Federal and State Purchases'!U13</f>
        <v>0</v>
      </c>
      <c r="J4" s="216">
        <f>'Federal and State Purchases'!V13</f>
        <v>0</v>
      </c>
      <c r="K4" s="216">
        <f>'Federal and State Purchases'!W13</f>
        <v>0</v>
      </c>
      <c r="L4" s="216">
        <f>'Federal and State Purchases'!X13</f>
        <v>0</v>
      </c>
      <c r="M4" s="216">
        <f>'Federal and State Purchases'!Y13</f>
        <v>0</v>
      </c>
      <c r="N4" s="216">
        <f>'Federal and State Purchases'!Z13</f>
        <v>0</v>
      </c>
      <c r="O4" s="216">
        <f>'Federal and State Purchases'!AA13</f>
        <v>0</v>
      </c>
      <c r="P4" s="216">
        <f>'Federal and State Purchases'!AB13</f>
        <v>0</v>
      </c>
      <c r="Q4" s="216">
        <f>'Federal and State Purchases'!AC13</f>
        <v>0</v>
      </c>
    </row>
    <row r="5" spans="1:17" x14ac:dyDescent="0.35">
      <c r="A5" t="s">
        <v>249</v>
      </c>
      <c r="B5" t="s">
        <v>250</v>
      </c>
      <c r="C5" s="216">
        <f>'Federal and State Purchases'!O27</f>
        <v>0</v>
      </c>
      <c r="D5" s="216">
        <f>'Federal and State Purchases'!P27</f>
        <v>0</v>
      </c>
      <c r="E5" s="216">
        <f>'Federal and State Purchases'!Q27</f>
        <v>0</v>
      </c>
      <c r="F5" s="216">
        <f>'Federal and State Purchases'!R27</f>
        <v>0</v>
      </c>
      <c r="G5" s="216">
        <f>'Federal and State Purchases'!S27</f>
        <v>0</v>
      </c>
      <c r="H5" s="216">
        <f>'Federal and State Purchases'!T27</f>
        <v>0</v>
      </c>
      <c r="I5" s="216">
        <f>'Federal and State Purchases'!U27</f>
        <v>0</v>
      </c>
      <c r="J5" s="216">
        <f>'Federal and State Purchases'!V27</f>
        <v>0</v>
      </c>
      <c r="K5" s="216">
        <f>'Federal and State Purchases'!W27</f>
        <v>0</v>
      </c>
      <c r="L5" s="216">
        <f>'Federal and State Purchases'!X27</f>
        <v>0</v>
      </c>
      <c r="M5" s="216">
        <f>'Federal and State Purchases'!Y27</f>
        <v>0</v>
      </c>
      <c r="N5" s="216">
        <f>'Federal and State Purchases'!Z27</f>
        <v>0</v>
      </c>
      <c r="O5" s="216">
        <f>'Federal and State Purchases'!AA27</f>
        <v>0</v>
      </c>
      <c r="P5" s="216">
        <f>'Federal and State Purchases'!AB27</f>
        <v>0</v>
      </c>
      <c r="Q5" s="216">
        <f>'Federal and State Purchases'!AC27</f>
        <v>0</v>
      </c>
    </row>
    <row r="6" spans="1:17" x14ac:dyDescent="0.35">
      <c r="A6" t="s">
        <v>251</v>
      </c>
      <c r="B6" t="s">
        <v>252</v>
      </c>
      <c r="C6" s="216">
        <f>Subsidies!O44</f>
        <v>-267.78904</v>
      </c>
      <c r="D6" s="216" t="e">
        <f>Subsidies!P44</f>
        <v>#DIV/0!</v>
      </c>
      <c r="E6" s="216" t="e">
        <f>Subsidies!Q44</f>
        <v>#DIV/0!</v>
      </c>
      <c r="F6" s="216" t="e">
        <f>Subsidies!R44</f>
        <v>#DIV/0!</v>
      </c>
      <c r="G6" s="216" t="e">
        <f>Subsidies!S44</f>
        <v>#DIV/0!</v>
      </c>
      <c r="H6" s="216">
        <f>Subsidies!T44</f>
        <v>75.736000000000004</v>
      </c>
      <c r="I6" s="216">
        <f>Subsidies!U44</f>
        <v>75.736000000000004</v>
      </c>
      <c r="J6" s="216">
        <f>Subsidies!V44</f>
        <v>75.736000000000004</v>
      </c>
      <c r="K6" s="216">
        <f>Subsidies!W44</f>
        <v>75.736000000000004</v>
      </c>
      <c r="L6" s="216">
        <f>Subsidies!X44</f>
        <v>74.060000000000016</v>
      </c>
      <c r="M6" s="216">
        <f>Subsidies!Y44</f>
        <v>74.060000000000016</v>
      </c>
      <c r="N6" s="216">
        <f>Subsidies!Z44</f>
        <v>74.060000000000016</v>
      </c>
      <c r="O6" s="216">
        <f>Subsidies!AA44</f>
        <v>74.060000000000016</v>
      </c>
      <c r="P6" s="216">
        <f>Subsidies!AB44</f>
        <v>77.001000000000005</v>
      </c>
      <c r="Q6" s="216">
        <f>Subsidies!AC44</f>
        <v>77.001000000000005</v>
      </c>
    </row>
    <row r="7" spans="1:17" x14ac:dyDescent="0.35">
      <c r="A7" t="s">
        <v>253</v>
      </c>
      <c r="B7" t="s">
        <v>254</v>
      </c>
      <c r="C7" s="216">
        <f>Subsidies!O43</f>
        <v>267.78904</v>
      </c>
      <c r="D7" s="216">
        <f>Subsidies!P43</f>
        <v>110.24799999999999</v>
      </c>
      <c r="E7" s="216">
        <f>Subsidies!Q43</f>
        <v>110.24799999999999</v>
      </c>
      <c r="F7" s="216">
        <f>Subsidies!R43</f>
        <v>110.24799999999999</v>
      </c>
      <c r="G7" s="216">
        <f>Subsidies!S43</f>
        <v>110.24799999999999</v>
      </c>
      <c r="H7" s="216">
        <f>Subsidies!T43</f>
        <v>12.726000000000001</v>
      </c>
      <c r="I7" s="216">
        <f>Subsidies!U43</f>
        <v>12.726000000000001</v>
      </c>
      <c r="J7" s="216">
        <f>Subsidies!V43</f>
        <v>12.726000000000001</v>
      </c>
      <c r="K7" s="216">
        <f>Subsidies!W43</f>
        <v>12.726000000000001</v>
      </c>
      <c r="L7" s="216">
        <f>Subsidies!X43</f>
        <v>1.365</v>
      </c>
      <c r="M7" s="216">
        <f>Subsidies!Y43</f>
        <v>1.365</v>
      </c>
      <c r="N7" s="216">
        <f>Subsidies!Z43</f>
        <v>1.365</v>
      </c>
      <c r="O7" s="216">
        <f>Subsidies!AA43</f>
        <v>1.365</v>
      </c>
      <c r="P7" s="216">
        <f>Subsidies!AB43</f>
        <v>-0.90100000000000025</v>
      </c>
      <c r="Q7" s="216">
        <f>Subsidies!AC43</f>
        <v>-0.90100000000000025</v>
      </c>
    </row>
    <row r="8" spans="1:17" x14ac:dyDescent="0.35">
      <c r="A8" t="s">
        <v>255</v>
      </c>
      <c r="B8" t="s">
        <v>256</v>
      </c>
      <c r="C8" s="216">
        <f>'Unemployment Insurance'!O19</f>
        <v>0</v>
      </c>
      <c r="D8" s="216">
        <f>'Unemployment Insurance'!P19</f>
        <v>0</v>
      </c>
      <c r="E8" s="216">
        <f>'Unemployment Insurance'!Q19</f>
        <v>0</v>
      </c>
      <c r="F8" s="216">
        <f>'Unemployment Insurance'!R19</f>
        <v>0</v>
      </c>
      <c r="G8" s="216">
        <f>'Unemployment Insurance'!S19</f>
        <v>0</v>
      </c>
      <c r="H8" s="216">
        <f>'Unemployment Insurance'!T19</f>
        <v>0</v>
      </c>
      <c r="I8" s="216">
        <f>'Unemployment Insurance'!U19</f>
        <v>0</v>
      </c>
      <c r="J8" s="216">
        <f>'Unemployment Insurance'!V19</f>
        <v>0</v>
      </c>
      <c r="K8" s="216">
        <f>'Unemployment Insurance'!W19</f>
        <v>0</v>
      </c>
      <c r="L8" s="216">
        <f>'Unemployment Insurance'!X19</f>
        <v>0</v>
      </c>
      <c r="M8" s="216">
        <f>'Unemployment Insurance'!Y19</f>
        <v>0</v>
      </c>
      <c r="N8" s="216">
        <f>'Unemployment Insurance'!Z19</f>
        <v>0</v>
      </c>
      <c r="O8" s="216">
        <f>'Unemployment Insurance'!AA19</f>
        <v>0</v>
      </c>
      <c r="P8" s="216">
        <f>'Unemployment Insurance'!AB19</f>
        <v>0</v>
      </c>
      <c r="Q8" s="216">
        <f>'Unemployment Insurance'!AC19</f>
        <v>0</v>
      </c>
    </row>
    <row r="9" spans="1:17" x14ac:dyDescent="0.35">
      <c r="A9" t="s">
        <v>257</v>
      </c>
      <c r="B9" t="s">
        <v>258</v>
      </c>
      <c r="C9" s="216">
        <f>'Unemployment Insurance'!O20</f>
        <v>0</v>
      </c>
      <c r="D9" s="216">
        <f>'Unemployment Insurance'!P20</f>
        <v>0</v>
      </c>
      <c r="E9" s="216">
        <f>'Unemployment Insurance'!Q20</f>
        <v>0</v>
      </c>
      <c r="F9" s="216">
        <f>'Unemployment Insurance'!R20</f>
        <v>0</v>
      </c>
      <c r="G9" s="216">
        <f>'Unemployment Insurance'!S20</f>
        <v>0</v>
      </c>
      <c r="H9" s="216">
        <f>'Unemployment Insurance'!T20</f>
        <v>0</v>
      </c>
      <c r="I9" s="216">
        <f>'Unemployment Insurance'!U20</f>
        <v>0</v>
      </c>
      <c r="J9" s="216">
        <f>'Unemployment Insurance'!V20</f>
        <v>0</v>
      </c>
      <c r="K9" s="216">
        <f>'Unemployment Insurance'!W20</f>
        <v>0</v>
      </c>
      <c r="L9" s="216">
        <f>'Unemployment Insurance'!X20</f>
        <v>0</v>
      </c>
      <c r="M9" s="216">
        <f>'Unemployment Insurance'!Y20</f>
        <v>0</v>
      </c>
      <c r="N9" s="216">
        <f>'Unemployment Insurance'!Z20</f>
        <v>0</v>
      </c>
      <c r="O9" s="216">
        <f>'Unemployment Insurance'!AA20</f>
        <v>0</v>
      </c>
      <c r="P9" s="216">
        <f>'Unemployment Insurance'!AB20</f>
        <v>0</v>
      </c>
      <c r="Q9" s="216">
        <f>'Unemployment Insurance'!AC20</f>
        <v>0</v>
      </c>
    </row>
    <row r="10" spans="1:17" x14ac:dyDescent="0.35">
      <c r="A10" t="s">
        <v>259</v>
      </c>
      <c r="B10" t="s">
        <v>260</v>
      </c>
      <c r="C10" s="216">
        <f>Medicaid!K26</f>
        <v>0</v>
      </c>
      <c r="D10" s="216" t="e">
        <f>Medicaid!L26</f>
        <v>#DIV/0!</v>
      </c>
      <c r="E10" s="216" t="e">
        <f>Medicaid!M26</f>
        <v>#DIV/0!</v>
      </c>
      <c r="F10" s="216" t="e">
        <f>Medicaid!N26</f>
        <v>#DIV/0!</v>
      </c>
      <c r="G10" s="216" t="e">
        <f>Medicaid!O26</f>
        <v>#DIV/0!</v>
      </c>
      <c r="H10" s="216" t="e">
        <f>Medicaid!P26</f>
        <v>#DIV/0!</v>
      </c>
      <c r="I10" s="216" t="e">
        <f>Medicaid!Q26</f>
        <v>#DIV/0!</v>
      </c>
      <c r="J10" s="216" t="e">
        <f>Medicaid!R26</f>
        <v>#DIV/0!</v>
      </c>
      <c r="K10" s="216" t="e">
        <f>Medicaid!S26</f>
        <v>#DIV/0!</v>
      </c>
      <c r="L10" s="216" t="e">
        <f>Medicaid!T26</f>
        <v>#DIV/0!</v>
      </c>
      <c r="M10" s="216" t="e">
        <f>Medicaid!U26</f>
        <v>#DIV/0!</v>
      </c>
      <c r="N10" s="216" t="e">
        <f>Medicaid!V26</f>
        <v>#DIV/0!</v>
      </c>
      <c r="O10" s="216" t="e">
        <f>Medicaid!W26</f>
        <v>#DIV/0!</v>
      </c>
      <c r="P10" s="216" t="e">
        <f>Medicaid!X26</f>
        <v>#DIV/0!</v>
      </c>
      <c r="Q10" s="216" t="e">
        <f>Medicaid!Y26</f>
        <v>#DIV/0!</v>
      </c>
    </row>
    <row r="11" spans="1:17" x14ac:dyDescent="0.35">
      <c r="A11" t="s">
        <v>261</v>
      </c>
      <c r="B11" t="s">
        <v>262</v>
      </c>
      <c r="C11" s="216">
        <f>Medicaid!K25</f>
        <v>0</v>
      </c>
      <c r="D11" s="216" t="e">
        <f>Medicaid!L25</f>
        <v>#DIV/0!</v>
      </c>
      <c r="E11" s="216" t="e">
        <f>Medicaid!M25</f>
        <v>#DIV/0!</v>
      </c>
      <c r="F11" s="216" t="e">
        <f>Medicaid!N25</f>
        <v>#DIV/0!</v>
      </c>
      <c r="G11" s="216" t="e">
        <f>Medicaid!O25</f>
        <v>#DIV/0!</v>
      </c>
      <c r="H11" s="216" t="e">
        <f>Medicaid!P25</f>
        <v>#DIV/0!</v>
      </c>
      <c r="I11" s="216" t="e">
        <f>Medicaid!Q25</f>
        <v>#DIV/0!</v>
      </c>
      <c r="J11" s="216" t="e">
        <f>Medicaid!R25</f>
        <v>#DIV/0!</v>
      </c>
      <c r="K11" s="216" t="e">
        <f>Medicaid!S25</f>
        <v>#DIV/0!</v>
      </c>
      <c r="L11" s="216" t="e">
        <f>Medicaid!T25</f>
        <v>#DIV/0!</v>
      </c>
      <c r="M11" s="216" t="e">
        <f>Medicaid!U25</f>
        <v>#DIV/0!</v>
      </c>
      <c r="N11" s="216" t="e">
        <f>Medicaid!V25</f>
        <v>#DIV/0!</v>
      </c>
      <c r="O11" s="216" t="e">
        <f>Medicaid!W25</f>
        <v>#DIV/0!</v>
      </c>
      <c r="P11" s="216" t="e">
        <f>Medicaid!X25</f>
        <v>#DIV/0!</v>
      </c>
      <c r="Q11" s="216" t="e">
        <f>Medicaid!Y25</f>
        <v>#DIV/0!</v>
      </c>
    </row>
    <row r="12" spans="1:17" x14ac:dyDescent="0.35">
      <c r="A12" t="s">
        <v>80</v>
      </c>
      <c r="B12" t="s">
        <v>263</v>
      </c>
      <c r="C12" s="216">
        <f>Medicare!O10</f>
        <v>0</v>
      </c>
      <c r="D12" s="216">
        <f>Medicare!P10</f>
        <v>-0.24817867266275329</v>
      </c>
      <c r="E12" s="216">
        <f>Medicare!Q10</f>
        <v>-16.514588757086585</v>
      </c>
      <c r="F12" s="216">
        <f>Medicare!R10</f>
        <v>-16.78598013313465</v>
      </c>
      <c r="G12" s="216">
        <f>Medicare!S10</f>
        <v>-31.062445940172523</v>
      </c>
      <c r="H12" s="216">
        <f>Medicare!T10</f>
        <v>-31.344081059070202</v>
      </c>
      <c r="I12" s="216">
        <f>Medicare!U10</f>
        <v>-31.630547174254353</v>
      </c>
      <c r="J12" s="216">
        <f>Medicare!V10</f>
        <v>-31.922361464727253</v>
      </c>
      <c r="K12" s="216">
        <f>Medicare!W10</f>
        <v>-32.219623778175603</v>
      </c>
      <c r="L12" s="216">
        <f>Medicare!X10</f>
        <v>-32.52243582639116</v>
      </c>
      <c r="M12" s="216">
        <f>Medicare!Y10</f>
        <v>-32.826488519509027</v>
      </c>
      <c r="N12" s="216">
        <f>Medicare!Z10</f>
        <v>-33.13613651595648</v>
      </c>
      <c r="O12" s="216">
        <f>Medicare!AA10</f>
        <v>-33.45148278281804</v>
      </c>
      <c r="P12" s="216">
        <f>Medicare!AB10</f>
        <v>-33.772632182021063</v>
      </c>
      <c r="Q12" s="216">
        <f>Medicare!AC10</f>
        <v>-34.099691505205442</v>
      </c>
    </row>
    <row r="13" spans="1:17" x14ac:dyDescent="0.35">
      <c r="A13" t="s">
        <v>264</v>
      </c>
      <c r="B13" t="s">
        <v>265</v>
      </c>
      <c r="C13" s="216">
        <f>'Rebate Checks'!O11</f>
        <v>0</v>
      </c>
      <c r="D13" s="216">
        <f>'Rebate Checks'!P11</f>
        <v>0</v>
      </c>
      <c r="E13" s="216">
        <f>'Rebate Checks'!Q11</f>
        <v>0</v>
      </c>
      <c r="F13" s="216">
        <f>'Rebate Checks'!R11</f>
        <v>0</v>
      </c>
      <c r="G13" s="216">
        <f>'Rebate Checks'!S11</f>
        <v>0</v>
      </c>
      <c r="H13" s="216">
        <f>'Rebate Checks'!T11</f>
        <v>0</v>
      </c>
      <c r="I13" s="216">
        <f>'Rebate Checks'!U11</f>
        <v>0</v>
      </c>
      <c r="J13" s="216">
        <f>'Rebate Checks'!V11</f>
        <v>0</v>
      </c>
      <c r="K13" s="216">
        <f>'Rebate Checks'!W11</f>
        <v>0</v>
      </c>
      <c r="L13" s="216">
        <f>'Rebate Checks'!X11</f>
        <v>0</v>
      </c>
      <c r="M13" s="216">
        <f>'Rebate Checks'!Y11</f>
        <v>0</v>
      </c>
      <c r="N13" s="216">
        <f>'Rebate Checks'!Z11</f>
        <v>0</v>
      </c>
      <c r="O13" s="216">
        <f>'Rebate Checks'!AA11</f>
        <v>0</v>
      </c>
      <c r="P13" s="216">
        <f>'Rebate Checks'!AB11</f>
        <v>0</v>
      </c>
      <c r="Q13" s="216">
        <f>'Rebate Checks'!AC11</f>
        <v>0</v>
      </c>
    </row>
    <row r="14" spans="1:17" x14ac:dyDescent="0.35">
      <c r="A14" t="s">
        <v>266</v>
      </c>
      <c r="B14" t="s">
        <v>267</v>
      </c>
      <c r="C14" s="216">
        <f>'Rebate Checks'!O10</f>
        <v>0</v>
      </c>
      <c r="D14" s="216">
        <f>'Rebate Checks'!P10</f>
        <v>0</v>
      </c>
      <c r="E14" s="216">
        <f>'Rebate Checks'!Q10</f>
        <v>14.93</v>
      </c>
      <c r="F14" s="216">
        <f>'Rebate Checks'!R10</f>
        <v>14.93</v>
      </c>
      <c r="G14" s="216">
        <f>'Rebate Checks'!S10</f>
        <v>0</v>
      </c>
      <c r="H14" s="216">
        <f>'Rebate Checks'!T10</f>
        <v>0</v>
      </c>
      <c r="I14" s="216">
        <f>'Rebate Checks'!U10</f>
        <v>0</v>
      </c>
      <c r="J14" s="216">
        <f>'Rebate Checks'!V10</f>
        <v>0</v>
      </c>
      <c r="K14" s="216">
        <f>'Rebate Checks'!W10</f>
        <v>0</v>
      </c>
      <c r="L14" s="216">
        <f>'Rebate Checks'!X10</f>
        <v>0</v>
      </c>
      <c r="M14" s="216">
        <f>'Rebate Checks'!Y10</f>
        <v>0</v>
      </c>
      <c r="N14" s="216">
        <f>'Rebate Checks'!Z10</f>
        <v>0</v>
      </c>
      <c r="O14" s="216">
        <f>'Rebate Checks'!AA10</f>
        <v>0</v>
      </c>
      <c r="P14" s="216">
        <f>'Rebate Checks'!AB10</f>
        <v>0</v>
      </c>
      <c r="Q14" s="216">
        <f>'Rebate Checks'!AC10</f>
        <v>0</v>
      </c>
    </row>
    <row r="15" spans="1:17" x14ac:dyDescent="0.35">
      <c r="A15" t="s">
        <v>268</v>
      </c>
      <c r="B15" t="s">
        <v>269</v>
      </c>
      <c r="C15" s="216">
        <f>'Social Benefits'!O24</f>
        <v>137.43936000000005</v>
      </c>
      <c r="D15" s="216">
        <f>'Social Benefits'!P24</f>
        <v>52.756999999999998</v>
      </c>
      <c r="E15" s="216">
        <f>'Social Benefits'!Q24</f>
        <v>52.756999999999998</v>
      </c>
      <c r="F15" s="216">
        <f>'Social Benefits'!R24</f>
        <v>52.756999999999998</v>
      </c>
      <c r="G15" s="216">
        <f>'Social Benefits'!S24</f>
        <v>52.756999999999998</v>
      </c>
      <c r="H15" s="216">
        <f>'Social Benefits'!T24</f>
        <v>12</v>
      </c>
      <c r="I15" s="216">
        <f>'Social Benefits'!U24</f>
        <v>12</v>
      </c>
      <c r="J15" s="216">
        <f>'Social Benefits'!V24</f>
        <v>12</v>
      </c>
      <c r="K15" s="216">
        <f>'Social Benefits'!W24</f>
        <v>12</v>
      </c>
      <c r="L15" s="216">
        <f>'Social Benefits'!X24</f>
        <v>4.2219999999999995</v>
      </c>
      <c r="M15" s="216">
        <f>'Social Benefits'!Y24</f>
        <v>4.2219999999999995</v>
      </c>
      <c r="N15" s="216">
        <f>'Social Benefits'!Z24</f>
        <v>4.2219999999999995</v>
      </c>
      <c r="O15" s="216">
        <f>'Social Benefits'!AA24</f>
        <v>4.2219999999999995</v>
      </c>
      <c r="P15" s="216">
        <f>'Social Benefits'!AB24</f>
        <v>2.3719999999999999</v>
      </c>
      <c r="Q15" s="216">
        <f>'Social Benefits'!AC24</f>
        <v>2.3719999999999999</v>
      </c>
    </row>
    <row r="16" spans="1:17" x14ac:dyDescent="0.35">
      <c r="A16" t="s">
        <v>270</v>
      </c>
      <c r="B16" t="s">
        <v>271</v>
      </c>
      <c r="C16" s="216">
        <f>'Social Benefits'!O25</f>
        <v>203.10400000000004</v>
      </c>
      <c r="D16" s="216">
        <f>'Social Benefits'!P25</f>
        <v>74.718999999999994</v>
      </c>
      <c r="E16" s="216">
        <f>'Social Benefits'!Q25</f>
        <v>74.718999999999994</v>
      </c>
      <c r="F16" s="216">
        <f>'Social Benefits'!R25</f>
        <v>74.718999999999994</v>
      </c>
      <c r="G16" s="216">
        <f>'Social Benefits'!S25</f>
        <v>74.718999999999994</v>
      </c>
      <c r="H16" s="216">
        <f>'Social Benefits'!T25</f>
        <v>2.1159999999999997</v>
      </c>
      <c r="I16" s="216">
        <f>'Social Benefits'!U25</f>
        <v>2.1159999999999997</v>
      </c>
      <c r="J16" s="216">
        <f>'Social Benefits'!V25</f>
        <v>2.1159999999999997</v>
      </c>
      <c r="K16" s="216">
        <f>'Social Benefits'!W25</f>
        <v>2.1159999999999997</v>
      </c>
      <c r="L16" s="216">
        <f>'Social Benefits'!X25</f>
        <v>2.1789999999999998</v>
      </c>
      <c r="M16" s="216">
        <f>'Social Benefits'!Y25</f>
        <v>2.1789999999999998</v>
      </c>
      <c r="N16" s="216">
        <f>'Social Benefits'!Z25</f>
        <v>2.1789999999999998</v>
      </c>
      <c r="O16" s="216">
        <f>'Social Benefits'!AA25</f>
        <v>2.1789999999999998</v>
      </c>
      <c r="P16" s="216">
        <f>'Social Benefits'!AB25</f>
        <v>2.33</v>
      </c>
      <c r="Q16" s="216">
        <f>'Social Benefits'!AC25</f>
        <v>2.33</v>
      </c>
    </row>
    <row r="17" spans="1:17" x14ac:dyDescent="0.35">
      <c r="A17" t="s">
        <v>272</v>
      </c>
      <c r="B17" t="s">
        <v>273</v>
      </c>
      <c r="C17" s="216" t="e">
        <f>'Social Benefits'!O22+'Social Benefits'!O16</f>
        <v>#VALUE!</v>
      </c>
      <c r="D17" s="216" t="e">
        <f>'Social Benefits'!P22+'Social Benefits'!P16</f>
        <v>#VALUE!</v>
      </c>
      <c r="E17" s="216">
        <f>'Social Benefits'!Q22+'Social Benefits'!Q16</f>
        <v>1710.3262120071224</v>
      </c>
      <c r="F17" s="216">
        <f>'Social Benefits'!R22+'Social Benefits'!R16</f>
        <v>1712.4262120071226</v>
      </c>
      <c r="G17" s="216">
        <f>'Social Benefits'!S22+'Social Benefits'!S16</f>
        <v>1704.5262120071227</v>
      </c>
      <c r="H17" s="216">
        <f>'Social Benefits'!T22+'Social Benefits'!T16</f>
        <v>1706.6262120071228</v>
      </c>
      <c r="I17" s="216">
        <f>'Social Benefits'!U22+'Social Benefits'!U16</f>
        <v>1783.9785508694649</v>
      </c>
      <c r="J17" s="216">
        <f>'Social Benefits'!V22+'Social Benefits'!V16</f>
        <v>1791.0785508694651</v>
      </c>
      <c r="K17" s="216">
        <f>'Social Benefits'!W22+'Social Benefits'!W16</f>
        <v>1798.1785508694652</v>
      </c>
      <c r="L17" s="216">
        <f>'Social Benefits'!X22+'Social Benefits'!X16</f>
        <v>1805.2785508694653</v>
      </c>
      <c r="M17" s="216">
        <f>'Social Benefits'!Y22+'Social Benefits'!Y16</f>
        <v>1878.701320206336</v>
      </c>
      <c r="N17" s="216">
        <f>'Social Benefits'!Z22+'Social Benefits'!Z16</f>
        <v>1885.8013202063362</v>
      </c>
      <c r="O17" s="216">
        <f>'Social Benefits'!AA22+'Social Benefits'!AA16</f>
        <v>1892.9013202063363</v>
      </c>
      <c r="P17" s="216">
        <f>'Social Benefits'!AB22+'Social Benefits'!AB16</f>
        <v>1900.0013202063365</v>
      </c>
      <c r="Q17" s="216">
        <f>'Social Benefits'!AC22+'Social Benefits'!AC16</f>
        <v>1907.1013202063366</v>
      </c>
    </row>
    <row r="18" spans="1:17" x14ac:dyDescent="0.35">
      <c r="A18" t="s">
        <v>274</v>
      </c>
      <c r="B18" t="s">
        <v>275</v>
      </c>
      <c r="C18" s="216">
        <f>'Social Benefits'!O30</f>
        <v>0</v>
      </c>
      <c r="D18" s="216">
        <f>'Social Benefits'!P30</f>
        <v>0</v>
      </c>
      <c r="E18" s="216">
        <f>'Social Benefits'!Q30</f>
        <v>0</v>
      </c>
      <c r="F18" s="216">
        <f>'Social Benefits'!R30</f>
        <v>0</v>
      </c>
      <c r="G18" s="216">
        <f>'Social Benefits'!S30</f>
        <v>0</v>
      </c>
      <c r="H18" s="216">
        <f>'Social Benefits'!T30</f>
        <v>0</v>
      </c>
      <c r="I18" s="216">
        <f>'Social Benefits'!U30</f>
        <v>0</v>
      </c>
      <c r="J18" s="216">
        <f>'Social Benefits'!V30</f>
        <v>0</v>
      </c>
      <c r="K18" s="216">
        <f>'Social Benefits'!W30</f>
        <v>0</v>
      </c>
      <c r="L18" s="216">
        <f>'Social Benefits'!X30</f>
        <v>0</v>
      </c>
      <c r="M18" s="216">
        <f>'Social Benefits'!Y30</f>
        <v>0</v>
      </c>
      <c r="N18" s="216">
        <f>'Social Benefits'!Z30</f>
        <v>0</v>
      </c>
      <c r="O18" s="216">
        <f>'Social Benefits'!AA30</f>
        <v>0</v>
      </c>
      <c r="P18" s="216">
        <f>'Social Benefits'!AB30</f>
        <v>0</v>
      </c>
      <c r="Q18" s="216">
        <f>'Social Benefits'!AC30</f>
        <v>0</v>
      </c>
    </row>
    <row r="19" spans="1:17" x14ac:dyDescent="0.35">
      <c r="A19" t="s">
        <v>276</v>
      </c>
      <c r="B19" t="s">
        <v>277</v>
      </c>
      <c r="C19" s="216">
        <f>Taxes!O9</f>
        <v>0</v>
      </c>
      <c r="D19" s="216">
        <f>Taxes!P9</f>
        <v>0</v>
      </c>
      <c r="E19" s="216">
        <f>Taxes!Q9</f>
        <v>3790.7238057954069</v>
      </c>
      <c r="F19" s="216">
        <f>Taxes!R9</f>
        <v>3840.889887743801</v>
      </c>
      <c r="G19" s="216">
        <f>Taxes!S9</f>
        <v>3887.0163916019224</v>
      </c>
      <c r="H19" s="216">
        <f>Taxes!T9</f>
        <v>3930.0199767154968</v>
      </c>
      <c r="I19" s="216">
        <f>Taxes!U9</f>
        <v>3964.5192614697726</v>
      </c>
      <c r="J19" s="216">
        <f>Taxes!V9</f>
        <v>4003.335054718309</v>
      </c>
      <c r="K19" s="216">
        <f>Taxes!W9</f>
        <v>4041.8237980896938</v>
      </c>
      <c r="L19" s="216">
        <f>Taxes!X9</f>
        <v>4079.4959409347007</v>
      </c>
      <c r="M19" s="216">
        <f>Taxes!Y9</f>
        <v>4115.8988989802419</v>
      </c>
      <c r="N19" s="216">
        <f>Taxes!Z9</f>
        <v>4151.9534136676202</v>
      </c>
      <c r="O19" s="216">
        <f>Taxes!AA9</f>
        <v>4189.6512564334271</v>
      </c>
      <c r="P19" s="216">
        <f>Taxes!AB9</f>
        <v>4227.3775725223713</v>
      </c>
      <c r="Q19" s="216">
        <f>Taxes!AC9</f>
        <v>4266.1932043264842</v>
      </c>
    </row>
    <row r="20" spans="1:17" x14ac:dyDescent="0.35">
      <c r="A20" t="s">
        <v>278</v>
      </c>
      <c r="B20" t="s">
        <v>279</v>
      </c>
      <c r="C20" s="216">
        <f>Taxes!O16</f>
        <v>0</v>
      </c>
      <c r="D20" s="216" t="e">
        <f>Taxes!P16</f>
        <v>#DIV/0!</v>
      </c>
      <c r="E20" s="216" t="e">
        <f>Taxes!Q16</f>
        <v>#DIV/0!</v>
      </c>
      <c r="F20" s="216" t="e">
        <f>Taxes!R16</f>
        <v>#DIV/0!</v>
      </c>
      <c r="G20" s="216" t="e">
        <f>Taxes!S16</f>
        <v>#DIV/0!</v>
      </c>
      <c r="H20" s="216" t="e">
        <f>Taxes!T16</f>
        <v>#DIV/0!</v>
      </c>
      <c r="I20" s="216" t="e">
        <f>Taxes!U16</f>
        <v>#DIV/0!</v>
      </c>
      <c r="J20" s="216" t="e">
        <f>Taxes!V16</f>
        <v>#DIV/0!</v>
      </c>
      <c r="K20" s="216" t="e">
        <f>Taxes!W16</f>
        <v>#DIV/0!</v>
      </c>
      <c r="L20" s="216" t="e">
        <f>Taxes!X16</f>
        <v>#DIV/0!</v>
      </c>
      <c r="M20" s="216" t="e">
        <f>Taxes!Y16</f>
        <v>#DIV/0!</v>
      </c>
      <c r="N20" s="216" t="e">
        <f>Taxes!Z16</f>
        <v>#DIV/0!</v>
      </c>
      <c r="O20" s="216" t="e">
        <f>Taxes!AA16</f>
        <v>#DIV/0!</v>
      </c>
      <c r="P20" s="216" t="e">
        <f>Taxes!AB16</f>
        <v>#DIV/0!</v>
      </c>
      <c r="Q20" s="216" t="e">
        <f>Taxes!AC16</f>
        <v>#DIV/0!</v>
      </c>
    </row>
    <row r="21" spans="1:17" x14ac:dyDescent="0.35">
      <c r="A21" t="s">
        <v>280</v>
      </c>
      <c r="B21" t="s">
        <v>281</v>
      </c>
      <c r="C21" s="216">
        <f>Taxes!O13</f>
        <v>0</v>
      </c>
      <c r="D21" s="216">
        <f>Taxes!P13</f>
        <v>0</v>
      </c>
      <c r="E21" s="216">
        <f>Taxes!Q13</f>
        <v>331.9957125021694</v>
      </c>
      <c r="F21" s="216">
        <f>Taxes!R13</f>
        <v>337.72752744381148</v>
      </c>
      <c r="G21" s="216">
        <f>Taxes!S13</f>
        <v>339.30096683955634</v>
      </c>
      <c r="H21" s="216">
        <f>Taxes!T13</f>
        <v>339.07618978302133</v>
      </c>
      <c r="I21" s="216">
        <f>Taxes!U13</f>
        <v>337.39036185900898</v>
      </c>
      <c r="J21" s="216">
        <f>Taxes!V13</f>
        <v>334.46826012405421</v>
      </c>
      <c r="K21" s="216">
        <f>Taxes!W13</f>
        <v>332.67004367177435</v>
      </c>
      <c r="L21" s="216">
        <f>Taxes!X13</f>
        <v>332.67004367177435</v>
      </c>
      <c r="M21" s="216">
        <f>Taxes!Y13</f>
        <v>332.1755341473974</v>
      </c>
      <c r="N21" s="216">
        <f>Taxes!Z13</f>
        <v>333.80516780727601</v>
      </c>
      <c r="O21" s="216">
        <f>Taxes!AA13</f>
        <v>335.18754670496617</v>
      </c>
      <c r="P21" s="216">
        <f>Taxes!AB13</f>
        <v>337.08691283268678</v>
      </c>
      <c r="Q21" s="216">
        <f>Taxes!AC13</f>
        <v>337.99725991165343</v>
      </c>
    </row>
    <row r="22" spans="1:17" x14ac:dyDescent="0.35">
      <c r="A22" t="s">
        <v>282</v>
      </c>
      <c r="B22" t="s">
        <v>283</v>
      </c>
      <c r="C22" s="216">
        <f>Taxes!O20</f>
        <v>0</v>
      </c>
      <c r="D22" s="216" t="e">
        <f>Taxes!P20</f>
        <v>#VALUE!</v>
      </c>
      <c r="E22" s="216" t="e">
        <f>Taxes!Q20</f>
        <v>#VALUE!</v>
      </c>
      <c r="F22" s="216" t="e">
        <f>Taxes!R20</f>
        <v>#VALUE!</v>
      </c>
      <c r="G22" s="216" t="e">
        <f>Taxes!S20</f>
        <v>#VALUE!</v>
      </c>
      <c r="H22" s="216" t="e">
        <f>Taxes!T20</f>
        <v>#VALUE!</v>
      </c>
      <c r="I22" s="216" t="e">
        <f>Taxes!U20</f>
        <v>#VALUE!</v>
      </c>
      <c r="J22" s="216" t="e">
        <f>Taxes!V20</f>
        <v>#VALUE!</v>
      </c>
      <c r="K22" s="216" t="e">
        <f>Taxes!W20</f>
        <v>#VALUE!</v>
      </c>
      <c r="L22" s="216" t="e">
        <f>Taxes!X20</f>
        <v>#VALUE!</v>
      </c>
      <c r="M22" s="216" t="e">
        <f>Taxes!Y20</f>
        <v>#VALUE!</v>
      </c>
      <c r="N22" s="216" t="e">
        <f>Taxes!Z20</f>
        <v>#VALUE!</v>
      </c>
      <c r="O22" s="216" t="e">
        <f>Taxes!AA20</f>
        <v>#VALUE!</v>
      </c>
      <c r="P22" s="216" t="e">
        <f>Taxes!AB20</f>
        <v>#VALUE!</v>
      </c>
      <c r="Q22" s="216" t="e">
        <f>Taxes!AC20</f>
        <v>#VALUE!</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026" t="s">
        <v>286</v>
      </c>
      <c r="C1" s="1026"/>
      <c r="D1" s="1026"/>
      <c r="E1" s="1026"/>
      <c r="F1" s="1026"/>
      <c r="G1" s="1026"/>
      <c r="H1" s="1026"/>
      <c r="I1" s="1026"/>
      <c r="J1" s="1026"/>
      <c r="K1" s="1026"/>
    </row>
    <row r="2" spans="2:11" x14ac:dyDescent="0.35">
      <c r="B2" s="1027" t="s">
        <v>287</v>
      </c>
      <c r="C2" s="1027"/>
      <c r="D2" s="1027"/>
      <c r="E2" s="1027"/>
      <c r="F2" s="1027"/>
      <c r="G2" s="1027"/>
      <c r="H2" s="1027"/>
      <c r="I2" s="1027"/>
      <c r="J2" s="1027"/>
      <c r="K2" s="1027"/>
    </row>
    <row r="3" spans="2:11" x14ac:dyDescent="0.35">
      <c r="B3" s="1027"/>
      <c r="C3" s="1027"/>
      <c r="D3" s="1027"/>
      <c r="E3" s="1027"/>
      <c r="F3" s="1027"/>
      <c r="G3" s="1027"/>
      <c r="H3" s="1027"/>
      <c r="I3" s="1027"/>
      <c r="J3" s="1027"/>
      <c r="K3" s="1027"/>
    </row>
    <row r="4" spans="2:11" x14ac:dyDescent="0.35">
      <c r="B4" s="1027"/>
      <c r="C4" s="1027"/>
      <c r="D4" s="1027"/>
      <c r="E4" s="1027"/>
      <c r="F4" s="1027"/>
      <c r="G4" s="1027"/>
      <c r="H4" s="1027"/>
      <c r="I4" s="1027"/>
      <c r="J4" s="1027"/>
      <c r="K4" s="1027"/>
    </row>
    <row r="7" spans="2:11" x14ac:dyDescent="0.35">
      <c r="B7" t="s">
        <v>134</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L46" sqref="L46"/>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026" t="s">
        <v>286</v>
      </c>
      <c r="C1" s="1026"/>
      <c r="D1" s="1026"/>
      <c r="E1" s="1026"/>
      <c r="F1" s="1026"/>
      <c r="G1" s="1026"/>
      <c r="H1" s="1026"/>
      <c r="I1" s="1026"/>
      <c r="J1" s="1026"/>
      <c r="K1" s="1026"/>
    </row>
    <row r="2" spans="2:17" ht="14.5" customHeight="1" x14ac:dyDescent="0.35">
      <c r="B2" s="1027" t="s">
        <v>287</v>
      </c>
      <c r="C2" s="1027"/>
      <c r="D2" s="1027"/>
      <c r="E2" s="1027"/>
      <c r="F2" s="1027"/>
      <c r="G2" s="1027"/>
      <c r="H2" s="1027"/>
      <c r="I2" s="1027"/>
      <c r="J2" s="1027"/>
      <c r="K2" s="1027"/>
    </row>
    <row r="3" spans="2:17" x14ac:dyDescent="0.35">
      <c r="B3" s="1027"/>
      <c r="C3" s="1027"/>
      <c r="D3" s="1027"/>
      <c r="E3" s="1027"/>
      <c r="F3" s="1027"/>
      <c r="G3" s="1027"/>
      <c r="H3" s="1027"/>
      <c r="I3" s="1027"/>
      <c r="J3" s="1027"/>
      <c r="K3" s="1027"/>
    </row>
    <row r="4" spans="2:17" x14ac:dyDescent="0.35">
      <c r="B4" s="1027"/>
      <c r="C4" s="1027"/>
      <c r="D4" s="1027"/>
      <c r="E4" s="1027"/>
      <c r="F4" s="1027"/>
      <c r="G4" s="1027"/>
      <c r="H4" s="1027"/>
      <c r="I4" s="1027"/>
      <c r="J4" s="1027"/>
      <c r="K4" s="1027"/>
    </row>
    <row r="5" spans="2:17" x14ac:dyDescent="0.35">
      <c r="B5" s="1035"/>
      <c r="C5" s="1035"/>
      <c r="D5" s="1035"/>
      <c r="E5" s="1035"/>
      <c r="F5" s="308"/>
      <c r="G5" s="308"/>
    </row>
    <row r="6" spans="2:17" x14ac:dyDescent="0.35">
      <c r="B6" s="834"/>
      <c r="C6" s="944"/>
      <c r="D6" s="1036">
        <v>2021</v>
      </c>
      <c r="E6" s="1037"/>
      <c r="F6" s="1037"/>
      <c r="G6" s="1037"/>
      <c r="H6" s="1037"/>
      <c r="I6" s="1037"/>
      <c r="J6" s="1037"/>
      <c r="K6" s="1038"/>
    </row>
    <row r="7" spans="2:17" ht="58" x14ac:dyDescent="0.35">
      <c r="B7" s="835"/>
      <c r="C7" s="477" t="s">
        <v>288</v>
      </c>
      <c r="D7" s="284" t="s">
        <v>289</v>
      </c>
      <c r="E7" s="284" t="s">
        <v>290</v>
      </c>
      <c r="F7" s="284" t="s">
        <v>291</v>
      </c>
      <c r="G7" s="284" t="s">
        <v>292</v>
      </c>
      <c r="H7" s="833" t="s">
        <v>293</v>
      </c>
      <c r="I7" s="699" t="s">
        <v>294</v>
      </c>
      <c r="J7" s="806" t="s">
        <v>295</v>
      </c>
      <c r="K7" s="860" t="s">
        <v>296</v>
      </c>
      <c r="L7" s="1" t="s">
        <v>297</v>
      </c>
      <c r="M7" s="1" t="s">
        <v>298</v>
      </c>
    </row>
    <row r="8" spans="2:17" x14ac:dyDescent="0.35">
      <c r="B8" s="836">
        <v>1</v>
      </c>
      <c r="C8" s="843" t="s">
        <v>299</v>
      </c>
      <c r="D8" s="807">
        <v>21504.5</v>
      </c>
      <c r="E8" s="808">
        <v>19955.099999999999</v>
      </c>
      <c r="F8" s="809">
        <v>24142.400000000001</v>
      </c>
      <c r="G8" s="808">
        <v>20848.2</v>
      </c>
      <c r="H8" s="809">
        <v>20404.599999999999</v>
      </c>
      <c r="I8" s="809">
        <v>20441.8</v>
      </c>
      <c r="J8" s="810">
        <v>20667.7</v>
      </c>
      <c r="K8" s="810">
        <v>20716.7</v>
      </c>
    </row>
    <row r="9" spans="2:17" x14ac:dyDescent="0.35">
      <c r="B9" s="836">
        <v>2</v>
      </c>
      <c r="C9" s="844" t="s">
        <v>300</v>
      </c>
      <c r="D9" s="811">
        <v>12088.1</v>
      </c>
      <c r="E9" s="812">
        <v>12049.5</v>
      </c>
      <c r="F9" s="813">
        <v>12129.2</v>
      </c>
      <c r="G9" s="812">
        <v>12216.6</v>
      </c>
      <c r="H9" s="813">
        <v>12296.1</v>
      </c>
      <c r="I9" s="813">
        <v>12391</v>
      </c>
      <c r="J9" s="814">
        <v>12500.9</v>
      </c>
      <c r="K9" s="814">
        <v>12574.7</v>
      </c>
    </row>
    <row r="10" spans="2:17" x14ac:dyDescent="0.35">
      <c r="B10" s="835">
        <v>3</v>
      </c>
      <c r="C10" s="845" t="s">
        <v>301</v>
      </c>
      <c r="D10" s="815">
        <v>9879.5</v>
      </c>
      <c r="E10" s="816">
        <v>9843.2999999999993</v>
      </c>
      <c r="F10" s="817">
        <v>9914.9</v>
      </c>
      <c r="G10" s="816">
        <v>9996</v>
      </c>
      <c r="H10" s="817">
        <v>10067.4</v>
      </c>
      <c r="I10" s="817">
        <v>10152.9</v>
      </c>
      <c r="J10" s="818">
        <v>10251.4</v>
      </c>
      <c r="K10" s="818">
        <v>10318.299999999999</v>
      </c>
    </row>
    <row r="11" spans="2:17" x14ac:dyDescent="0.35">
      <c r="B11" s="835">
        <v>4</v>
      </c>
      <c r="C11" s="846" t="s">
        <v>302</v>
      </c>
      <c r="D11" s="819">
        <v>8376.4</v>
      </c>
      <c r="E11" s="309">
        <v>8343.7000000000007</v>
      </c>
      <c r="F11" s="820">
        <v>8409.2999999999993</v>
      </c>
      <c r="G11" s="309">
        <v>8484.5</v>
      </c>
      <c r="H11" s="820">
        <v>8550.2999999999993</v>
      </c>
      <c r="I11" s="820">
        <v>8623.2000000000007</v>
      </c>
      <c r="J11" s="821">
        <v>8705.6</v>
      </c>
      <c r="K11" s="821">
        <v>8769.5</v>
      </c>
    </row>
    <row r="12" spans="2:17" x14ac:dyDescent="0.35">
      <c r="B12" s="835">
        <v>5</v>
      </c>
      <c r="C12" s="845" t="s">
        <v>303</v>
      </c>
      <c r="D12" s="815">
        <v>1503</v>
      </c>
      <c r="E12" s="816">
        <v>1499.6</v>
      </c>
      <c r="F12" s="817">
        <v>1505.6</v>
      </c>
      <c r="G12" s="816">
        <v>1511.5</v>
      </c>
      <c r="H12" s="817">
        <v>1517.1</v>
      </c>
      <c r="I12" s="817">
        <v>1529.6</v>
      </c>
      <c r="J12" s="818">
        <v>1545.8</v>
      </c>
      <c r="K12" s="818">
        <v>1548.8</v>
      </c>
    </row>
    <row r="13" spans="2:17" x14ac:dyDescent="0.35">
      <c r="B13" s="835">
        <v>6</v>
      </c>
      <c r="C13" s="846" t="s">
        <v>304</v>
      </c>
      <c r="D13" s="819">
        <v>2208.6</v>
      </c>
      <c r="E13" s="309">
        <v>2206.1999999999998</v>
      </c>
      <c r="F13" s="820">
        <v>2214.4</v>
      </c>
      <c r="G13" s="309">
        <v>2220.6999999999998</v>
      </c>
      <c r="H13" s="820">
        <v>2228.6</v>
      </c>
      <c r="I13" s="820">
        <v>2238.1999999999998</v>
      </c>
      <c r="J13" s="821">
        <v>2249.5</v>
      </c>
      <c r="K13" s="821">
        <v>2256.4</v>
      </c>
    </row>
    <row r="14" spans="2:17" x14ac:dyDescent="0.35">
      <c r="B14" s="836">
        <v>7</v>
      </c>
      <c r="C14" s="847" t="s">
        <v>305</v>
      </c>
      <c r="D14" s="822">
        <v>1643.8</v>
      </c>
      <c r="E14" s="808">
        <v>1693.8</v>
      </c>
      <c r="F14" s="823">
        <v>1804.2</v>
      </c>
      <c r="G14" s="808">
        <v>1817.9</v>
      </c>
      <c r="H14" s="823">
        <v>1840.7</v>
      </c>
      <c r="I14" s="823">
        <v>1855.9</v>
      </c>
      <c r="J14" s="824">
        <v>1851.9</v>
      </c>
      <c r="K14" s="824">
        <v>1830</v>
      </c>
      <c r="N14" s="838"/>
    </row>
    <row r="15" spans="2:17" x14ac:dyDescent="0.35">
      <c r="B15" s="835">
        <v>8</v>
      </c>
      <c r="C15" s="846" t="s">
        <v>306</v>
      </c>
      <c r="D15" s="819">
        <v>66.900000000000006</v>
      </c>
      <c r="E15" s="309">
        <v>72.599999999999994</v>
      </c>
      <c r="F15" s="820">
        <v>79.599999999999994</v>
      </c>
      <c r="G15" s="309">
        <v>97</v>
      </c>
      <c r="H15" s="820">
        <v>108.5</v>
      </c>
      <c r="I15" s="820">
        <v>120</v>
      </c>
      <c r="J15" s="821">
        <v>112.7</v>
      </c>
      <c r="K15" s="821">
        <v>113.4</v>
      </c>
      <c r="P15" t="s">
        <v>307</v>
      </c>
      <c r="Q15" t="s">
        <v>308</v>
      </c>
    </row>
    <row r="16" spans="2:17" x14ac:dyDescent="0.35">
      <c r="B16" s="835"/>
      <c r="C16" s="848" t="s">
        <v>309</v>
      </c>
      <c r="D16" s="815" t="s">
        <v>310</v>
      </c>
      <c r="E16" s="816" t="s">
        <v>310</v>
      </c>
      <c r="F16" s="817" t="s">
        <v>310</v>
      </c>
      <c r="G16" s="816" t="s">
        <v>310</v>
      </c>
      <c r="H16" s="817" t="s">
        <v>310</v>
      </c>
      <c r="I16" s="817" t="s">
        <v>310</v>
      </c>
      <c r="J16" s="818" t="s">
        <v>310</v>
      </c>
      <c r="K16" s="818" t="s">
        <v>310</v>
      </c>
    </row>
    <row r="17" spans="2:17" ht="16.5" x14ac:dyDescent="0.35">
      <c r="B17" s="835">
        <v>9</v>
      </c>
      <c r="C17" s="845" t="s">
        <v>311</v>
      </c>
      <c r="D17" s="815">
        <v>2.4</v>
      </c>
      <c r="E17" s="816">
        <v>0.4</v>
      </c>
      <c r="F17" s="817">
        <v>0</v>
      </c>
      <c r="G17" s="816">
        <v>3</v>
      </c>
      <c r="H17" s="817">
        <v>1.4</v>
      </c>
      <c r="I17" s="817">
        <v>0.9</v>
      </c>
      <c r="J17" s="818">
        <v>0.4</v>
      </c>
      <c r="K17" s="818">
        <v>12.7</v>
      </c>
    </row>
    <row r="18" spans="2:17" ht="16.5" x14ac:dyDescent="0.35">
      <c r="B18" s="835">
        <v>10</v>
      </c>
      <c r="C18" s="849" t="s">
        <v>312</v>
      </c>
      <c r="D18" s="819">
        <v>1.8</v>
      </c>
      <c r="E18" s="309">
        <v>5</v>
      </c>
      <c r="F18" s="820">
        <v>7.9</v>
      </c>
      <c r="G18" s="309">
        <v>10.4</v>
      </c>
      <c r="H18" s="820">
        <v>11.8</v>
      </c>
      <c r="I18" s="820">
        <v>11.8</v>
      </c>
      <c r="J18" s="821">
        <v>10.199999999999999</v>
      </c>
      <c r="K18" s="821">
        <v>6.9</v>
      </c>
      <c r="L18" s="838">
        <v>6</v>
      </c>
      <c r="M18" s="838">
        <f>AVERAGE(J18:L18)</f>
        <v>7.7</v>
      </c>
      <c r="O18" s="218"/>
      <c r="P18" s="838">
        <f>AVERAGE(D18:F18)</f>
        <v>4.8999999999999995</v>
      </c>
      <c r="Q18" s="838">
        <f>AVERAGE(G18:I18)</f>
        <v>11.333333333333334</v>
      </c>
    </row>
    <row r="19" spans="2:17" x14ac:dyDescent="0.35">
      <c r="B19" s="835">
        <v>11</v>
      </c>
      <c r="C19" s="845" t="s">
        <v>313</v>
      </c>
      <c r="D19" s="815">
        <v>1576.9</v>
      </c>
      <c r="E19" s="816">
        <v>1621.2</v>
      </c>
      <c r="F19" s="817">
        <v>1724.6</v>
      </c>
      <c r="G19" s="816">
        <v>1720.8</v>
      </c>
      <c r="H19" s="817">
        <v>1732.3</v>
      </c>
      <c r="I19" s="817">
        <v>1735.9</v>
      </c>
      <c r="J19" s="818">
        <v>1739.2</v>
      </c>
      <c r="K19" s="818">
        <v>1716.6</v>
      </c>
    </row>
    <row r="20" spans="2:17" x14ac:dyDescent="0.35">
      <c r="B20" s="835"/>
      <c r="C20" s="850" t="s">
        <v>314</v>
      </c>
      <c r="D20" s="819" t="s">
        <v>310</v>
      </c>
      <c r="E20" s="309" t="s">
        <v>310</v>
      </c>
      <c r="F20" s="820" t="s">
        <v>310</v>
      </c>
      <c r="G20" s="309" t="s">
        <v>310</v>
      </c>
      <c r="H20" s="820" t="s">
        <v>310</v>
      </c>
      <c r="I20" s="820" t="s">
        <v>310</v>
      </c>
      <c r="J20" s="821" t="s">
        <v>310</v>
      </c>
      <c r="K20" s="821" t="s">
        <v>310</v>
      </c>
    </row>
    <row r="21" spans="2:17" ht="16.5" x14ac:dyDescent="0.35">
      <c r="B21" s="835">
        <v>12</v>
      </c>
      <c r="C21" s="849" t="s">
        <v>312</v>
      </c>
      <c r="D21" s="819">
        <v>27.9</v>
      </c>
      <c r="E21" s="309">
        <v>78.3</v>
      </c>
      <c r="F21" s="820">
        <v>124</v>
      </c>
      <c r="G21" s="309">
        <v>163.69999999999999</v>
      </c>
      <c r="H21" s="820">
        <v>184.6</v>
      </c>
      <c r="I21" s="820">
        <v>184.6</v>
      </c>
      <c r="J21" s="821">
        <v>160.30000000000001</v>
      </c>
      <c r="K21" s="821">
        <v>108.8</v>
      </c>
      <c r="L21" s="838">
        <v>80</v>
      </c>
      <c r="M21" s="838">
        <f>AVERAGE(J21:L21)</f>
        <v>116.36666666666667</v>
      </c>
      <c r="N21" s="838"/>
      <c r="O21" s="218"/>
      <c r="P21" s="838">
        <f>AVERAGE(D21:F21)</f>
        <v>76.733333333333334</v>
      </c>
      <c r="Q21" s="838">
        <f>AVERAGE(G21:I21)</f>
        <v>177.63333333333333</v>
      </c>
    </row>
    <row r="22" spans="2:17" x14ac:dyDescent="0.35">
      <c r="B22" s="836">
        <v>13</v>
      </c>
      <c r="C22" s="847" t="s">
        <v>315</v>
      </c>
      <c r="D22" s="822">
        <v>709.3</v>
      </c>
      <c r="E22" s="808">
        <v>716.6</v>
      </c>
      <c r="F22" s="823">
        <v>724.8</v>
      </c>
      <c r="G22" s="808">
        <v>720.7</v>
      </c>
      <c r="H22" s="823">
        <v>716.4</v>
      </c>
      <c r="I22" s="823">
        <v>713.4</v>
      </c>
      <c r="J22" s="824">
        <v>716.4</v>
      </c>
      <c r="K22" s="824">
        <v>719</v>
      </c>
    </row>
    <row r="23" spans="2:17" x14ac:dyDescent="0.35">
      <c r="B23" s="836">
        <v>14</v>
      </c>
      <c r="C23" s="844" t="s">
        <v>316</v>
      </c>
      <c r="D23" s="811">
        <v>2886.2</v>
      </c>
      <c r="E23" s="812">
        <v>2901.2</v>
      </c>
      <c r="F23" s="813">
        <v>2909.1</v>
      </c>
      <c r="G23" s="812">
        <v>2923</v>
      </c>
      <c r="H23" s="813">
        <v>2937.4</v>
      </c>
      <c r="I23" s="813">
        <v>2954</v>
      </c>
      <c r="J23" s="814">
        <v>2963</v>
      </c>
      <c r="K23" s="814">
        <v>2948.2</v>
      </c>
    </row>
    <row r="24" spans="2:17" x14ac:dyDescent="0.35">
      <c r="B24" s="835">
        <v>15</v>
      </c>
      <c r="C24" s="845" t="s">
        <v>317</v>
      </c>
      <c r="D24" s="815">
        <v>1621.9</v>
      </c>
      <c r="E24" s="816">
        <v>1630.2</v>
      </c>
      <c r="F24" s="817">
        <v>1638.4</v>
      </c>
      <c r="G24" s="816">
        <v>1642.2</v>
      </c>
      <c r="H24" s="817">
        <v>1645.9</v>
      </c>
      <c r="I24" s="817">
        <v>1649.7</v>
      </c>
      <c r="J24" s="818">
        <v>1654</v>
      </c>
      <c r="K24" s="818">
        <v>1639.4</v>
      </c>
    </row>
    <row r="25" spans="2:17" x14ac:dyDescent="0.35">
      <c r="B25" s="835">
        <v>16</v>
      </c>
      <c r="C25" s="846" t="s">
        <v>318</v>
      </c>
      <c r="D25" s="819">
        <v>1264.3</v>
      </c>
      <c r="E25" s="309">
        <v>1271.0999999999999</v>
      </c>
      <c r="F25" s="820">
        <v>1270.7</v>
      </c>
      <c r="G25" s="309">
        <v>1280.8</v>
      </c>
      <c r="H25" s="820">
        <v>1291.4000000000001</v>
      </c>
      <c r="I25" s="820">
        <v>1304.3</v>
      </c>
      <c r="J25" s="821">
        <v>1309</v>
      </c>
      <c r="K25" s="821">
        <v>1308.8</v>
      </c>
    </row>
    <row r="26" spans="2:17" x14ac:dyDescent="0.35">
      <c r="B26" s="836">
        <v>17</v>
      </c>
      <c r="C26" s="847" t="s">
        <v>319</v>
      </c>
      <c r="D26" s="822">
        <v>5711.8</v>
      </c>
      <c r="E26" s="808">
        <v>4123</v>
      </c>
      <c r="F26" s="823">
        <v>8112.8</v>
      </c>
      <c r="G26" s="808">
        <v>4719</v>
      </c>
      <c r="H26" s="823">
        <v>4172.1000000000004</v>
      </c>
      <c r="I26" s="823">
        <v>4096.3</v>
      </c>
      <c r="J26" s="824">
        <v>4216.6000000000004</v>
      </c>
      <c r="K26" s="824">
        <v>4233.7</v>
      </c>
    </row>
    <row r="27" spans="2:17" x14ac:dyDescent="0.35">
      <c r="B27" s="835">
        <v>18</v>
      </c>
      <c r="C27" s="846" t="s">
        <v>320</v>
      </c>
      <c r="D27" s="819">
        <v>5650.5</v>
      </c>
      <c r="E27" s="309">
        <v>4061</v>
      </c>
      <c r="F27" s="820">
        <v>8050.2</v>
      </c>
      <c r="G27" s="309">
        <v>4656.8999999999996</v>
      </c>
      <c r="H27" s="820">
        <v>4109.3</v>
      </c>
      <c r="I27" s="820">
        <v>4007.4</v>
      </c>
      <c r="J27" s="821">
        <v>4143</v>
      </c>
      <c r="K27" s="821">
        <v>4169</v>
      </c>
    </row>
    <row r="28" spans="2:17" x14ac:dyDescent="0.35">
      <c r="B28" s="835">
        <v>19</v>
      </c>
      <c r="C28" s="845" t="s">
        <v>321</v>
      </c>
      <c r="D28" s="815">
        <v>1103.9000000000001</v>
      </c>
      <c r="E28" s="816">
        <v>1106</v>
      </c>
      <c r="F28" s="817">
        <v>1109.0999999999999</v>
      </c>
      <c r="G28" s="816">
        <v>1107.5999999999999</v>
      </c>
      <c r="H28" s="817">
        <v>1108.2</v>
      </c>
      <c r="I28" s="817">
        <v>1113.3</v>
      </c>
      <c r="J28" s="818">
        <v>1113.4000000000001</v>
      </c>
      <c r="K28" s="818">
        <v>1117.2</v>
      </c>
      <c r="L28" s="838">
        <f>K28+4</f>
        <v>1121.2</v>
      </c>
      <c r="M28" s="838">
        <f>AVERAGE(J28:L28)</f>
        <v>1117.2666666666667</v>
      </c>
    </row>
    <row r="29" spans="2:17" x14ac:dyDescent="0.35">
      <c r="B29" s="835">
        <v>20</v>
      </c>
      <c r="C29" s="846" t="s">
        <v>322</v>
      </c>
      <c r="D29" s="819">
        <v>815.6</v>
      </c>
      <c r="E29" s="309">
        <v>813.8</v>
      </c>
      <c r="F29" s="820">
        <v>813</v>
      </c>
      <c r="G29" s="309">
        <v>813.4</v>
      </c>
      <c r="H29" s="820">
        <v>814.9</v>
      </c>
      <c r="I29" s="820">
        <v>817.5</v>
      </c>
      <c r="J29" s="821">
        <v>821.3</v>
      </c>
      <c r="K29" s="821">
        <v>826.2</v>
      </c>
      <c r="L29" s="838">
        <f>K29+5</f>
        <v>831.2</v>
      </c>
      <c r="M29" s="838">
        <f>AVERAGE(J29:L29)</f>
        <v>826.23333333333323</v>
      </c>
    </row>
    <row r="30" spans="2:17" x14ac:dyDescent="0.35">
      <c r="B30" s="835"/>
      <c r="C30" s="848" t="s">
        <v>323</v>
      </c>
      <c r="D30" s="815" t="s">
        <v>310</v>
      </c>
      <c r="E30" s="816" t="s">
        <v>310</v>
      </c>
      <c r="F30" s="817" t="s">
        <v>310</v>
      </c>
      <c r="G30" s="816" t="s">
        <v>310</v>
      </c>
      <c r="H30" s="817" t="s">
        <v>310</v>
      </c>
      <c r="I30" s="817" t="s">
        <v>310</v>
      </c>
      <c r="J30" s="818" t="s">
        <v>310</v>
      </c>
      <c r="K30" s="818" t="s">
        <v>310</v>
      </c>
    </row>
    <row r="31" spans="2:17" ht="16.5" x14ac:dyDescent="0.35">
      <c r="B31" s="835">
        <v>21</v>
      </c>
      <c r="C31" s="845" t="s">
        <v>324</v>
      </c>
      <c r="D31" s="815">
        <v>14.2</v>
      </c>
      <c r="E31" s="816">
        <v>14.1</v>
      </c>
      <c r="F31" s="817">
        <v>14.1</v>
      </c>
      <c r="G31" s="816">
        <v>14.1</v>
      </c>
      <c r="H31" s="817">
        <v>14.1</v>
      </c>
      <c r="I31" s="817">
        <v>14.2</v>
      </c>
      <c r="J31" s="818">
        <v>14.2</v>
      </c>
      <c r="K31" s="818">
        <v>14.3</v>
      </c>
    </row>
    <row r="32" spans="2:17" x14ac:dyDescent="0.35">
      <c r="B32" s="835">
        <v>22</v>
      </c>
      <c r="C32" s="846" t="s">
        <v>325</v>
      </c>
      <c r="D32" s="819">
        <v>688.5</v>
      </c>
      <c r="E32" s="309">
        <v>696.2</v>
      </c>
      <c r="F32" s="820">
        <v>703</v>
      </c>
      <c r="G32" s="309">
        <v>720.5</v>
      </c>
      <c r="H32" s="820">
        <v>736</v>
      </c>
      <c r="I32" s="820">
        <v>750</v>
      </c>
      <c r="J32" s="821">
        <v>760.4</v>
      </c>
      <c r="K32" s="821">
        <v>758.5</v>
      </c>
      <c r="L32" s="838">
        <f>K32-3</f>
        <v>755.5</v>
      </c>
      <c r="M32" s="838">
        <f>AVERAGE(J32:L32)</f>
        <v>758.13333333333333</v>
      </c>
    </row>
    <row r="33" spans="2:13" x14ac:dyDescent="0.35">
      <c r="B33" s="835">
        <v>23</v>
      </c>
      <c r="C33" s="845" t="s">
        <v>326</v>
      </c>
      <c r="D33" s="815">
        <v>574.20000000000005</v>
      </c>
      <c r="E33" s="816">
        <v>557.5</v>
      </c>
      <c r="F33" s="817">
        <v>565.5</v>
      </c>
      <c r="G33" s="816">
        <v>516.4</v>
      </c>
      <c r="H33" s="817">
        <v>492</v>
      </c>
      <c r="I33" s="817">
        <v>433</v>
      </c>
      <c r="J33" s="818">
        <v>380.5</v>
      </c>
      <c r="K33" s="818">
        <v>365.8</v>
      </c>
      <c r="L33" s="838">
        <f>14.3*12</f>
        <v>171.60000000000002</v>
      </c>
      <c r="M33" s="838">
        <f>AVERAGE(J33:L33)</f>
        <v>305.96666666666664</v>
      </c>
    </row>
    <row r="34" spans="2:13" ht="16.5" x14ac:dyDescent="0.35">
      <c r="B34" s="835"/>
      <c r="C34" s="851" t="s">
        <v>327</v>
      </c>
      <c r="D34" s="819" t="s">
        <v>310</v>
      </c>
      <c r="E34" s="309" t="s">
        <v>310</v>
      </c>
      <c r="F34" s="820" t="s">
        <v>310</v>
      </c>
      <c r="G34" s="309" t="s">
        <v>310</v>
      </c>
      <c r="H34" s="820" t="s">
        <v>310</v>
      </c>
      <c r="I34" s="820" t="s">
        <v>310</v>
      </c>
      <c r="J34" s="821" t="s">
        <v>310</v>
      </c>
      <c r="K34" s="821" t="s">
        <v>310</v>
      </c>
      <c r="L34">
        <f>L33/K33</f>
        <v>0.46910880262438498</v>
      </c>
    </row>
    <row r="35" spans="2:13" x14ac:dyDescent="0.35">
      <c r="B35" s="835">
        <v>24</v>
      </c>
      <c r="C35" s="852" t="s">
        <v>328</v>
      </c>
      <c r="D35" s="819">
        <v>31.9</v>
      </c>
      <c r="E35" s="309">
        <v>25.9</v>
      </c>
      <c r="F35" s="820">
        <v>17.100000000000001</v>
      </c>
      <c r="G35" s="309">
        <v>9.6999999999999993</v>
      </c>
      <c r="H35" s="820">
        <v>4.8</v>
      </c>
      <c r="I35" s="820">
        <v>3</v>
      </c>
      <c r="J35" s="821">
        <v>6.8</v>
      </c>
      <c r="K35" s="821">
        <v>4.4000000000000004</v>
      </c>
      <c r="L35" s="838">
        <f>L$34*K35</f>
        <v>2.0640787315472942</v>
      </c>
      <c r="M35" s="838">
        <f>AVERAGE(J35:L35)</f>
        <v>4.4213595771824314</v>
      </c>
    </row>
    <row r="36" spans="2:13" x14ac:dyDescent="0.35">
      <c r="B36" s="835">
        <v>25</v>
      </c>
      <c r="C36" s="853" t="s">
        <v>329</v>
      </c>
      <c r="D36" s="815">
        <v>81.099999999999994</v>
      </c>
      <c r="E36" s="816">
        <v>100.1</v>
      </c>
      <c r="F36" s="817">
        <v>112.1</v>
      </c>
      <c r="G36" s="816">
        <v>105.8</v>
      </c>
      <c r="H36" s="817">
        <v>106.9</v>
      </c>
      <c r="I36" s="817">
        <v>100.9</v>
      </c>
      <c r="J36" s="818">
        <v>84.3</v>
      </c>
      <c r="K36" s="818">
        <v>79</v>
      </c>
      <c r="L36" s="838">
        <f t="shared" ref="L36:L38" si="0">L$34*K36</f>
        <v>37.059595407326412</v>
      </c>
      <c r="M36" s="838">
        <f t="shared" ref="M36:M39" si="1">AVERAGE(J36:L36)</f>
        <v>66.786531802442141</v>
      </c>
    </row>
    <row r="37" spans="2:13" x14ac:dyDescent="0.35">
      <c r="B37" s="835">
        <v>26</v>
      </c>
      <c r="C37" s="854" t="s">
        <v>330</v>
      </c>
      <c r="D37" s="819">
        <v>95.4</v>
      </c>
      <c r="E37" s="309">
        <v>97</v>
      </c>
      <c r="F37" s="820">
        <v>93.4</v>
      </c>
      <c r="G37" s="309">
        <v>90.9</v>
      </c>
      <c r="H37" s="820">
        <v>81.3</v>
      </c>
      <c r="I37" s="820">
        <v>74.099999999999994</v>
      </c>
      <c r="J37" s="821">
        <v>65.400000000000006</v>
      </c>
      <c r="K37" s="821">
        <v>68.7</v>
      </c>
      <c r="L37" s="838">
        <f t="shared" si="0"/>
        <v>32.227774740295253</v>
      </c>
      <c r="M37" s="838">
        <f t="shared" si="1"/>
        <v>55.442591580098423</v>
      </c>
    </row>
    <row r="38" spans="2:13" x14ac:dyDescent="0.35">
      <c r="B38" s="835">
        <v>27</v>
      </c>
      <c r="C38" s="853" t="s">
        <v>331</v>
      </c>
      <c r="D38" s="815">
        <v>297.8</v>
      </c>
      <c r="E38" s="816">
        <v>273.7</v>
      </c>
      <c r="F38" s="817">
        <v>289.3</v>
      </c>
      <c r="G38" s="816">
        <v>258.2</v>
      </c>
      <c r="H38" s="817">
        <v>247.2</v>
      </c>
      <c r="I38" s="817">
        <v>206.3</v>
      </c>
      <c r="J38" s="818">
        <v>179</v>
      </c>
      <c r="K38" s="818">
        <v>172.8</v>
      </c>
      <c r="L38" s="838">
        <f t="shared" si="0"/>
        <v>81.062001093493734</v>
      </c>
      <c r="M38" s="838">
        <f t="shared" si="1"/>
        <v>144.28733369783126</v>
      </c>
    </row>
    <row r="39" spans="2:13" x14ac:dyDescent="0.35">
      <c r="B39" s="835">
        <v>28</v>
      </c>
      <c r="C39" s="846" t="s">
        <v>332</v>
      </c>
      <c r="D39" s="819">
        <v>151.30000000000001</v>
      </c>
      <c r="E39" s="309">
        <v>152.4</v>
      </c>
      <c r="F39" s="820">
        <v>153.6</v>
      </c>
      <c r="G39" s="309">
        <v>155</v>
      </c>
      <c r="H39" s="820">
        <v>156.5</v>
      </c>
      <c r="I39" s="820">
        <v>158</v>
      </c>
      <c r="J39" s="821">
        <v>160.30000000000001</v>
      </c>
      <c r="K39" s="821">
        <v>162.19999999999999</v>
      </c>
      <c r="L39" s="821">
        <v>164</v>
      </c>
      <c r="M39" s="838">
        <f t="shared" si="1"/>
        <v>162.16666666666666</v>
      </c>
    </row>
    <row r="40" spans="2:13" x14ac:dyDescent="0.35">
      <c r="B40" s="835">
        <v>29</v>
      </c>
      <c r="C40" s="845" t="s">
        <v>333</v>
      </c>
      <c r="D40" s="815">
        <v>2317</v>
      </c>
      <c r="E40" s="816">
        <v>735.2</v>
      </c>
      <c r="F40" s="817">
        <v>4706</v>
      </c>
      <c r="G40" s="816">
        <v>1344</v>
      </c>
      <c r="H40" s="817">
        <v>801.7</v>
      </c>
      <c r="I40" s="817">
        <v>735.6</v>
      </c>
      <c r="J40" s="818">
        <v>907.1</v>
      </c>
      <c r="K40" s="818">
        <v>939</v>
      </c>
    </row>
    <row r="41" spans="2:13" x14ac:dyDescent="0.35">
      <c r="B41" s="835"/>
      <c r="C41" s="851" t="s">
        <v>334</v>
      </c>
      <c r="D41" s="819" t="s">
        <v>310</v>
      </c>
      <c r="E41" s="309" t="s">
        <v>310</v>
      </c>
      <c r="F41" s="820" t="s">
        <v>310</v>
      </c>
      <c r="G41" s="309" t="s">
        <v>310</v>
      </c>
      <c r="H41" s="820" t="s">
        <v>310</v>
      </c>
      <c r="I41" s="820" t="s">
        <v>310</v>
      </c>
      <c r="J41" s="821" t="s">
        <v>310</v>
      </c>
      <c r="K41" s="821" t="s">
        <v>310</v>
      </c>
    </row>
    <row r="42" spans="2:13" ht="16.5" x14ac:dyDescent="0.35">
      <c r="B42" s="835">
        <v>30</v>
      </c>
      <c r="C42" s="852" t="s">
        <v>335</v>
      </c>
      <c r="D42" s="825">
        <v>34.4</v>
      </c>
      <c r="E42" s="820">
        <v>34.4</v>
      </c>
      <c r="F42" s="309">
        <v>34.4</v>
      </c>
      <c r="G42" s="820">
        <v>34.4</v>
      </c>
      <c r="H42" s="309">
        <v>34.4</v>
      </c>
      <c r="I42" s="820">
        <v>34.4</v>
      </c>
      <c r="J42" s="309">
        <v>211.9</v>
      </c>
      <c r="K42" s="821">
        <v>225.6</v>
      </c>
      <c r="L42" s="838">
        <f>K42</f>
        <v>225.6</v>
      </c>
      <c r="M42" s="838">
        <f>AVERAGE(J42:L42)</f>
        <v>221.03333333333333</v>
      </c>
    </row>
    <row r="43" spans="2:13" ht="16.5" x14ac:dyDescent="0.35">
      <c r="B43" s="835">
        <v>31</v>
      </c>
      <c r="C43" s="855" t="s">
        <v>336</v>
      </c>
      <c r="D43" s="815">
        <v>1660.9</v>
      </c>
      <c r="E43" s="816">
        <v>95.9</v>
      </c>
      <c r="F43" s="817">
        <v>4044.2</v>
      </c>
      <c r="G43" s="816">
        <v>688</v>
      </c>
      <c r="H43" s="817">
        <v>128.6</v>
      </c>
      <c r="I43" s="817">
        <v>53.8</v>
      </c>
      <c r="J43" s="818">
        <v>45.7</v>
      </c>
      <c r="K43" s="818">
        <v>40.4</v>
      </c>
      <c r="L43">
        <f>2.5*12</f>
        <v>30</v>
      </c>
      <c r="M43" s="838">
        <f>AVERAGE(J43:L43)</f>
        <v>38.699999999999996</v>
      </c>
    </row>
    <row r="44" spans="2:13" x14ac:dyDescent="0.35">
      <c r="B44" s="835">
        <v>32</v>
      </c>
      <c r="C44" s="852" t="s">
        <v>337</v>
      </c>
      <c r="D44" s="819">
        <v>2.1</v>
      </c>
      <c r="E44" s="309">
        <v>0.7</v>
      </c>
      <c r="F44" s="820">
        <v>2.1</v>
      </c>
      <c r="G44" s="309">
        <v>0.8</v>
      </c>
      <c r="H44" s="820">
        <v>0.5</v>
      </c>
      <c r="I44" s="820">
        <v>0.5</v>
      </c>
      <c r="J44" s="821">
        <v>0.2</v>
      </c>
      <c r="K44" s="821">
        <v>0</v>
      </c>
      <c r="L44" s="838">
        <f>AVERAGE(J44:K44)</f>
        <v>0.1</v>
      </c>
      <c r="M44" s="838">
        <f>AVERAGE(J44:L44)</f>
        <v>0.10000000000000002</v>
      </c>
    </row>
    <row r="45" spans="2:13" ht="16.5" x14ac:dyDescent="0.35">
      <c r="B45" s="835">
        <v>33</v>
      </c>
      <c r="C45" s="856" t="s">
        <v>338</v>
      </c>
      <c r="D45" s="815">
        <v>4.2</v>
      </c>
      <c r="E45" s="816">
        <v>11</v>
      </c>
      <c r="F45" s="817">
        <v>17.3</v>
      </c>
      <c r="G45" s="816">
        <v>22.8</v>
      </c>
      <c r="H45" s="817">
        <v>25.7</v>
      </c>
      <c r="I45" s="817">
        <v>25.7</v>
      </c>
      <c r="J45" s="818">
        <v>21.7</v>
      </c>
      <c r="K45" s="818">
        <v>13.5</v>
      </c>
      <c r="L45" s="838">
        <v>10</v>
      </c>
      <c r="M45" s="838">
        <f>AVERAGE(J45:L45)</f>
        <v>15.066666666666668</v>
      </c>
    </row>
    <row r="46" spans="2:13" ht="16.5" x14ac:dyDescent="0.35">
      <c r="B46" s="835">
        <v>34</v>
      </c>
      <c r="C46" s="846" t="s">
        <v>339</v>
      </c>
      <c r="D46" s="819">
        <v>56.9</v>
      </c>
      <c r="E46" s="309">
        <v>28.1</v>
      </c>
      <c r="F46" s="820">
        <v>43.4</v>
      </c>
      <c r="G46" s="309">
        <v>27.6</v>
      </c>
      <c r="H46" s="820">
        <v>28.4</v>
      </c>
      <c r="I46" s="820">
        <v>23.9</v>
      </c>
      <c r="J46" s="821">
        <v>36.1</v>
      </c>
      <c r="K46" s="821">
        <v>49.3</v>
      </c>
      <c r="L46" s="838">
        <f>AVERAGE(J46:K46)</f>
        <v>42.7</v>
      </c>
      <c r="M46" s="838">
        <f>AVERAGE(J46:L46)</f>
        <v>42.70000000000001</v>
      </c>
    </row>
    <row r="47" spans="2:13" x14ac:dyDescent="0.35">
      <c r="B47" s="835">
        <v>35</v>
      </c>
      <c r="C47" s="845" t="s">
        <v>340</v>
      </c>
      <c r="D47" s="815">
        <v>61.4</v>
      </c>
      <c r="E47" s="816">
        <v>62</v>
      </c>
      <c r="F47" s="817">
        <v>62.6</v>
      </c>
      <c r="G47" s="816">
        <v>62.1</v>
      </c>
      <c r="H47" s="817">
        <v>62.8</v>
      </c>
      <c r="I47" s="817">
        <v>88.9</v>
      </c>
      <c r="J47" s="818">
        <v>73.599999999999994</v>
      </c>
      <c r="K47" s="818">
        <v>64.8</v>
      </c>
    </row>
    <row r="48" spans="2:13" x14ac:dyDescent="0.35">
      <c r="B48" s="836">
        <v>36</v>
      </c>
      <c r="C48" s="844" t="s">
        <v>341</v>
      </c>
      <c r="D48" s="811">
        <v>1534.7</v>
      </c>
      <c r="E48" s="812">
        <v>1529.1</v>
      </c>
      <c r="F48" s="813">
        <v>1537.7</v>
      </c>
      <c r="G48" s="812">
        <v>1548.9</v>
      </c>
      <c r="H48" s="813">
        <v>1558.1</v>
      </c>
      <c r="I48" s="813">
        <v>1568.7</v>
      </c>
      <c r="J48" s="814">
        <v>1581.1</v>
      </c>
      <c r="K48" s="814">
        <v>1588.9</v>
      </c>
    </row>
    <row r="49" spans="2:11" x14ac:dyDescent="0.35">
      <c r="B49" s="836">
        <v>37</v>
      </c>
      <c r="C49" s="847" t="s">
        <v>342</v>
      </c>
      <c r="D49" s="822">
        <v>2384.1999999999998</v>
      </c>
      <c r="E49" s="808">
        <v>2408.5</v>
      </c>
      <c r="F49" s="823">
        <v>2443.6</v>
      </c>
      <c r="G49" s="808">
        <v>2505.8000000000002</v>
      </c>
      <c r="H49" s="823">
        <v>2553.6999999999998</v>
      </c>
      <c r="I49" s="823">
        <v>2591.8000000000002</v>
      </c>
      <c r="J49" s="824">
        <v>2619.6</v>
      </c>
      <c r="K49" s="824">
        <v>2592.8000000000002</v>
      </c>
    </row>
    <row r="50" spans="2:11" x14ac:dyDescent="0.35">
      <c r="B50" s="836">
        <v>38</v>
      </c>
      <c r="C50" s="844" t="s">
        <v>343</v>
      </c>
      <c r="D50" s="811">
        <v>19120.3</v>
      </c>
      <c r="E50" s="812">
        <v>17546.599999999999</v>
      </c>
      <c r="F50" s="813">
        <v>21698.9</v>
      </c>
      <c r="G50" s="812">
        <v>18342.5</v>
      </c>
      <c r="H50" s="813">
        <v>17850.900000000001</v>
      </c>
      <c r="I50" s="813">
        <v>17850</v>
      </c>
      <c r="J50" s="814">
        <v>18048.099999999999</v>
      </c>
      <c r="K50" s="814">
        <v>18123.900000000001</v>
      </c>
    </row>
    <row r="51" spans="2:11" x14ac:dyDescent="0.35">
      <c r="B51" s="836">
        <v>39</v>
      </c>
      <c r="C51" s="847" t="s">
        <v>344</v>
      </c>
      <c r="D51" s="822">
        <v>15321.7</v>
      </c>
      <c r="E51" s="808">
        <v>15169.7</v>
      </c>
      <c r="F51" s="823">
        <v>15935.3</v>
      </c>
      <c r="G51" s="808">
        <v>16095.5</v>
      </c>
      <c r="H51" s="823">
        <v>16107.6</v>
      </c>
      <c r="I51" s="823">
        <v>16278.2</v>
      </c>
      <c r="J51" s="824">
        <v>16323.7</v>
      </c>
      <c r="K51" s="824">
        <v>16413</v>
      </c>
    </row>
    <row r="52" spans="2:11" x14ac:dyDescent="0.35">
      <c r="B52" s="835">
        <v>40</v>
      </c>
      <c r="C52" s="846" t="s">
        <v>345</v>
      </c>
      <c r="D52" s="819">
        <v>14857.9</v>
      </c>
      <c r="E52" s="309">
        <v>14699.6</v>
      </c>
      <c r="F52" s="820">
        <v>15458.9</v>
      </c>
      <c r="G52" s="309">
        <v>15614.6</v>
      </c>
      <c r="H52" s="820">
        <v>15623.1</v>
      </c>
      <c r="I52" s="820">
        <v>15790</v>
      </c>
      <c r="J52" s="821">
        <v>15832.3</v>
      </c>
      <c r="K52" s="821">
        <v>15922.2</v>
      </c>
    </row>
    <row r="53" spans="2:11" x14ac:dyDescent="0.35">
      <c r="B53" s="835"/>
      <c r="C53" s="845" t="s">
        <v>346</v>
      </c>
      <c r="D53" s="815">
        <v>249.2</v>
      </c>
      <c r="E53" s="816">
        <v>255.3</v>
      </c>
      <c r="F53" s="817">
        <v>261.5</v>
      </c>
      <c r="G53" s="816">
        <v>264.8</v>
      </c>
      <c r="H53" s="817">
        <v>268.2</v>
      </c>
      <c r="I53" s="817">
        <v>271.60000000000002</v>
      </c>
      <c r="J53" s="818">
        <v>274.5</v>
      </c>
      <c r="K53" s="818">
        <v>274.10000000000002</v>
      </c>
    </row>
    <row r="54" spans="2:11" x14ac:dyDescent="0.35">
      <c r="B54" s="835">
        <v>41</v>
      </c>
      <c r="C54" s="857" t="s">
        <v>347</v>
      </c>
      <c r="D54" s="819" t="s">
        <v>310</v>
      </c>
      <c r="E54" s="309" t="s">
        <v>310</v>
      </c>
      <c r="F54" s="820" t="s">
        <v>310</v>
      </c>
      <c r="G54" s="309" t="s">
        <v>310</v>
      </c>
      <c r="H54" s="820" t="s">
        <v>310</v>
      </c>
      <c r="I54" s="820" t="s">
        <v>310</v>
      </c>
      <c r="J54" s="821" t="s">
        <v>310</v>
      </c>
      <c r="K54" s="821" t="s">
        <v>310</v>
      </c>
    </row>
    <row r="55" spans="2:11" ht="16.5" x14ac:dyDescent="0.35">
      <c r="B55" s="835">
        <v>42</v>
      </c>
      <c r="C55" s="858" t="s">
        <v>348</v>
      </c>
      <c r="D55" s="819">
        <v>-37.799999999999997</v>
      </c>
      <c r="E55" s="309">
        <v>-37.799999999999997</v>
      </c>
      <c r="F55" s="820">
        <v>-37.799999999999997</v>
      </c>
      <c r="G55" s="309">
        <v>-37.799999999999997</v>
      </c>
      <c r="H55" s="820">
        <v>-37.799999999999997</v>
      </c>
      <c r="I55" s="820">
        <v>-37.799999999999997</v>
      </c>
      <c r="J55" s="821">
        <v>-37.799999999999997</v>
      </c>
      <c r="K55" s="821">
        <v>-37.799999999999997</v>
      </c>
    </row>
    <row r="56" spans="2:11" x14ac:dyDescent="0.35">
      <c r="B56" s="835">
        <v>43</v>
      </c>
      <c r="C56" s="845" t="s">
        <v>349</v>
      </c>
      <c r="D56" s="815">
        <v>214.7</v>
      </c>
      <c r="E56" s="816">
        <v>214.8</v>
      </c>
      <c r="F56" s="817">
        <v>215</v>
      </c>
      <c r="G56" s="816">
        <v>216.1</v>
      </c>
      <c r="H56" s="817">
        <v>216.4</v>
      </c>
      <c r="I56" s="817">
        <v>216.7</v>
      </c>
      <c r="J56" s="818">
        <v>216.9</v>
      </c>
      <c r="K56" s="818">
        <v>216.7</v>
      </c>
    </row>
    <row r="57" spans="2:11" x14ac:dyDescent="0.35">
      <c r="B57" s="835">
        <v>44</v>
      </c>
      <c r="C57" s="846" t="s">
        <v>350</v>
      </c>
      <c r="D57" s="819">
        <v>115.2</v>
      </c>
      <c r="E57" s="309">
        <v>115.3</v>
      </c>
      <c r="F57" s="820">
        <v>115.5</v>
      </c>
      <c r="G57" s="309">
        <v>115.7</v>
      </c>
      <c r="H57" s="820">
        <v>116</v>
      </c>
      <c r="I57" s="820">
        <v>116.3</v>
      </c>
      <c r="J57" s="821">
        <v>116.5</v>
      </c>
      <c r="K57" s="821">
        <v>116.8</v>
      </c>
    </row>
    <row r="58" spans="2:11" x14ac:dyDescent="0.35">
      <c r="B58" s="835">
        <v>45</v>
      </c>
      <c r="C58" s="845" t="s">
        <v>351</v>
      </c>
      <c r="D58" s="815">
        <v>99.5</v>
      </c>
      <c r="E58" s="816">
        <v>99.5</v>
      </c>
      <c r="F58" s="817">
        <v>99.5</v>
      </c>
      <c r="G58" s="816">
        <v>100.4</v>
      </c>
      <c r="H58" s="817">
        <v>100.4</v>
      </c>
      <c r="I58" s="817">
        <v>100.4</v>
      </c>
      <c r="J58" s="818">
        <v>100.4</v>
      </c>
      <c r="K58" s="818">
        <v>99.9</v>
      </c>
    </row>
    <row r="59" spans="2:11" ht="15" thickBot="1" x14ac:dyDescent="0.4">
      <c r="B59" s="837">
        <v>46</v>
      </c>
      <c r="C59" s="859" t="s">
        <v>352</v>
      </c>
      <c r="D59" s="826">
        <v>3798.6</v>
      </c>
      <c r="E59" s="827">
        <v>2376.9</v>
      </c>
      <c r="F59" s="828">
        <v>5763.5</v>
      </c>
      <c r="G59" s="827">
        <v>2247</v>
      </c>
      <c r="H59" s="828">
        <v>1743.2</v>
      </c>
      <c r="I59" s="828">
        <v>1571.8</v>
      </c>
      <c r="J59" s="829">
        <v>1724.4</v>
      </c>
      <c r="K59" s="829">
        <v>1710.9</v>
      </c>
    </row>
    <row r="60" spans="2:11" x14ac:dyDescent="0.35">
      <c r="B60" t="s">
        <v>353</v>
      </c>
      <c r="C60" s="830" t="s">
        <v>354</v>
      </c>
    </row>
    <row r="61" spans="2:11" x14ac:dyDescent="0.35">
      <c r="B61" t="s">
        <v>355</v>
      </c>
      <c r="C61" s="831" t="s">
        <v>356</v>
      </c>
    </row>
    <row r="62" spans="2:11" x14ac:dyDescent="0.35">
      <c r="B62" t="s">
        <v>357</v>
      </c>
      <c r="C62" s="831" t="s">
        <v>358</v>
      </c>
    </row>
    <row r="63" spans="2:11" x14ac:dyDescent="0.35">
      <c r="B63" t="s">
        <v>359</v>
      </c>
      <c r="C63" s="831" t="s">
        <v>360</v>
      </c>
    </row>
    <row r="65" spans="2:16" x14ac:dyDescent="0.35">
      <c r="B65" s="1039" t="s">
        <v>361</v>
      </c>
      <c r="C65" s="1039"/>
      <c r="D65" s="1039"/>
      <c r="E65" s="1039"/>
      <c r="F65" s="1039"/>
      <c r="G65" s="1039"/>
      <c r="H65" s="1039"/>
      <c r="I65" s="1039"/>
      <c r="J65" s="1039"/>
      <c r="K65" s="1039"/>
      <c r="L65" s="1039"/>
      <c r="M65" s="1039"/>
      <c r="N65" s="1039"/>
      <c r="O65" s="1039"/>
      <c r="P65" s="1039"/>
    </row>
    <row r="66" spans="2:16" x14ac:dyDescent="0.35">
      <c r="B66" s="1040" t="s">
        <v>362</v>
      </c>
      <c r="C66" s="1040"/>
      <c r="D66" s="1040"/>
      <c r="E66" s="1040"/>
      <c r="F66" s="1040"/>
      <c r="G66" s="1040"/>
      <c r="H66" s="1040"/>
      <c r="I66" s="1040"/>
      <c r="J66" s="1040"/>
      <c r="K66" s="1040"/>
      <c r="L66" s="1040"/>
      <c r="M66" s="1040"/>
      <c r="N66" s="1040"/>
      <c r="O66" s="1040"/>
      <c r="P66" s="1040"/>
    </row>
    <row r="67" spans="2:16" x14ac:dyDescent="0.35">
      <c r="B67" s="1028" t="s">
        <v>363</v>
      </c>
      <c r="C67" s="1028"/>
      <c r="D67" s="1028"/>
      <c r="E67" s="1028"/>
      <c r="F67" s="1028"/>
      <c r="G67" s="1028"/>
      <c r="H67" s="1028"/>
      <c r="I67" s="1028"/>
      <c r="J67" s="1028"/>
      <c r="K67" s="1028"/>
      <c r="L67" s="1028"/>
      <c r="M67" s="1028"/>
      <c r="N67" s="1028"/>
      <c r="O67" s="1028"/>
      <c r="P67" s="1028"/>
    </row>
    <row r="68" spans="2:16" x14ac:dyDescent="0.35">
      <c r="B68" s="1033" t="s">
        <v>364</v>
      </c>
      <c r="C68" s="1033"/>
      <c r="D68" s="1033"/>
      <c r="E68" s="1033"/>
      <c r="F68" s="1033"/>
      <c r="G68" s="1033"/>
      <c r="H68" s="1033"/>
      <c r="I68" s="1033"/>
      <c r="J68" s="1033"/>
      <c r="K68" s="1033"/>
      <c r="L68" s="1033"/>
      <c r="M68" s="1033"/>
      <c r="N68" s="1033"/>
      <c r="O68" s="1033"/>
      <c r="P68" s="1033"/>
    </row>
    <row r="69" spans="2:16" x14ac:dyDescent="0.35">
      <c r="B69" s="1034" t="s">
        <v>365</v>
      </c>
      <c r="C69" s="1034"/>
      <c r="D69" s="1034"/>
      <c r="E69" s="1034"/>
      <c r="F69" s="1034"/>
      <c r="G69" s="1034"/>
      <c r="H69" s="1034"/>
      <c r="I69" s="1034"/>
      <c r="J69" s="1034"/>
      <c r="K69" s="1034"/>
      <c r="L69" s="1034"/>
      <c r="M69" s="1034"/>
      <c r="N69" s="1034"/>
      <c r="O69" s="1034"/>
      <c r="P69" s="1034"/>
    </row>
    <row r="70" spans="2:16" x14ac:dyDescent="0.35">
      <c r="B70" s="1029" t="s">
        <v>366</v>
      </c>
      <c r="C70" s="1029"/>
      <c r="D70" s="1029"/>
      <c r="E70" s="1029"/>
      <c r="F70" s="1029"/>
      <c r="G70" s="1029"/>
      <c r="H70" s="1029"/>
      <c r="I70" s="1029"/>
      <c r="J70" s="1029"/>
      <c r="K70" s="1029"/>
      <c r="L70" s="1029"/>
      <c r="M70" s="1029"/>
      <c r="N70" s="1029"/>
      <c r="O70" s="1029"/>
      <c r="P70" s="1029"/>
    </row>
    <row r="71" spans="2:16" x14ac:dyDescent="0.35">
      <c r="B71" s="1028" t="s">
        <v>367</v>
      </c>
      <c r="C71" s="1028"/>
      <c r="D71" s="1028"/>
      <c r="E71" s="1028"/>
      <c r="F71" s="1028"/>
      <c r="G71" s="1028"/>
      <c r="H71" s="1028"/>
      <c r="I71" s="1028"/>
      <c r="J71" s="1028"/>
      <c r="K71" s="1028"/>
      <c r="L71" s="1028"/>
      <c r="M71" s="1028"/>
      <c r="N71" s="1028"/>
      <c r="O71" s="1028"/>
      <c r="P71" s="1028"/>
    </row>
    <row r="72" spans="2:16" x14ac:dyDescent="0.35">
      <c r="B72" s="1028" t="s">
        <v>368</v>
      </c>
      <c r="C72" s="1028"/>
      <c r="D72" s="1028"/>
      <c r="E72" s="1028"/>
      <c r="F72" s="1028"/>
      <c r="G72" s="1028"/>
      <c r="H72" s="1028"/>
      <c r="I72" s="1028"/>
      <c r="J72" s="1028"/>
      <c r="K72" s="1028"/>
      <c r="L72" s="1028"/>
      <c r="M72" s="1028"/>
      <c r="N72" s="1028"/>
      <c r="O72" s="1028"/>
      <c r="P72" s="1028"/>
    </row>
    <row r="73" spans="2:16" x14ac:dyDescent="0.35">
      <c r="B73" s="1029" t="s">
        <v>369</v>
      </c>
      <c r="C73" s="1029"/>
      <c r="D73" s="1029"/>
      <c r="E73" s="1029"/>
      <c r="F73" s="1029"/>
      <c r="G73" s="1029"/>
      <c r="H73" s="1029"/>
      <c r="I73" s="1029"/>
      <c r="J73" s="1029"/>
      <c r="K73" s="1029"/>
      <c r="L73" s="1029"/>
      <c r="M73" s="1029"/>
      <c r="N73" s="1029"/>
      <c r="O73" s="1029"/>
      <c r="P73" s="1029"/>
    </row>
    <row r="74" spans="2:16" x14ac:dyDescent="0.35">
      <c r="B74" s="479"/>
    </row>
    <row r="75" spans="2:16" x14ac:dyDescent="0.35">
      <c r="B75" s="1030" t="s">
        <v>370</v>
      </c>
      <c r="C75" s="1030"/>
      <c r="D75" s="1030"/>
      <c r="E75" s="1030"/>
      <c r="F75" s="1030"/>
      <c r="G75" s="1030"/>
      <c r="H75" s="1030"/>
      <c r="I75" s="1030"/>
      <c r="J75" s="1030"/>
      <c r="K75" s="1030"/>
      <c r="L75" s="1030"/>
      <c r="M75" s="1030"/>
      <c r="N75" s="1030"/>
      <c r="O75" s="1030"/>
      <c r="P75" s="1030"/>
    </row>
    <row r="76" spans="2:16" x14ac:dyDescent="0.35">
      <c r="B76" s="435"/>
    </row>
    <row r="77" spans="2:16" x14ac:dyDescent="0.35">
      <c r="B77" t="s">
        <v>371</v>
      </c>
    </row>
    <row r="79" spans="2:16" x14ac:dyDescent="0.35">
      <c r="B79" t="s">
        <v>372</v>
      </c>
    </row>
    <row r="80" spans="2:16" x14ac:dyDescent="0.35">
      <c r="B80" s="479"/>
    </row>
    <row r="81" spans="2:2" x14ac:dyDescent="0.35">
      <c r="B81" s="832"/>
    </row>
    <row r="83" spans="2:2" x14ac:dyDescent="0.35">
      <c r="B83" t="s">
        <v>373</v>
      </c>
    </row>
    <row r="84" spans="2:2" x14ac:dyDescent="0.35">
      <c r="B84" t="s">
        <v>374</v>
      </c>
    </row>
    <row r="85" spans="2:2" x14ac:dyDescent="0.35">
      <c r="B85" s="434" t="s">
        <v>375</v>
      </c>
    </row>
    <row r="87" spans="2:2" ht="13.75" customHeight="1" x14ac:dyDescent="0.35">
      <c r="B87" t="s">
        <v>371</v>
      </c>
    </row>
    <row r="88" spans="2:2" ht="6" customHeight="1" x14ac:dyDescent="0.35"/>
    <row r="89" spans="2:2" x14ac:dyDescent="0.35">
      <c r="B89" t="s">
        <v>372</v>
      </c>
    </row>
    <row r="91" spans="2:2" x14ac:dyDescent="0.35">
      <c r="B91" s="480"/>
    </row>
    <row r="92" spans="2:2" x14ac:dyDescent="0.35">
      <c r="B92" s="480"/>
    </row>
    <row r="93" spans="2:2" x14ac:dyDescent="0.35">
      <c r="B93" s="480"/>
    </row>
    <row r="99" spans="2:16" x14ac:dyDescent="0.35">
      <c r="B99" s="481"/>
      <c r="C99" s="481"/>
      <c r="D99" s="481"/>
      <c r="E99" s="481"/>
      <c r="F99" s="481"/>
      <c r="G99" s="481"/>
      <c r="H99" s="481"/>
      <c r="I99" s="481"/>
      <c r="J99" s="481"/>
      <c r="K99" s="485"/>
      <c r="L99" s="485"/>
      <c r="M99" s="485"/>
      <c r="N99" s="485"/>
      <c r="O99" s="485"/>
      <c r="P99" s="485"/>
    </row>
    <row r="100" spans="2:16" x14ac:dyDescent="0.35">
      <c r="B100" s="1032"/>
      <c r="C100" s="1032"/>
      <c r="D100" s="1032"/>
      <c r="E100" s="1032"/>
      <c r="F100" s="1032"/>
      <c r="G100" s="1032"/>
      <c r="H100" s="1032"/>
      <c r="I100" s="1032"/>
      <c r="J100" s="1032"/>
      <c r="K100" s="1032"/>
      <c r="L100" s="1032"/>
      <c r="M100" s="1032"/>
      <c r="N100" s="1032"/>
      <c r="O100" s="1032"/>
      <c r="P100" s="1032"/>
    </row>
    <row r="101" spans="2:16" x14ac:dyDescent="0.35">
      <c r="B101" s="1032"/>
      <c r="C101" s="1032"/>
      <c r="D101" s="1032"/>
      <c r="E101" s="1032"/>
      <c r="F101" s="1032"/>
      <c r="G101" s="1032"/>
      <c r="H101" s="1032"/>
      <c r="I101" s="1032"/>
      <c r="J101" s="1032"/>
      <c r="K101" s="1032"/>
      <c r="L101" s="1032"/>
      <c r="M101" s="1032"/>
      <c r="N101" s="1032"/>
      <c r="O101" s="1032"/>
      <c r="P101" s="1032"/>
    </row>
    <row r="102" spans="2:16" x14ac:dyDescent="0.35">
      <c r="B102" s="1032"/>
      <c r="C102" s="1032"/>
      <c r="D102" s="1032"/>
      <c r="E102" s="1032"/>
      <c r="F102" s="1032"/>
      <c r="G102" s="1032"/>
      <c r="H102" s="1032"/>
      <c r="I102" s="486"/>
      <c r="J102" s="486"/>
      <c r="K102" s="481"/>
      <c r="L102" s="481"/>
      <c r="M102" s="481"/>
      <c r="N102" s="481"/>
      <c r="O102" s="481"/>
      <c r="P102" s="481"/>
    </row>
    <row r="103" spans="2:16" x14ac:dyDescent="0.35">
      <c r="B103" s="487"/>
      <c r="C103" s="481"/>
      <c r="D103" s="1031"/>
      <c r="E103" s="1031"/>
      <c r="F103" s="1031"/>
      <c r="G103" s="1031"/>
      <c r="H103" s="1031"/>
      <c r="I103" s="1031"/>
      <c r="J103" s="1031"/>
    </row>
    <row r="104" spans="2:16" x14ac:dyDescent="0.35">
      <c r="B104" s="483"/>
      <c r="C104" s="481"/>
      <c r="D104" s="1031"/>
      <c r="E104" s="1031"/>
      <c r="F104" s="1031"/>
      <c r="G104" s="1031"/>
      <c r="H104" s="1031"/>
      <c r="I104" s="1031"/>
      <c r="J104" s="1031"/>
    </row>
    <row r="105" spans="2:16" x14ac:dyDescent="0.35">
      <c r="B105" s="481"/>
      <c r="C105" s="481"/>
      <c r="D105" s="483"/>
      <c r="E105" s="483"/>
      <c r="F105" s="483"/>
      <c r="G105" s="483"/>
      <c r="H105" s="483"/>
      <c r="I105" s="483"/>
      <c r="J105" s="483"/>
    </row>
    <row r="106" spans="2:16" x14ac:dyDescent="0.35">
      <c r="B106" s="487"/>
      <c r="C106" s="488"/>
      <c r="D106" s="484"/>
      <c r="E106" s="484"/>
      <c r="F106" s="484"/>
      <c r="G106" s="484"/>
      <c r="H106" s="484"/>
      <c r="I106" s="484"/>
      <c r="J106" s="484"/>
    </row>
    <row r="107" spans="2:16" x14ac:dyDescent="0.35">
      <c r="B107" s="487"/>
      <c r="C107" s="488"/>
      <c r="D107" s="484"/>
      <c r="E107" s="484"/>
      <c r="F107" s="484"/>
      <c r="G107" s="484"/>
      <c r="H107" s="484"/>
      <c r="I107" s="484"/>
      <c r="J107" s="484"/>
    </row>
    <row r="108" spans="2:16" x14ac:dyDescent="0.35">
      <c r="B108" s="481"/>
      <c r="C108" s="481"/>
      <c r="D108" s="478"/>
      <c r="E108" s="478"/>
      <c r="F108" s="478"/>
      <c r="G108" s="478"/>
      <c r="H108" s="478"/>
      <c r="I108" s="478"/>
      <c r="J108" s="478"/>
    </row>
    <row r="109" spans="2:16" x14ac:dyDescent="0.35">
      <c r="B109" s="481"/>
      <c r="C109" s="481"/>
      <c r="D109" s="478"/>
      <c r="E109" s="478"/>
      <c r="F109" s="478"/>
      <c r="G109" s="478"/>
      <c r="H109" s="478"/>
      <c r="I109" s="478"/>
      <c r="J109" s="478"/>
    </row>
    <row r="110" spans="2:16" x14ac:dyDescent="0.35">
      <c r="B110" s="481"/>
      <c r="C110" s="481"/>
      <c r="D110" s="478"/>
      <c r="E110" s="478"/>
      <c r="F110" s="478"/>
      <c r="G110" s="478"/>
      <c r="H110" s="478"/>
      <c r="I110" s="478"/>
      <c r="J110" s="478"/>
    </row>
    <row r="111" spans="2:16" x14ac:dyDescent="0.35">
      <c r="B111" s="481"/>
      <c r="C111" s="481"/>
      <c r="D111" s="478"/>
      <c r="E111" s="478"/>
      <c r="F111" s="478"/>
      <c r="G111" s="478"/>
      <c r="H111" s="478"/>
      <c r="I111" s="478"/>
      <c r="J111" s="478"/>
    </row>
    <row r="112" spans="2:16" x14ac:dyDescent="0.35">
      <c r="B112" s="487"/>
      <c r="C112" s="488"/>
      <c r="D112" s="484"/>
      <c r="E112" s="484"/>
      <c r="F112" s="484"/>
      <c r="G112" s="484"/>
      <c r="H112" s="484"/>
      <c r="I112" s="484"/>
      <c r="J112" s="484"/>
    </row>
    <row r="113" spans="2:10" x14ac:dyDescent="0.35">
      <c r="B113" s="481"/>
      <c r="C113" s="481"/>
      <c r="D113" s="478"/>
      <c r="E113" s="478"/>
      <c r="F113" s="478"/>
      <c r="G113" s="478"/>
      <c r="H113" s="478"/>
      <c r="I113" s="478"/>
      <c r="J113" s="478"/>
    </row>
    <row r="114" spans="2:10" x14ac:dyDescent="0.35">
      <c r="B114" s="481"/>
      <c r="C114" s="489"/>
      <c r="D114" s="478"/>
      <c r="E114" s="478"/>
      <c r="F114" s="478"/>
      <c r="G114" s="478"/>
      <c r="H114" s="478"/>
      <c r="I114" s="478"/>
      <c r="J114" s="478"/>
    </row>
    <row r="115" spans="2:10" x14ac:dyDescent="0.35">
      <c r="B115" s="481"/>
      <c r="C115" s="481"/>
      <c r="D115" s="478"/>
      <c r="E115" s="478"/>
      <c r="F115" s="478"/>
      <c r="G115" s="478"/>
      <c r="H115" s="478"/>
      <c r="I115" s="478"/>
      <c r="J115" s="478"/>
    </row>
    <row r="116" spans="2:10" x14ac:dyDescent="0.35">
      <c r="B116" s="481"/>
      <c r="C116" s="481"/>
      <c r="D116" s="478"/>
      <c r="E116" s="478"/>
      <c r="F116" s="478"/>
      <c r="G116" s="478"/>
      <c r="H116" s="478"/>
      <c r="I116" s="478"/>
      <c r="J116" s="478"/>
    </row>
    <row r="117" spans="2:10" x14ac:dyDescent="0.35">
      <c r="B117" s="481"/>
      <c r="C117" s="481"/>
      <c r="D117" s="478"/>
      <c r="E117" s="478"/>
      <c r="F117" s="478"/>
      <c r="G117" s="478"/>
      <c r="H117" s="478"/>
      <c r="I117" s="478"/>
      <c r="J117" s="478"/>
    </row>
    <row r="118" spans="2:10" x14ac:dyDescent="0.35">
      <c r="B118" s="481"/>
      <c r="C118" s="489"/>
      <c r="D118" s="478"/>
      <c r="E118" s="478"/>
      <c r="F118" s="478"/>
      <c r="G118" s="478"/>
      <c r="H118" s="478"/>
      <c r="I118" s="478"/>
      <c r="J118" s="478"/>
    </row>
    <row r="119" spans="2:10" x14ac:dyDescent="0.35">
      <c r="B119" s="481"/>
      <c r="C119" s="481"/>
      <c r="D119" s="478"/>
      <c r="E119" s="478"/>
      <c r="F119" s="478"/>
      <c r="G119" s="478"/>
      <c r="H119" s="478"/>
      <c r="I119" s="478"/>
      <c r="J119" s="478"/>
    </row>
    <row r="120" spans="2:10" x14ac:dyDescent="0.35">
      <c r="B120" s="487"/>
      <c r="C120" s="488"/>
      <c r="D120" s="484"/>
      <c r="E120" s="484"/>
      <c r="F120" s="484"/>
      <c r="G120" s="484"/>
      <c r="H120" s="484"/>
      <c r="I120" s="484"/>
      <c r="J120" s="484"/>
    </row>
    <row r="121" spans="2:10" x14ac:dyDescent="0.35">
      <c r="B121" s="487"/>
      <c r="C121" s="488"/>
      <c r="D121" s="484"/>
      <c r="E121" s="484"/>
      <c r="F121" s="484"/>
      <c r="G121" s="484"/>
      <c r="H121" s="484"/>
      <c r="I121" s="484"/>
      <c r="J121" s="484"/>
    </row>
    <row r="122" spans="2:10" x14ac:dyDescent="0.35">
      <c r="B122" s="481"/>
      <c r="C122" s="481"/>
      <c r="D122" s="478"/>
      <c r="E122" s="478"/>
      <c r="F122" s="478"/>
      <c r="G122" s="478"/>
      <c r="H122" s="478"/>
      <c r="I122" s="478"/>
      <c r="J122" s="478"/>
    </row>
    <row r="123" spans="2:10" x14ac:dyDescent="0.35">
      <c r="B123" s="481"/>
      <c r="C123" s="481"/>
      <c r="D123" s="478"/>
      <c r="E123" s="478"/>
      <c r="F123" s="478"/>
      <c r="G123" s="478"/>
      <c r="H123" s="478"/>
      <c r="I123" s="478"/>
      <c r="J123" s="478"/>
    </row>
    <row r="124" spans="2:10" x14ac:dyDescent="0.35">
      <c r="B124" s="487"/>
      <c r="C124" s="488"/>
      <c r="D124" s="484"/>
      <c r="E124" s="484"/>
      <c r="F124" s="484"/>
      <c r="G124" s="484"/>
      <c r="H124" s="484"/>
      <c r="I124" s="484"/>
      <c r="J124" s="484"/>
    </row>
    <row r="125" spans="2:10" x14ac:dyDescent="0.35">
      <c r="B125" s="481"/>
      <c r="C125" s="481"/>
      <c r="D125" s="478"/>
      <c r="E125" s="478"/>
      <c r="F125" s="478"/>
      <c r="G125" s="478"/>
      <c r="H125" s="478"/>
      <c r="I125" s="478"/>
      <c r="J125" s="478"/>
    </row>
    <row r="126" spans="2:10" x14ac:dyDescent="0.35">
      <c r="B126" s="481"/>
      <c r="C126" s="481"/>
      <c r="D126" s="478"/>
      <c r="E126" s="478"/>
      <c r="F126" s="478"/>
      <c r="G126" s="478"/>
      <c r="H126" s="478"/>
      <c r="I126" s="478"/>
      <c r="J126" s="478"/>
    </row>
    <row r="127" spans="2:10" x14ac:dyDescent="0.35">
      <c r="B127" s="481"/>
      <c r="C127" s="481"/>
      <c r="D127" s="478"/>
      <c r="E127" s="478"/>
      <c r="F127" s="478"/>
      <c r="G127" s="478"/>
      <c r="H127" s="478"/>
      <c r="I127" s="478"/>
      <c r="J127" s="478"/>
    </row>
    <row r="128" spans="2:10" x14ac:dyDescent="0.35">
      <c r="B128" s="481"/>
      <c r="C128" s="489"/>
      <c r="D128" s="478"/>
      <c r="E128" s="478"/>
      <c r="F128" s="478"/>
      <c r="G128" s="478"/>
      <c r="H128" s="478"/>
      <c r="I128" s="478"/>
      <c r="J128" s="478"/>
    </row>
    <row r="129" spans="2:10" x14ac:dyDescent="0.35">
      <c r="B129" s="481"/>
      <c r="C129" s="481"/>
      <c r="D129" s="478"/>
      <c r="E129" s="478"/>
      <c r="F129" s="478"/>
      <c r="G129" s="478"/>
      <c r="H129" s="478"/>
      <c r="I129" s="478"/>
      <c r="J129" s="478"/>
    </row>
    <row r="130" spans="2:10" x14ac:dyDescent="0.35">
      <c r="B130" s="481"/>
      <c r="C130" s="481"/>
      <c r="D130" s="478"/>
      <c r="E130" s="478"/>
      <c r="F130" s="478"/>
      <c r="G130" s="478"/>
      <c r="H130" s="478"/>
      <c r="I130" s="478"/>
      <c r="J130" s="478"/>
    </row>
    <row r="131" spans="2:10" x14ac:dyDescent="0.35">
      <c r="B131" s="481"/>
      <c r="C131" s="481"/>
      <c r="D131" s="478"/>
      <c r="E131" s="478"/>
      <c r="F131" s="478"/>
      <c r="G131" s="478"/>
      <c r="H131" s="478"/>
      <c r="I131" s="478"/>
      <c r="J131" s="478"/>
    </row>
    <row r="132" spans="2:10" x14ac:dyDescent="0.35">
      <c r="B132" s="481"/>
      <c r="C132" s="490"/>
      <c r="D132" s="478"/>
      <c r="E132" s="478"/>
      <c r="F132" s="478"/>
      <c r="G132" s="478"/>
      <c r="H132" s="478"/>
      <c r="I132" s="478"/>
      <c r="J132" s="478"/>
    </row>
    <row r="133" spans="2:10" x14ac:dyDescent="0.35">
      <c r="B133" s="481"/>
      <c r="C133" s="283"/>
      <c r="D133" s="478"/>
      <c r="E133" s="478"/>
      <c r="F133" s="478"/>
      <c r="G133" s="478"/>
      <c r="H133" s="478"/>
      <c r="I133" s="478"/>
      <c r="J133" s="478"/>
    </row>
    <row r="134" spans="2:10" x14ac:dyDescent="0.35">
      <c r="B134" s="481"/>
      <c r="C134" s="491"/>
      <c r="D134" s="478"/>
      <c r="E134" s="478"/>
      <c r="F134" s="478"/>
      <c r="G134" s="478"/>
      <c r="H134" s="478"/>
      <c r="I134" s="478"/>
      <c r="J134" s="478"/>
    </row>
    <row r="135" spans="2:10" x14ac:dyDescent="0.35">
      <c r="B135" s="481"/>
      <c r="C135" s="491"/>
      <c r="D135" s="478"/>
      <c r="E135" s="478"/>
      <c r="F135" s="478"/>
      <c r="G135" s="478"/>
      <c r="H135" s="478"/>
      <c r="I135" s="478"/>
      <c r="J135" s="478"/>
    </row>
    <row r="136" spans="2:10" x14ac:dyDescent="0.35">
      <c r="B136" s="481"/>
      <c r="C136" s="491"/>
      <c r="D136" s="478"/>
      <c r="E136" s="478"/>
      <c r="F136" s="478"/>
      <c r="G136" s="478"/>
      <c r="H136" s="478"/>
      <c r="I136" s="478"/>
      <c r="J136" s="478"/>
    </row>
    <row r="137" spans="2:10" x14ac:dyDescent="0.35">
      <c r="B137" s="481"/>
      <c r="C137" s="481"/>
      <c r="D137" s="478"/>
      <c r="E137" s="478"/>
      <c r="F137" s="478"/>
      <c r="G137" s="478"/>
      <c r="H137" s="478"/>
      <c r="I137" s="478"/>
      <c r="J137" s="478"/>
    </row>
    <row r="138" spans="2:10" x14ac:dyDescent="0.35">
      <c r="B138" s="481"/>
      <c r="C138" s="481"/>
      <c r="D138" s="478"/>
      <c r="E138" s="478"/>
      <c r="F138" s="478"/>
      <c r="G138" s="478"/>
      <c r="H138" s="478"/>
      <c r="I138" s="478"/>
      <c r="J138" s="478"/>
    </row>
    <row r="139" spans="2:10" x14ac:dyDescent="0.35">
      <c r="B139" s="481"/>
      <c r="C139" s="490"/>
      <c r="D139" s="478"/>
      <c r="E139" s="478"/>
      <c r="F139" s="478"/>
      <c r="G139" s="478"/>
      <c r="H139" s="478"/>
      <c r="I139" s="478"/>
      <c r="J139" s="478"/>
    </row>
    <row r="140" spans="2:10" x14ac:dyDescent="0.35">
      <c r="B140" s="481"/>
      <c r="C140" s="283"/>
      <c r="D140" s="478"/>
      <c r="E140" s="478"/>
      <c r="F140" s="478"/>
      <c r="G140" s="478"/>
      <c r="H140" s="478"/>
      <c r="I140" s="478"/>
      <c r="J140" s="478"/>
    </row>
    <row r="141" spans="2:10" x14ac:dyDescent="0.35">
      <c r="B141" s="481"/>
      <c r="C141" s="283"/>
      <c r="D141" s="478"/>
      <c r="E141" s="478"/>
      <c r="F141" s="478"/>
      <c r="G141" s="478"/>
      <c r="H141" s="478"/>
      <c r="I141" s="478"/>
      <c r="J141" s="478"/>
    </row>
    <row r="142" spans="2:10" x14ac:dyDescent="0.35">
      <c r="B142" s="481"/>
      <c r="C142" s="481"/>
      <c r="D142" s="478"/>
      <c r="E142" s="478"/>
      <c r="F142" s="478"/>
      <c r="G142" s="478"/>
      <c r="H142" s="478"/>
      <c r="I142" s="478"/>
      <c r="J142" s="478"/>
    </row>
    <row r="143" spans="2:10" x14ac:dyDescent="0.35">
      <c r="B143" s="481"/>
      <c r="C143" s="481"/>
      <c r="D143" s="478"/>
      <c r="E143" s="478"/>
      <c r="F143" s="478"/>
      <c r="G143" s="478"/>
      <c r="H143" s="478"/>
      <c r="I143" s="478"/>
      <c r="J143" s="478"/>
    </row>
    <row r="144" spans="2:10" x14ac:dyDescent="0.35">
      <c r="B144" s="481"/>
      <c r="C144" s="481"/>
      <c r="D144" s="478"/>
      <c r="E144" s="478"/>
      <c r="F144" s="478"/>
      <c r="G144" s="478"/>
      <c r="H144" s="478"/>
      <c r="I144" s="478"/>
      <c r="J144" s="478"/>
    </row>
    <row r="145" spans="2:16" x14ac:dyDescent="0.35">
      <c r="B145" s="487"/>
      <c r="C145" s="488"/>
      <c r="D145" s="484"/>
      <c r="E145" s="484"/>
      <c r="F145" s="484"/>
      <c r="G145" s="484"/>
      <c r="H145" s="484"/>
      <c r="I145" s="484"/>
      <c r="J145" s="484"/>
    </row>
    <row r="146" spans="2:16" x14ac:dyDescent="0.35">
      <c r="B146" s="487"/>
      <c r="C146" s="488"/>
      <c r="D146" s="484"/>
      <c r="E146" s="484"/>
      <c r="F146" s="484"/>
      <c r="G146" s="484"/>
      <c r="H146" s="484"/>
      <c r="I146" s="484"/>
      <c r="J146" s="484"/>
    </row>
    <row r="147" spans="2:16" x14ac:dyDescent="0.35">
      <c r="B147" s="487"/>
      <c r="C147" s="488"/>
      <c r="D147" s="484"/>
      <c r="E147" s="484"/>
      <c r="F147" s="484"/>
      <c r="G147" s="484"/>
      <c r="H147" s="484"/>
      <c r="I147" s="484"/>
      <c r="J147" s="484"/>
    </row>
    <row r="148" spans="2:16" x14ac:dyDescent="0.35">
      <c r="B148" s="487"/>
      <c r="C148" s="488"/>
      <c r="D148" s="484"/>
      <c r="E148" s="484"/>
      <c r="F148" s="484"/>
      <c r="G148" s="484"/>
      <c r="H148" s="484"/>
      <c r="I148" s="484"/>
      <c r="J148" s="484"/>
    </row>
    <row r="149" spans="2:16" x14ac:dyDescent="0.35">
      <c r="B149" s="481"/>
      <c r="C149" s="481"/>
      <c r="D149" s="478"/>
      <c r="E149" s="478"/>
      <c r="F149" s="478"/>
      <c r="G149" s="478"/>
      <c r="H149" s="478"/>
      <c r="I149" s="478"/>
      <c r="J149" s="478"/>
    </row>
    <row r="150" spans="2:16" x14ac:dyDescent="0.35">
      <c r="B150" s="481"/>
      <c r="C150" s="481"/>
      <c r="D150" s="478"/>
      <c r="E150" s="478"/>
      <c r="F150" s="478"/>
      <c r="G150" s="478"/>
      <c r="H150" s="478"/>
      <c r="I150" s="478"/>
      <c r="J150" s="478"/>
    </row>
    <row r="151" spans="2:16" x14ac:dyDescent="0.35">
      <c r="B151" s="481"/>
      <c r="C151" s="492"/>
      <c r="D151" s="478"/>
      <c r="E151" s="478"/>
      <c r="F151" s="478"/>
      <c r="G151" s="478"/>
      <c r="H151" s="478"/>
      <c r="I151" s="478"/>
      <c r="J151" s="478"/>
    </row>
    <row r="152" spans="2:16" x14ac:dyDescent="0.35">
      <c r="B152" s="481"/>
      <c r="C152" s="491"/>
      <c r="D152" s="478"/>
      <c r="E152" s="478"/>
      <c r="F152" s="478"/>
      <c r="G152" s="478"/>
      <c r="H152" s="478"/>
      <c r="I152" s="478"/>
      <c r="J152" s="478"/>
    </row>
    <row r="153" spans="2:16" x14ac:dyDescent="0.35">
      <c r="B153" s="481"/>
      <c r="C153" s="481"/>
      <c r="D153" s="478"/>
      <c r="E153" s="478"/>
      <c r="F153" s="478"/>
      <c r="G153" s="478"/>
      <c r="H153" s="478"/>
      <c r="I153" s="478"/>
      <c r="J153" s="478"/>
    </row>
    <row r="154" spans="2:16" x14ac:dyDescent="0.35">
      <c r="B154" s="481"/>
      <c r="C154" s="481"/>
      <c r="D154" s="478"/>
      <c r="E154" s="478"/>
      <c r="F154" s="478"/>
      <c r="G154" s="478"/>
      <c r="H154" s="478"/>
      <c r="I154" s="478"/>
      <c r="J154" s="478"/>
    </row>
    <row r="155" spans="2:16" x14ac:dyDescent="0.35">
      <c r="B155" s="481"/>
      <c r="C155" s="481"/>
      <c r="D155" s="478"/>
      <c r="E155" s="478"/>
      <c r="F155" s="478"/>
      <c r="G155" s="478"/>
      <c r="H155" s="478"/>
      <c r="I155" s="478"/>
      <c r="J155" s="478"/>
    </row>
    <row r="156" spans="2:16" x14ac:dyDescent="0.35">
      <c r="B156" s="487"/>
      <c r="C156" s="488"/>
      <c r="D156" s="484"/>
      <c r="E156" s="484"/>
      <c r="F156" s="484"/>
      <c r="G156" s="484"/>
      <c r="H156" s="484"/>
      <c r="I156" s="484"/>
      <c r="J156" s="484"/>
    </row>
    <row r="157" spans="2:16" x14ac:dyDescent="0.35">
      <c r="B157" s="481"/>
      <c r="C157" s="481"/>
      <c r="D157" s="481"/>
      <c r="E157" s="481"/>
      <c r="F157" s="481"/>
      <c r="G157" s="481"/>
      <c r="H157" s="481"/>
      <c r="I157" s="481"/>
      <c r="J157" s="481"/>
      <c r="K157" s="481"/>
      <c r="L157" s="481"/>
      <c r="M157" s="481"/>
      <c r="N157" s="481"/>
      <c r="O157" s="481"/>
      <c r="P157" s="481"/>
    </row>
    <row r="158" spans="2:16" x14ac:dyDescent="0.35">
      <c r="B158" s="481"/>
      <c r="C158" s="493"/>
      <c r="D158" s="481"/>
      <c r="E158" s="481"/>
      <c r="F158" s="481"/>
      <c r="G158" s="481"/>
      <c r="H158" s="481"/>
      <c r="I158" s="481"/>
      <c r="J158" s="481"/>
      <c r="K158" s="481"/>
      <c r="L158" s="481"/>
      <c r="M158" s="481"/>
      <c r="N158" s="481"/>
      <c r="O158" s="481"/>
      <c r="P158" s="481"/>
    </row>
    <row r="159" spans="2:16" x14ac:dyDescent="0.35">
      <c r="B159" s="481"/>
      <c r="C159" s="481"/>
      <c r="D159" s="481"/>
      <c r="E159" s="481"/>
      <c r="F159" s="481"/>
      <c r="G159" s="481"/>
      <c r="H159" s="481"/>
      <c r="I159" s="481"/>
      <c r="J159" s="481"/>
      <c r="K159" s="481"/>
      <c r="L159" s="481"/>
      <c r="M159" s="481"/>
      <c r="N159" s="481"/>
      <c r="O159" s="481"/>
      <c r="P159" s="481"/>
    </row>
    <row r="160" spans="2:16" x14ac:dyDescent="0.35">
      <c r="B160" s="481"/>
      <c r="C160" s="481"/>
      <c r="D160" s="481"/>
      <c r="E160" s="481"/>
      <c r="F160" s="481"/>
      <c r="G160" s="481"/>
      <c r="H160" s="481"/>
      <c r="I160" s="481"/>
      <c r="J160" s="481"/>
      <c r="K160" s="481"/>
      <c r="L160" s="481"/>
      <c r="M160" s="481"/>
      <c r="N160" s="481"/>
      <c r="O160" s="481"/>
      <c r="P160" s="481"/>
    </row>
    <row r="161" spans="2:16" x14ac:dyDescent="0.35">
      <c r="B161" s="481"/>
      <c r="C161" s="481"/>
      <c r="D161" s="481"/>
      <c r="E161" s="481"/>
      <c r="F161" s="481"/>
      <c r="G161" s="481"/>
      <c r="H161" s="481"/>
      <c r="I161" s="481"/>
      <c r="J161" s="481"/>
      <c r="K161" s="481"/>
      <c r="L161" s="481"/>
      <c r="M161" s="481"/>
      <c r="N161" s="481"/>
      <c r="O161" s="481"/>
      <c r="P161" s="481"/>
    </row>
    <row r="162" spans="2:16" x14ac:dyDescent="0.35">
      <c r="B162" s="481"/>
      <c r="C162" s="481"/>
      <c r="D162" s="481"/>
      <c r="E162" s="481"/>
      <c r="F162" s="481"/>
      <c r="G162" s="481"/>
      <c r="H162" s="481"/>
      <c r="I162" s="481"/>
      <c r="J162" s="481"/>
      <c r="K162" s="481"/>
      <c r="L162" s="481"/>
      <c r="M162" s="481"/>
      <c r="N162" s="481"/>
      <c r="O162" s="481"/>
      <c r="P162" s="481"/>
    </row>
    <row r="163" spans="2:16" x14ac:dyDescent="0.35">
      <c r="B163" s="481"/>
      <c r="C163" s="481"/>
      <c r="D163" s="481"/>
      <c r="E163" s="481"/>
      <c r="F163" s="481"/>
      <c r="G163" s="481"/>
      <c r="H163" s="481"/>
      <c r="I163" s="481"/>
      <c r="J163" s="481"/>
      <c r="K163" s="481"/>
      <c r="L163" s="481"/>
      <c r="M163" s="481"/>
      <c r="N163" s="481"/>
      <c r="O163" s="481"/>
      <c r="P163" s="481"/>
    </row>
    <row r="164" spans="2:16" x14ac:dyDescent="0.35">
      <c r="B164" s="481"/>
      <c r="C164" s="481"/>
      <c r="D164" s="481"/>
      <c r="E164" s="481"/>
      <c r="F164" s="481"/>
      <c r="G164" s="481"/>
      <c r="H164" s="481"/>
      <c r="I164" s="481"/>
      <c r="J164" s="481"/>
      <c r="K164" s="481"/>
      <c r="L164" s="481"/>
      <c r="M164" s="481"/>
      <c r="N164" s="481"/>
      <c r="O164" s="481"/>
      <c r="P164" s="481"/>
    </row>
    <row r="165" spans="2:16" x14ac:dyDescent="0.35">
      <c r="B165" s="494"/>
      <c r="C165" s="494"/>
      <c r="D165" s="494"/>
      <c r="E165" s="494"/>
      <c r="F165" s="494"/>
      <c r="G165" s="494"/>
      <c r="H165" s="494"/>
      <c r="I165" s="494"/>
      <c r="J165" s="481"/>
      <c r="K165" s="481"/>
      <c r="L165" s="481"/>
      <c r="M165" s="481"/>
      <c r="N165" s="481"/>
      <c r="O165" s="481"/>
      <c r="P165" s="481"/>
    </row>
    <row r="166" spans="2:16" x14ac:dyDescent="0.35">
      <c r="B166" s="495"/>
      <c r="C166" s="493"/>
      <c r="D166" s="493"/>
      <c r="E166" s="493"/>
      <c r="F166" s="493"/>
      <c r="G166" s="493"/>
      <c r="H166" s="493"/>
      <c r="I166" s="493"/>
      <c r="J166" s="481"/>
      <c r="K166" s="481"/>
      <c r="L166" s="481"/>
      <c r="M166" s="481"/>
      <c r="N166" s="481"/>
      <c r="O166" s="481"/>
      <c r="P166" s="481"/>
    </row>
    <row r="167" spans="2:16" x14ac:dyDescent="0.35">
      <c r="B167" s="496"/>
      <c r="C167" s="494"/>
      <c r="D167" s="481"/>
      <c r="E167" s="481"/>
      <c r="F167" s="481"/>
      <c r="G167" s="481"/>
      <c r="H167" s="481"/>
      <c r="I167" s="481"/>
      <c r="J167" s="481"/>
      <c r="K167" s="481"/>
      <c r="L167" s="481"/>
      <c r="M167" s="481"/>
      <c r="N167" s="481"/>
      <c r="O167" s="481"/>
      <c r="P167" s="481"/>
    </row>
    <row r="168" spans="2:16" x14ac:dyDescent="0.35">
      <c r="B168" s="494"/>
      <c r="C168" s="494"/>
      <c r="D168" s="494"/>
      <c r="E168" s="494"/>
      <c r="F168" s="494"/>
      <c r="G168" s="494"/>
      <c r="H168" s="494"/>
      <c r="I168" s="494"/>
      <c r="J168" s="481"/>
      <c r="K168" s="481"/>
      <c r="L168" s="481"/>
      <c r="M168" s="481"/>
      <c r="N168" s="481"/>
      <c r="O168" s="481"/>
      <c r="P168" s="481"/>
    </row>
    <row r="169" spans="2:16" x14ac:dyDescent="0.35">
      <c r="B169" s="494"/>
      <c r="C169" s="494"/>
      <c r="D169" s="481"/>
      <c r="E169" s="481"/>
      <c r="F169" s="481"/>
      <c r="G169" s="481"/>
      <c r="H169" s="481"/>
      <c r="I169" s="481"/>
      <c r="J169" s="481"/>
      <c r="K169" s="481"/>
      <c r="L169" s="481"/>
      <c r="M169" s="481"/>
      <c r="N169" s="481"/>
      <c r="O169" s="481"/>
      <c r="P169" s="481"/>
    </row>
    <row r="170" spans="2:16" x14ac:dyDescent="0.35">
      <c r="B170" s="493"/>
      <c r="C170" s="493"/>
      <c r="D170" s="493"/>
      <c r="E170" s="493"/>
      <c r="F170" s="493"/>
      <c r="G170" s="493"/>
      <c r="H170" s="493"/>
      <c r="I170" s="493"/>
      <c r="J170" s="481"/>
      <c r="K170" s="481"/>
      <c r="L170" s="481"/>
      <c r="M170" s="481"/>
      <c r="N170" s="481"/>
      <c r="O170" s="481"/>
      <c r="P170" s="481"/>
    </row>
    <row r="171" spans="2:16" x14ac:dyDescent="0.35">
      <c r="B171" s="496"/>
      <c r="C171" s="497"/>
      <c r="D171" s="481"/>
      <c r="E171" s="481"/>
      <c r="F171" s="481"/>
      <c r="G171" s="481"/>
      <c r="H171" s="481"/>
      <c r="I171" s="481"/>
      <c r="J171" s="481"/>
      <c r="K171" s="481"/>
      <c r="L171" s="481"/>
      <c r="M171" s="481"/>
      <c r="N171" s="481"/>
      <c r="O171" s="481"/>
      <c r="P171" s="481"/>
    </row>
    <row r="172" spans="2:16" x14ac:dyDescent="0.35">
      <c r="B172" s="498"/>
      <c r="C172" s="498"/>
      <c r="D172" s="498"/>
      <c r="E172" s="498"/>
      <c r="F172" s="498"/>
      <c r="G172" s="498"/>
      <c r="H172" s="498"/>
      <c r="I172" s="498"/>
      <c r="J172" s="498"/>
      <c r="K172" s="481"/>
      <c r="L172" s="481"/>
      <c r="M172" s="481"/>
      <c r="N172" s="481"/>
      <c r="O172" s="481"/>
      <c r="P172" s="481"/>
    </row>
    <row r="173" spans="2:16" x14ac:dyDescent="0.35">
      <c r="B173" s="495"/>
      <c r="C173" s="499"/>
      <c r="D173" s="481"/>
      <c r="E173" s="481"/>
      <c r="F173" s="481"/>
      <c r="G173" s="481"/>
      <c r="H173" s="481"/>
      <c r="I173" s="481"/>
      <c r="J173" s="481"/>
      <c r="K173" s="481"/>
      <c r="L173" s="481"/>
      <c r="M173" s="481"/>
      <c r="N173" s="481"/>
      <c r="O173" s="481"/>
      <c r="P173" s="481"/>
    </row>
    <row r="174" spans="2:16" x14ac:dyDescent="0.35">
      <c r="B174" s="494"/>
      <c r="C174" s="494"/>
      <c r="D174" s="494"/>
      <c r="E174" s="494"/>
      <c r="F174" s="494"/>
      <c r="G174" s="494"/>
      <c r="H174" s="494"/>
      <c r="I174" s="494"/>
      <c r="J174" s="481"/>
      <c r="K174" s="481"/>
      <c r="L174" s="481"/>
      <c r="M174" s="481"/>
      <c r="N174" s="481"/>
      <c r="O174" s="481"/>
      <c r="P174" s="481"/>
    </row>
    <row r="175" spans="2:16" x14ac:dyDescent="0.35">
      <c r="B175" s="494"/>
      <c r="C175" s="494"/>
      <c r="D175" s="494"/>
      <c r="E175" s="494"/>
      <c r="F175" s="494"/>
      <c r="G175" s="494"/>
      <c r="H175" s="494"/>
      <c r="I175" s="494"/>
      <c r="J175" s="481"/>
      <c r="K175" s="481"/>
      <c r="L175" s="481"/>
      <c r="M175" s="481"/>
      <c r="N175" s="481"/>
      <c r="O175" s="481"/>
      <c r="P175" s="481"/>
    </row>
    <row r="176" spans="2:16" x14ac:dyDescent="0.35">
      <c r="B176" s="494"/>
      <c r="C176" s="494"/>
      <c r="D176" s="494"/>
      <c r="E176" s="494"/>
      <c r="F176" s="494"/>
      <c r="G176" s="494"/>
      <c r="H176" s="494"/>
      <c r="I176" s="494"/>
      <c r="J176" s="481"/>
      <c r="K176" s="481"/>
      <c r="L176" s="481"/>
      <c r="M176" s="481"/>
      <c r="N176" s="481"/>
      <c r="O176" s="481"/>
      <c r="P176" s="481"/>
    </row>
    <row r="177" spans="2:16" x14ac:dyDescent="0.35">
      <c r="B177" s="494"/>
      <c r="C177" s="494"/>
      <c r="D177" s="481"/>
      <c r="E177" s="481"/>
      <c r="F177" s="481"/>
      <c r="G177" s="481"/>
      <c r="H177" s="481"/>
      <c r="I177" s="481"/>
      <c r="J177" s="481"/>
      <c r="K177" s="481"/>
      <c r="L177" s="481"/>
      <c r="M177" s="481"/>
      <c r="N177" s="481"/>
      <c r="O177" s="481"/>
      <c r="P177" s="481"/>
    </row>
    <row r="178" spans="2:16" x14ac:dyDescent="0.35">
      <c r="B178" s="498"/>
      <c r="C178" s="498"/>
      <c r="D178" s="498"/>
      <c r="E178" s="498"/>
      <c r="F178" s="498"/>
      <c r="G178" s="498"/>
      <c r="H178" s="498"/>
      <c r="I178" s="498"/>
      <c r="J178" s="481"/>
      <c r="K178" s="481"/>
      <c r="L178" s="481"/>
      <c r="M178" s="481"/>
      <c r="N178" s="481"/>
      <c r="O178" s="481"/>
      <c r="P178" s="481"/>
    </row>
    <row r="179" spans="2:16" x14ac:dyDescent="0.35">
      <c r="B179" s="496"/>
      <c r="C179" s="500"/>
      <c r="D179" s="481"/>
      <c r="E179" s="481"/>
      <c r="F179" s="481"/>
      <c r="G179" s="481"/>
      <c r="H179" s="481"/>
      <c r="I179" s="481"/>
      <c r="J179" s="481"/>
      <c r="K179" s="481"/>
      <c r="L179" s="481"/>
      <c r="M179" s="481"/>
      <c r="N179" s="481"/>
      <c r="O179" s="481"/>
      <c r="P179" s="481"/>
    </row>
    <row r="180" spans="2:16" x14ac:dyDescent="0.35">
      <c r="B180" s="481"/>
      <c r="C180" s="481"/>
      <c r="D180" s="481"/>
      <c r="E180" s="481"/>
      <c r="F180" s="481"/>
      <c r="G180" s="481"/>
      <c r="H180" s="481"/>
      <c r="I180" s="481"/>
      <c r="J180" s="481"/>
      <c r="K180" s="481"/>
      <c r="L180" s="481"/>
      <c r="M180" s="481"/>
      <c r="N180" s="481"/>
      <c r="O180" s="481"/>
      <c r="P180" s="481"/>
    </row>
    <row r="181" spans="2:16" x14ac:dyDescent="0.35">
      <c r="B181" s="481"/>
      <c r="C181" s="481"/>
      <c r="D181" s="481"/>
      <c r="E181" s="481"/>
      <c r="F181" s="481"/>
      <c r="G181" s="481"/>
      <c r="H181" s="481"/>
      <c r="I181" s="481"/>
      <c r="J181" s="481"/>
      <c r="K181" s="481"/>
      <c r="L181" s="481"/>
      <c r="M181" s="481"/>
      <c r="N181" s="481"/>
      <c r="O181" s="481"/>
      <c r="P181" s="481"/>
    </row>
    <row r="182" spans="2:16" x14ac:dyDescent="0.35">
      <c r="B182" s="481"/>
      <c r="C182" s="481"/>
      <c r="D182" s="481"/>
      <c r="E182" s="481"/>
      <c r="F182" s="481"/>
      <c r="G182" s="481"/>
      <c r="H182" s="481"/>
      <c r="I182" s="481"/>
      <c r="J182" s="481"/>
      <c r="K182" s="481"/>
      <c r="L182" s="481"/>
      <c r="M182" s="481"/>
      <c r="N182" s="481"/>
      <c r="O182" s="481"/>
      <c r="P182" s="481"/>
    </row>
    <row r="183" spans="2:16" x14ac:dyDescent="0.35">
      <c r="B183" s="495"/>
      <c r="C183" s="493"/>
      <c r="D183" s="493"/>
      <c r="E183" s="493"/>
      <c r="F183" s="493"/>
      <c r="G183" s="493"/>
      <c r="H183" s="493"/>
      <c r="I183" s="493"/>
      <c r="J183" s="481"/>
      <c r="K183" s="481"/>
      <c r="L183" s="481"/>
      <c r="M183" s="481"/>
      <c r="N183" s="481"/>
      <c r="O183" s="481"/>
      <c r="P183" s="481"/>
    </row>
    <row r="184" spans="2:16" x14ac:dyDescent="0.35">
      <c r="B184" s="481"/>
      <c r="C184" s="481"/>
      <c r="D184" s="481"/>
      <c r="E184" s="481"/>
      <c r="F184" s="481"/>
      <c r="G184" s="481"/>
      <c r="H184" s="481"/>
      <c r="I184" s="481"/>
      <c r="J184" s="481"/>
      <c r="K184" s="481"/>
      <c r="L184" s="481"/>
      <c r="M184" s="481"/>
      <c r="N184" s="481"/>
      <c r="O184" s="481"/>
      <c r="P184" s="481"/>
    </row>
    <row r="185" spans="2:16" x14ac:dyDescent="0.35">
      <c r="B185" s="481"/>
      <c r="C185" s="481"/>
      <c r="D185" s="481"/>
      <c r="E185" s="481"/>
      <c r="F185" s="481"/>
      <c r="G185" s="481"/>
      <c r="H185" s="481"/>
      <c r="I185" s="481"/>
      <c r="J185" s="481"/>
      <c r="K185" s="481"/>
      <c r="L185" s="481"/>
      <c r="M185" s="481"/>
      <c r="N185" s="481"/>
      <c r="O185" s="481"/>
      <c r="P185" s="481"/>
    </row>
    <row r="186" spans="2:16" x14ac:dyDescent="0.35">
      <c r="B186" s="481"/>
      <c r="C186" s="481"/>
      <c r="D186" s="481"/>
      <c r="E186" s="481"/>
      <c r="F186" s="481"/>
      <c r="G186" s="481"/>
      <c r="H186" s="481"/>
      <c r="I186" s="481"/>
      <c r="J186" s="481"/>
      <c r="K186" s="481"/>
      <c r="L186" s="481"/>
      <c r="M186" s="481"/>
      <c r="N186" s="481"/>
      <c r="O186" s="481"/>
      <c r="P186" s="481"/>
    </row>
    <row r="187" spans="2:16" x14ac:dyDescent="0.35">
      <c r="B187" s="481"/>
      <c r="C187" s="481"/>
      <c r="D187" s="481"/>
      <c r="E187" s="481"/>
      <c r="F187" s="481"/>
      <c r="G187" s="481"/>
      <c r="H187" s="481"/>
      <c r="I187" s="481"/>
      <c r="J187" s="481"/>
      <c r="K187" s="481"/>
      <c r="L187" s="481"/>
      <c r="M187" s="481"/>
      <c r="N187" s="481"/>
      <c r="O187" s="481"/>
      <c r="P187" s="481"/>
    </row>
    <row r="188" spans="2:16" x14ac:dyDescent="0.35">
      <c r="B188" s="481"/>
      <c r="C188" s="481"/>
      <c r="D188" s="481"/>
      <c r="E188" s="481"/>
      <c r="F188" s="481"/>
      <c r="G188" s="481"/>
      <c r="H188" s="481"/>
      <c r="I188" s="481"/>
      <c r="J188" s="481"/>
      <c r="K188" s="481"/>
      <c r="L188" s="481"/>
      <c r="M188" s="481"/>
      <c r="N188" s="481"/>
      <c r="O188" s="481"/>
      <c r="P188" s="481"/>
    </row>
    <row r="189" spans="2:16" x14ac:dyDescent="0.35">
      <c r="B189" s="482"/>
      <c r="C189" s="481"/>
      <c r="D189" s="481"/>
      <c r="E189" s="481"/>
      <c r="F189" s="481"/>
      <c r="G189" s="481"/>
      <c r="H189" s="481"/>
      <c r="I189" s="481"/>
      <c r="J189" s="481"/>
      <c r="K189" s="481"/>
      <c r="L189" s="481"/>
      <c r="M189" s="481"/>
      <c r="N189" s="481"/>
      <c r="O189" s="481"/>
      <c r="P189" s="481"/>
    </row>
    <row r="190" spans="2:16" x14ac:dyDescent="0.35">
      <c r="B190" s="482"/>
      <c r="C190" s="481"/>
      <c r="D190" s="481"/>
      <c r="E190" s="481"/>
      <c r="F190" s="481"/>
      <c r="G190" s="481"/>
      <c r="H190" s="481"/>
      <c r="I190" s="481"/>
      <c r="J190" s="481"/>
      <c r="K190" s="481"/>
      <c r="L190" s="481"/>
      <c r="M190" s="481"/>
      <c r="N190" s="481"/>
      <c r="O190" s="481"/>
      <c r="P190" s="481"/>
    </row>
    <row r="191" spans="2:16" x14ac:dyDescent="0.35">
      <c r="B191" s="482"/>
      <c r="C191" s="481"/>
      <c r="D191" s="481"/>
      <c r="E191" s="481"/>
      <c r="F191" s="481"/>
      <c r="G191" s="481"/>
      <c r="H191" s="481"/>
      <c r="I191" s="481"/>
      <c r="J191" s="481"/>
      <c r="K191" s="481"/>
      <c r="L191" s="481"/>
      <c r="M191" s="481"/>
      <c r="N191" s="481"/>
      <c r="O191" s="481"/>
      <c r="P191" s="481"/>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Provider Relief</vt:lpstr>
      <vt:lpstr>PPP</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2021-10-28T13:43:51Z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